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ermeability/"/>
    </mc:Choice>
  </mc:AlternateContent>
  <xr:revisionPtr revIDLastSave="0" documentId="8_{E8EF2020-716C-4B5C-ADD9-49A6B7DBC152}" xr6:coauthVersionLast="47" xr6:coauthVersionMax="47" xr10:uidLastSave="{00000000-0000-0000-0000-000000000000}"/>
  <bookViews>
    <workbookView xWindow="780" yWindow="780" windowWidth="15375" windowHeight="7875" xr2:uid="{B2B0B3B8-9B53-4FEE-8103-E8941058EC5F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11" i="1" l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<sst xmlns="http://schemas.openxmlformats.org/spreadsheetml/2006/main" count="15" uniqueCount="15">
  <si>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MODEL\SCENARIOS\2022\Permeability\Perm25Darcy.sr3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</si>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</sst>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76394-630D-43FB-BF9A-AB5DE249069F}" name="Table1" displayName="Table1" ref="A3:N2311" totalsRowShown="0">
  <autoFilter ref="A3:N2311" xr:uid="{0E376394-630D-43FB-BF9A-AB5DE249069F}"/>
  <tableColumns count="14">
    <tableColumn id="1" xr3:uid="{D60D1F8C-3FFE-4CC6-BEDA-C405A4DBBAF8}" name="Time (day)"/>
    <tableColumn id="2" xr3:uid="{59DA587A-10BE-45D9-8268-8F0E6B14F160}" name="Date" dataDxfId="0"/>
    <tableColumn id="3" xr3:uid="{F63D4111-1F1F-4ADD-8991-72AA137566C7}" name="Hot well INJ-Well bottom hole temperature (C)"/>
    <tableColumn id="4" xr3:uid="{273DEF1D-4F3E-4310-A23B-4D899EC0E1B0}" name="Hot well PROD-Well bottom hole temperature (C)"/>
    <tableColumn id="5" xr3:uid="{CFF91FA0-1AD6-4E0B-9751-4E4AFFE35112}" name="Warm well INJ-Well bottom hole temperature (C)"/>
    <tableColumn id="6" xr3:uid="{B970BB67-72DE-4112-8360-01618E23020C}" name="Warm well PROD-Well bottom hole temperature (C)"/>
    <tableColumn id="7" xr3:uid="{AED59A5E-D029-4594-9B32-EC5FAF9932E1}" name="Hot well INJ-Well Bottom-hole Pressure (kPa)"/>
    <tableColumn id="8" xr3:uid="{44CCBA0C-6DEB-4EC6-9FC9-6E80A631B605}" name="Hot well PROD-Well Bottom-hole Pressure (kPa)"/>
    <tableColumn id="9" xr3:uid="{9238A5CA-937A-4C9A-B1D4-DC0F984DA563}" name="Warm well INJ-Well Bottom-hole Pressure (kPa)"/>
    <tableColumn id="10" xr3:uid="{EF227E80-7439-4A96-BB75-B3DFB33637CA}" name="Warm well PROD-Well Bottom-hole Pressure (kPa)"/>
    <tableColumn id="11" xr3:uid="{83C3F73B-BEC2-4DDE-AF40-535004166934}" name="Hot well INJ-Fluid Rate SC (m³/day)"/>
    <tableColumn id="12" xr3:uid="{9006B3F5-0D86-47C3-8FBA-19FFBBF0AE23}" name="Hot well PROD-Fluid Rate SC (m³/day)"/>
    <tableColumn id="13" xr3:uid="{94D98438-F091-4F53-A143-B9C4C32F2AB0}" name="Warm well INJ-Fluid Rate SC (m³/day)"/>
    <tableColumn id="14" xr3:uid="{9478F94E-4D58-4687-B52B-06791F9768A6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B174-2FA9-4F25-B08E-C22592F7B689}">
  <dimension ref="A1:N2311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15.000117302</v>
      </c>
      <c r="E4">
        <v>50</v>
      </c>
      <c r="F4">
        <v>14.999956130999999</v>
      </c>
      <c r="G4">
        <v>1345.6060791</v>
      </c>
      <c r="H4">
        <v>1329.8360596</v>
      </c>
      <c r="I4">
        <v>1328.9851074000001</v>
      </c>
      <c r="J4">
        <v>1313.2142334</v>
      </c>
      <c r="K4">
        <v>2400</v>
      </c>
      <c r="L4">
        <v>0</v>
      </c>
      <c r="M4">
        <v>0</v>
      </c>
      <c r="N4">
        <v>2400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15.000452041999999</v>
      </c>
      <c r="E5">
        <v>50</v>
      </c>
      <c r="F5">
        <v>14.99984169</v>
      </c>
      <c r="G5">
        <v>1346.7214355000001</v>
      </c>
      <c r="H5">
        <v>1330.9515381000001</v>
      </c>
      <c r="I5">
        <v>1327.8745117000001</v>
      </c>
      <c r="J5">
        <v>1312.1036377</v>
      </c>
      <c r="K5">
        <v>2400</v>
      </c>
      <c r="L5">
        <v>0</v>
      </c>
      <c r="M5">
        <v>0</v>
      </c>
      <c r="N5">
        <v>2400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15.001358986</v>
      </c>
      <c r="E6">
        <v>50</v>
      </c>
      <c r="F6">
        <v>14.999595641999999</v>
      </c>
      <c r="G6">
        <v>1349.1258545000001</v>
      </c>
      <c r="H6">
        <v>1333.3562012</v>
      </c>
      <c r="I6">
        <v>1325.4802245999999</v>
      </c>
      <c r="J6">
        <v>1309.7093506000001</v>
      </c>
      <c r="K6">
        <v>2400</v>
      </c>
      <c r="L6">
        <v>0</v>
      </c>
      <c r="M6">
        <v>0</v>
      </c>
      <c r="N6">
        <v>2400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15.003730773999999</v>
      </c>
      <c r="E7">
        <v>50</v>
      </c>
      <c r="F7">
        <v>14.999206543</v>
      </c>
      <c r="G7">
        <v>1352.9317627</v>
      </c>
      <c r="H7">
        <v>1337.1630858999999</v>
      </c>
      <c r="I7">
        <v>1321.6896973</v>
      </c>
      <c r="J7">
        <v>1305.9185791</v>
      </c>
      <c r="K7">
        <v>2400</v>
      </c>
      <c r="L7">
        <v>0</v>
      </c>
      <c r="M7">
        <v>0</v>
      </c>
      <c r="N7">
        <v>2400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15.010128975000001</v>
      </c>
      <c r="E8">
        <v>50</v>
      </c>
      <c r="F8">
        <v>14.998749733</v>
      </c>
      <c r="G8">
        <v>1357.3897704999999</v>
      </c>
      <c r="H8">
        <v>1341.6237793</v>
      </c>
      <c r="I8">
        <v>1317.2473144999999</v>
      </c>
      <c r="J8">
        <v>1301.4761963000001</v>
      </c>
      <c r="K8">
        <v>2400</v>
      </c>
      <c r="L8">
        <v>0</v>
      </c>
      <c r="M8">
        <v>0</v>
      </c>
      <c r="N8">
        <v>2400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15.028408051</v>
      </c>
      <c r="E9">
        <v>50</v>
      </c>
      <c r="F9">
        <v>14.998285294</v>
      </c>
      <c r="G9">
        <v>1361.9119873</v>
      </c>
      <c r="H9">
        <v>1346.1534423999999</v>
      </c>
      <c r="I9">
        <v>1312.7336425999999</v>
      </c>
      <c r="J9">
        <v>1296.9622803</v>
      </c>
      <c r="K9">
        <v>2400</v>
      </c>
      <c r="L9">
        <v>0</v>
      </c>
      <c r="M9">
        <v>0</v>
      </c>
      <c r="N9">
        <v>2400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15.082268715</v>
      </c>
      <c r="E10">
        <v>50</v>
      </c>
      <c r="F10">
        <v>14.997824669</v>
      </c>
      <c r="G10">
        <v>1366.3887939000001</v>
      </c>
      <c r="H10">
        <v>1350.6524658000001</v>
      </c>
      <c r="I10">
        <v>1308.2424315999999</v>
      </c>
      <c r="J10">
        <v>1292.4709473</v>
      </c>
      <c r="K10">
        <v>2400</v>
      </c>
      <c r="L10">
        <v>0</v>
      </c>
      <c r="M10">
        <v>0</v>
      </c>
      <c r="N10">
        <v>2400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15.242539406000001</v>
      </c>
      <c r="E11">
        <v>50</v>
      </c>
      <c r="F11">
        <v>14.997379303000001</v>
      </c>
      <c r="G11">
        <v>1370.6757812000001</v>
      </c>
      <c r="H11">
        <v>1355.0051269999999</v>
      </c>
      <c r="I11">
        <v>1303.8752440999999</v>
      </c>
      <c r="J11">
        <v>1288.1036377</v>
      </c>
      <c r="K11">
        <v>2400</v>
      </c>
      <c r="L11">
        <v>0</v>
      </c>
      <c r="M11">
        <v>0</v>
      </c>
      <c r="N11">
        <v>2400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15.719079970999999</v>
      </c>
      <c r="E12">
        <v>50</v>
      </c>
      <c r="F12">
        <v>14.997014046</v>
      </c>
      <c r="G12">
        <v>1374.0721435999999</v>
      </c>
      <c r="H12">
        <v>1358.5938721</v>
      </c>
      <c r="I12">
        <v>1300.2390137</v>
      </c>
      <c r="J12">
        <v>1284.4672852000001</v>
      </c>
      <c r="K12">
        <v>2400</v>
      </c>
      <c r="L12">
        <v>0</v>
      </c>
      <c r="M12">
        <v>0</v>
      </c>
      <c r="N12">
        <v>2400</v>
      </c>
    </row>
    <row r="13" spans="1:14" x14ac:dyDescent="0.25">
      <c r="A13">
        <v>2.3609000000000002E-2</v>
      </c>
      <c r="B13" s="1">
        <f>DATE(2010,5,1) + TIME(0,33,59)</f>
        <v>40299.023599537039</v>
      </c>
      <c r="C13">
        <v>80</v>
      </c>
      <c r="D13">
        <v>16.705865859999999</v>
      </c>
      <c r="E13">
        <v>50</v>
      </c>
      <c r="F13">
        <v>14.996844292</v>
      </c>
      <c r="G13">
        <v>1375.4547118999999</v>
      </c>
      <c r="H13">
        <v>1360.3601074000001</v>
      </c>
      <c r="I13">
        <v>1298.4291992000001</v>
      </c>
      <c r="J13">
        <v>1282.6574707</v>
      </c>
      <c r="K13">
        <v>2400</v>
      </c>
      <c r="L13">
        <v>0</v>
      </c>
      <c r="M13">
        <v>0</v>
      </c>
      <c r="N13">
        <v>2400</v>
      </c>
    </row>
    <row r="14" spans="1:14" x14ac:dyDescent="0.25">
      <c r="A14">
        <v>3.7560999999999997E-2</v>
      </c>
      <c r="B14" s="1">
        <f>DATE(2010,5,1) + TIME(0,54,5)</f>
        <v>40299.037557870368</v>
      </c>
      <c r="C14">
        <v>80</v>
      </c>
      <c r="D14">
        <v>17.692966461000001</v>
      </c>
      <c r="E14">
        <v>50</v>
      </c>
      <c r="F14">
        <v>14.996807098</v>
      </c>
      <c r="G14">
        <v>1375.5539550999999</v>
      </c>
      <c r="H14">
        <v>1360.8192139</v>
      </c>
      <c r="I14">
        <v>1297.9238281</v>
      </c>
      <c r="J14">
        <v>1282.1519774999999</v>
      </c>
      <c r="K14">
        <v>2400</v>
      </c>
      <c r="L14">
        <v>0</v>
      </c>
      <c r="M14">
        <v>0</v>
      </c>
      <c r="N14">
        <v>2400</v>
      </c>
    </row>
    <row r="15" spans="1:14" x14ac:dyDescent="0.25">
      <c r="A15">
        <v>5.1695999999999999E-2</v>
      </c>
      <c r="B15" s="1">
        <f>DATE(2010,5,1) + TIME(1,14,26)</f>
        <v>40299.051689814813</v>
      </c>
      <c r="C15">
        <v>80</v>
      </c>
      <c r="D15">
        <v>18.680236816000001</v>
      </c>
      <c r="E15">
        <v>50</v>
      </c>
      <c r="F15">
        <v>14.996806145000001</v>
      </c>
      <c r="G15">
        <v>1375.2774658000001</v>
      </c>
      <c r="H15">
        <v>1360.8869629000001</v>
      </c>
      <c r="I15">
        <v>1297.7821045000001</v>
      </c>
      <c r="J15">
        <v>1282.010376</v>
      </c>
      <c r="K15">
        <v>2400</v>
      </c>
      <c r="L15">
        <v>0</v>
      </c>
      <c r="M15">
        <v>0</v>
      </c>
      <c r="N15">
        <v>2400</v>
      </c>
    </row>
    <row r="16" spans="1:14" x14ac:dyDescent="0.25">
      <c r="A16">
        <v>6.6013000000000002E-2</v>
      </c>
      <c r="B16" s="1">
        <f>DATE(2010,5,1) + TIME(1,35,3)</f>
        <v>40299.066006944442</v>
      </c>
      <c r="C16">
        <v>80</v>
      </c>
      <c r="D16">
        <v>19.667339325</v>
      </c>
      <c r="E16">
        <v>50</v>
      </c>
      <c r="F16">
        <v>14.996815680999999</v>
      </c>
      <c r="G16">
        <v>1374.8845214999999</v>
      </c>
      <c r="H16">
        <v>1360.8231201000001</v>
      </c>
      <c r="I16">
        <v>1297.7475586</v>
      </c>
      <c r="J16">
        <v>1281.9757079999999</v>
      </c>
      <c r="K16">
        <v>2400</v>
      </c>
      <c r="L16">
        <v>0</v>
      </c>
      <c r="M16">
        <v>0</v>
      </c>
      <c r="N16">
        <v>2400</v>
      </c>
    </row>
    <row r="17" spans="1:14" x14ac:dyDescent="0.25">
      <c r="A17">
        <v>8.0517000000000005E-2</v>
      </c>
      <c r="B17" s="1">
        <f>DATE(2010,5,1) + TIME(1,55,56)</f>
        <v>40299.080509259256</v>
      </c>
      <c r="C17">
        <v>80</v>
      </c>
      <c r="D17">
        <v>20.654829025000002</v>
      </c>
      <c r="E17">
        <v>50</v>
      </c>
      <c r="F17">
        <v>14.996829032999999</v>
      </c>
      <c r="G17">
        <v>1374.4606934000001</v>
      </c>
      <c r="H17">
        <v>1360.7144774999999</v>
      </c>
      <c r="I17">
        <v>1297.7431641000001</v>
      </c>
      <c r="J17">
        <v>1281.9713135</v>
      </c>
      <c r="K17">
        <v>2400</v>
      </c>
      <c r="L17">
        <v>0</v>
      </c>
      <c r="M17">
        <v>0</v>
      </c>
      <c r="N17">
        <v>2400</v>
      </c>
    </row>
    <row r="18" spans="1:14" x14ac:dyDescent="0.25">
      <c r="A18">
        <v>9.5204999999999998E-2</v>
      </c>
      <c r="B18" s="1">
        <f>DATE(2010,5,1) + TIME(2,17,5)</f>
        <v>40299.095196759263</v>
      </c>
      <c r="C18">
        <v>80</v>
      </c>
      <c r="D18">
        <v>21.641845703000001</v>
      </c>
      <c r="E18">
        <v>50</v>
      </c>
      <c r="F18">
        <v>14.996842384000001</v>
      </c>
      <c r="G18">
        <v>1374.0371094</v>
      </c>
      <c r="H18">
        <v>1360.5921631000001</v>
      </c>
      <c r="I18">
        <v>1297.7459716999999</v>
      </c>
      <c r="J18">
        <v>1281.9741211</v>
      </c>
      <c r="K18">
        <v>2400</v>
      </c>
      <c r="L18">
        <v>0</v>
      </c>
      <c r="M18">
        <v>0</v>
      </c>
      <c r="N18">
        <v>2400</v>
      </c>
    </row>
    <row r="19" spans="1:14" x14ac:dyDescent="0.25">
      <c r="A19">
        <v>0.110086</v>
      </c>
      <c r="B19" s="1">
        <f>DATE(2010,5,1) + TIME(2,38,31)</f>
        <v>40299.110081018516</v>
      </c>
      <c r="C19">
        <v>80</v>
      </c>
      <c r="D19">
        <v>22.628360747999999</v>
      </c>
      <c r="E19">
        <v>50</v>
      </c>
      <c r="F19">
        <v>14.996856688999999</v>
      </c>
      <c r="G19">
        <v>1373.6247559000001</v>
      </c>
      <c r="H19">
        <v>1360.4683838000001</v>
      </c>
      <c r="I19">
        <v>1297.7496338000001</v>
      </c>
      <c r="J19">
        <v>1281.9776611</v>
      </c>
      <c r="K19">
        <v>2400</v>
      </c>
      <c r="L19">
        <v>0</v>
      </c>
      <c r="M19">
        <v>0</v>
      </c>
      <c r="N19">
        <v>2400</v>
      </c>
    </row>
    <row r="20" spans="1:14" x14ac:dyDescent="0.25">
      <c r="A20">
        <v>0.12517</v>
      </c>
      <c r="B20" s="1">
        <f>DATE(2010,5,1) + TIME(3,0,14)</f>
        <v>40299.125162037039</v>
      </c>
      <c r="C20">
        <v>80</v>
      </c>
      <c r="D20">
        <v>23.614648818999999</v>
      </c>
      <c r="E20">
        <v>50</v>
      </c>
      <c r="F20">
        <v>14.996870040999999</v>
      </c>
      <c r="G20">
        <v>1373.2276611</v>
      </c>
      <c r="H20">
        <v>1360.3477783000001</v>
      </c>
      <c r="I20">
        <v>1297.7525635</v>
      </c>
      <c r="J20">
        <v>1281.9805908000001</v>
      </c>
      <c r="K20">
        <v>2400</v>
      </c>
      <c r="L20">
        <v>0</v>
      </c>
      <c r="M20">
        <v>0</v>
      </c>
      <c r="N20">
        <v>2400</v>
      </c>
    </row>
    <row r="21" spans="1:14" x14ac:dyDescent="0.25">
      <c r="A21">
        <v>0.14046400000000001</v>
      </c>
      <c r="B21" s="1">
        <f>DATE(2010,5,1) + TIME(3,22,16)</f>
        <v>40299.140462962961</v>
      </c>
      <c r="C21">
        <v>80</v>
      </c>
      <c r="D21">
        <v>24.600702286000001</v>
      </c>
      <c r="E21">
        <v>50</v>
      </c>
      <c r="F21">
        <v>14.996883392000001</v>
      </c>
      <c r="G21">
        <v>1372.8470459</v>
      </c>
      <c r="H21">
        <v>1360.2319336</v>
      </c>
      <c r="I21">
        <v>1297.7547606999999</v>
      </c>
      <c r="J21">
        <v>1281.9827881000001</v>
      </c>
      <c r="K21">
        <v>2400</v>
      </c>
      <c r="L21">
        <v>0</v>
      </c>
      <c r="M21">
        <v>0</v>
      </c>
      <c r="N21">
        <v>2400</v>
      </c>
    </row>
    <row r="22" spans="1:14" x14ac:dyDescent="0.25">
      <c r="A22">
        <v>0.155974</v>
      </c>
      <c r="B22" s="1">
        <f>DATE(2010,5,1) + TIME(3,44,36)</f>
        <v>40299.155972222223</v>
      </c>
      <c r="C22">
        <v>80</v>
      </c>
      <c r="D22">
        <v>25.586906432999999</v>
      </c>
      <c r="E22">
        <v>50</v>
      </c>
      <c r="F22">
        <v>14.996896744000001</v>
      </c>
      <c r="G22">
        <v>1372.4827881000001</v>
      </c>
      <c r="H22">
        <v>1360.1218262</v>
      </c>
      <c r="I22">
        <v>1297.7565918</v>
      </c>
      <c r="J22">
        <v>1281.9844971</v>
      </c>
      <c r="K22">
        <v>2400</v>
      </c>
      <c r="L22">
        <v>0</v>
      </c>
      <c r="M22">
        <v>0</v>
      </c>
      <c r="N22">
        <v>2400</v>
      </c>
    </row>
    <row r="23" spans="1:14" x14ac:dyDescent="0.25">
      <c r="A23">
        <v>0.17170199999999999</v>
      </c>
      <c r="B23" s="1">
        <f>DATE(2010,5,1) + TIME(4,7,15)</f>
        <v>40299.171701388892</v>
      </c>
      <c r="C23">
        <v>80</v>
      </c>
      <c r="D23">
        <v>26.572746277</v>
      </c>
      <c r="E23">
        <v>50</v>
      </c>
      <c r="F23">
        <v>14.996910095</v>
      </c>
      <c r="G23">
        <v>1372.1347656</v>
      </c>
      <c r="H23">
        <v>1360.0173339999999</v>
      </c>
      <c r="I23">
        <v>1297.7579346</v>
      </c>
      <c r="J23">
        <v>1281.9858397999999</v>
      </c>
      <c r="K23">
        <v>2400</v>
      </c>
      <c r="L23">
        <v>0</v>
      </c>
      <c r="M23">
        <v>0</v>
      </c>
      <c r="N23">
        <v>2400</v>
      </c>
    </row>
    <row r="24" spans="1:14" x14ac:dyDescent="0.25">
      <c r="A24">
        <v>0.18765499999999999</v>
      </c>
      <c r="B24" s="1">
        <f>DATE(2010,5,1) + TIME(4,30,13)</f>
        <v>40299.187650462962</v>
      </c>
      <c r="C24">
        <v>80</v>
      </c>
      <c r="D24">
        <v>27.558061599999998</v>
      </c>
      <c r="E24">
        <v>50</v>
      </c>
      <c r="F24">
        <v>14.996923447</v>
      </c>
      <c r="G24">
        <v>1371.8023682</v>
      </c>
      <c r="H24">
        <v>1359.918457</v>
      </c>
      <c r="I24">
        <v>1297.7591553</v>
      </c>
      <c r="J24">
        <v>1281.9869385</v>
      </c>
      <c r="K24">
        <v>2400</v>
      </c>
      <c r="L24">
        <v>0</v>
      </c>
      <c r="M24">
        <v>0</v>
      </c>
      <c r="N24">
        <v>2400</v>
      </c>
    </row>
    <row r="25" spans="1:14" x14ac:dyDescent="0.25">
      <c r="A25">
        <v>0.203846</v>
      </c>
      <c r="B25" s="1">
        <f>DATE(2010,5,1) + TIME(4,53,32)</f>
        <v>40299.203842592593</v>
      </c>
      <c r="C25">
        <v>80</v>
      </c>
      <c r="D25">
        <v>28.543096542000001</v>
      </c>
      <c r="E25">
        <v>50</v>
      </c>
      <c r="F25">
        <v>14.996937751999999</v>
      </c>
      <c r="G25">
        <v>1371.4847411999999</v>
      </c>
      <c r="H25">
        <v>1359.8251952999999</v>
      </c>
      <c r="I25">
        <v>1297.7602539</v>
      </c>
      <c r="J25">
        <v>1281.9880370999999</v>
      </c>
      <c r="K25">
        <v>2400</v>
      </c>
      <c r="L25">
        <v>0</v>
      </c>
      <c r="M25">
        <v>0</v>
      </c>
      <c r="N25">
        <v>2400</v>
      </c>
    </row>
    <row r="26" spans="1:14" x14ac:dyDescent="0.25">
      <c r="A26">
        <v>0.22028300000000001</v>
      </c>
      <c r="B26" s="1">
        <f>DATE(2010,5,1) + TIME(5,17,12)</f>
        <v>40299.220277777778</v>
      </c>
      <c r="C26">
        <v>80</v>
      </c>
      <c r="D26">
        <v>29.527843475000001</v>
      </c>
      <c r="E26">
        <v>50</v>
      </c>
      <c r="F26">
        <v>14.996951103000001</v>
      </c>
      <c r="G26">
        <v>1371.1813964999999</v>
      </c>
      <c r="H26">
        <v>1359.7370605000001</v>
      </c>
      <c r="I26">
        <v>1297.7612305</v>
      </c>
      <c r="J26">
        <v>1281.9890137</v>
      </c>
      <c r="K26">
        <v>2400</v>
      </c>
      <c r="L26">
        <v>0</v>
      </c>
      <c r="M26">
        <v>0</v>
      </c>
      <c r="N26">
        <v>2400</v>
      </c>
    </row>
    <row r="27" spans="1:14" x14ac:dyDescent="0.25">
      <c r="A27">
        <v>0.23697399999999999</v>
      </c>
      <c r="B27" s="1">
        <f>DATE(2010,5,1) + TIME(5,41,14)</f>
        <v>40299.236967592595</v>
      </c>
      <c r="C27">
        <v>80</v>
      </c>
      <c r="D27">
        <v>30.512401580999999</v>
      </c>
      <c r="E27">
        <v>50</v>
      </c>
      <c r="F27">
        <v>14.996964455000001</v>
      </c>
      <c r="G27">
        <v>1370.8916016000001</v>
      </c>
      <c r="H27">
        <v>1359.6540527</v>
      </c>
      <c r="I27">
        <v>1297.762207</v>
      </c>
      <c r="J27">
        <v>1281.9898682</v>
      </c>
      <c r="K27">
        <v>2400</v>
      </c>
      <c r="L27">
        <v>0</v>
      </c>
      <c r="M27">
        <v>0</v>
      </c>
      <c r="N27">
        <v>2400</v>
      </c>
    </row>
    <row r="28" spans="1:14" x14ac:dyDescent="0.25">
      <c r="A28">
        <v>0.25392799999999999</v>
      </c>
      <c r="B28" s="1">
        <f>DATE(2010,5,1) + TIME(6,5,39)</f>
        <v>40299.253923611112</v>
      </c>
      <c r="C28">
        <v>80</v>
      </c>
      <c r="D28">
        <v>31.496639252000001</v>
      </c>
      <c r="E28">
        <v>50</v>
      </c>
      <c r="F28">
        <v>14.996977806</v>
      </c>
      <c r="G28">
        <v>1370.6147461</v>
      </c>
      <c r="H28">
        <v>1359.5759277</v>
      </c>
      <c r="I28">
        <v>1297.7630615</v>
      </c>
      <c r="J28">
        <v>1281.9906006000001</v>
      </c>
      <c r="K28">
        <v>2400</v>
      </c>
      <c r="L28">
        <v>0</v>
      </c>
      <c r="M28">
        <v>0</v>
      </c>
      <c r="N28">
        <v>2400</v>
      </c>
    </row>
    <row r="29" spans="1:14" x14ac:dyDescent="0.25">
      <c r="A29">
        <v>0.27115299999999998</v>
      </c>
      <c r="B29" s="1">
        <f>DATE(2010,5,1) + TIME(6,30,27)</f>
        <v>40299.271145833336</v>
      </c>
      <c r="C29">
        <v>80</v>
      </c>
      <c r="D29">
        <v>32.480438231999997</v>
      </c>
      <c r="E29">
        <v>50</v>
      </c>
      <c r="F29">
        <v>14.996991158</v>
      </c>
      <c r="G29">
        <v>1370.3502197</v>
      </c>
      <c r="H29">
        <v>1359.5023193</v>
      </c>
      <c r="I29">
        <v>1297.7639160000001</v>
      </c>
      <c r="J29">
        <v>1281.9914550999999</v>
      </c>
      <c r="K29">
        <v>2400</v>
      </c>
      <c r="L29">
        <v>0</v>
      </c>
      <c r="M29">
        <v>0</v>
      </c>
      <c r="N29">
        <v>2400</v>
      </c>
    </row>
    <row r="30" spans="1:14" x14ac:dyDescent="0.25">
      <c r="A30">
        <v>0.288661</v>
      </c>
      <c r="B30" s="1">
        <f>DATE(2010,5,1) + TIME(6,55,40)</f>
        <v>40299.288657407407</v>
      </c>
      <c r="C30">
        <v>80</v>
      </c>
      <c r="D30">
        <v>33.463890075999998</v>
      </c>
      <c r="E30">
        <v>50</v>
      </c>
      <c r="F30">
        <v>14.997004509</v>
      </c>
      <c r="G30">
        <v>1370.0975341999999</v>
      </c>
      <c r="H30">
        <v>1359.4331055</v>
      </c>
      <c r="I30">
        <v>1297.7647704999999</v>
      </c>
      <c r="J30">
        <v>1281.9920654</v>
      </c>
      <c r="K30">
        <v>2400</v>
      </c>
      <c r="L30">
        <v>0</v>
      </c>
      <c r="M30">
        <v>0</v>
      </c>
      <c r="N30">
        <v>2400</v>
      </c>
    </row>
    <row r="31" spans="1:14" x14ac:dyDescent="0.25">
      <c r="A31">
        <v>0.30646400000000001</v>
      </c>
      <c r="B31" s="1">
        <f>DATE(2010,5,1) + TIME(7,21,18)</f>
        <v>40299.306458333333</v>
      </c>
      <c r="C31">
        <v>80</v>
      </c>
      <c r="D31">
        <v>34.446971892999997</v>
      </c>
      <c r="E31">
        <v>50</v>
      </c>
      <c r="F31">
        <v>14.99701786</v>
      </c>
      <c r="G31">
        <v>1369.855957</v>
      </c>
      <c r="H31">
        <v>1359.3681641000001</v>
      </c>
      <c r="I31">
        <v>1297.7655029</v>
      </c>
      <c r="J31">
        <v>1281.9927978999999</v>
      </c>
      <c r="K31">
        <v>2400</v>
      </c>
      <c r="L31">
        <v>0</v>
      </c>
      <c r="M31">
        <v>0</v>
      </c>
      <c r="N31">
        <v>2400</v>
      </c>
    </row>
    <row r="32" spans="1:14" x14ac:dyDescent="0.25">
      <c r="A32">
        <v>0.32457399999999997</v>
      </c>
      <c r="B32" s="1">
        <f>DATE(2010,5,1) + TIME(7,47,23)</f>
        <v>40299.324571759258</v>
      </c>
      <c r="C32">
        <v>80</v>
      </c>
      <c r="D32">
        <v>35.429672240999999</v>
      </c>
      <c r="E32">
        <v>50</v>
      </c>
      <c r="F32">
        <v>14.997031212</v>
      </c>
      <c r="G32">
        <v>1369.6251221</v>
      </c>
      <c r="H32">
        <v>1359.307251</v>
      </c>
      <c r="I32">
        <v>1297.7662353999999</v>
      </c>
      <c r="J32">
        <v>1281.9934082</v>
      </c>
      <c r="K32">
        <v>2400</v>
      </c>
      <c r="L32">
        <v>0</v>
      </c>
      <c r="M32">
        <v>0</v>
      </c>
      <c r="N32">
        <v>2400</v>
      </c>
    </row>
    <row r="33" spans="1:14" x14ac:dyDescent="0.25">
      <c r="A33">
        <v>0.34300199999999997</v>
      </c>
      <c r="B33" s="1">
        <f>DATE(2010,5,1) + TIME(8,13,55)</f>
        <v>40299.342997685184</v>
      </c>
      <c r="C33">
        <v>80</v>
      </c>
      <c r="D33">
        <v>36.411964417</v>
      </c>
      <c r="E33">
        <v>50</v>
      </c>
      <c r="F33">
        <v>14.997044562999999</v>
      </c>
      <c r="G33">
        <v>1369.4044189000001</v>
      </c>
      <c r="H33">
        <v>1359.25</v>
      </c>
      <c r="I33">
        <v>1297.7668457</v>
      </c>
      <c r="J33">
        <v>1281.9940185999999</v>
      </c>
      <c r="K33">
        <v>2400</v>
      </c>
      <c r="L33">
        <v>0</v>
      </c>
      <c r="M33">
        <v>0</v>
      </c>
      <c r="N33">
        <v>2400</v>
      </c>
    </row>
    <row r="34" spans="1:14" x14ac:dyDescent="0.25">
      <c r="A34">
        <v>0.361763</v>
      </c>
      <c r="B34" s="1">
        <f>DATE(2010,5,1) + TIME(8,40,56)</f>
        <v>40299.361759259256</v>
      </c>
      <c r="C34">
        <v>80</v>
      </c>
      <c r="D34">
        <v>37.393829345999997</v>
      </c>
      <c r="E34">
        <v>50</v>
      </c>
      <c r="F34">
        <v>14.997057914999999</v>
      </c>
      <c r="G34">
        <v>1369.1936035000001</v>
      </c>
      <c r="H34">
        <v>1359.1965332</v>
      </c>
      <c r="I34">
        <v>1297.7674560999999</v>
      </c>
      <c r="J34">
        <v>1281.9945068</v>
      </c>
      <c r="K34">
        <v>2400</v>
      </c>
      <c r="L34">
        <v>0</v>
      </c>
      <c r="M34">
        <v>0</v>
      </c>
      <c r="N34">
        <v>2400</v>
      </c>
    </row>
    <row r="35" spans="1:14" x14ac:dyDescent="0.25">
      <c r="A35">
        <v>0.38086999999999999</v>
      </c>
      <c r="B35" s="1">
        <f>DATE(2010,5,1) + TIME(9,8,27)</f>
        <v>40299.380868055552</v>
      </c>
      <c r="C35">
        <v>80</v>
      </c>
      <c r="D35">
        <v>38.375247954999999</v>
      </c>
      <c r="E35">
        <v>50</v>
      </c>
      <c r="F35">
        <v>14.997071266000001</v>
      </c>
      <c r="G35">
        <v>1368.9919434000001</v>
      </c>
      <c r="H35">
        <v>1359.1463623</v>
      </c>
      <c r="I35">
        <v>1297.7680664</v>
      </c>
      <c r="J35">
        <v>1281.9951172000001</v>
      </c>
      <c r="K35">
        <v>2400</v>
      </c>
      <c r="L35">
        <v>0</v>
      </c>
      <c r="M35">
        <v>0</v>
      </c>
      <c r="N35">
        <v>2400</v>
      </c>
    </row>
    <row r="36" spans="1:14" x14ac:dyDescent="0.25">
      <c r="A36">
        <v>0.400339</v>
      </c>
      <c r="B36" s="1">
        <f>DATE(2010,5,1) + TIME(9,36,29)</f>
        <v>40299.400335648148</v>
      </c>
      <c r="C36">
        <v>80</v>
      </c>
      <c r="D36">
        <v>39.356193542</v>
      </c>
      <c r="E36">
        <v>50</v>
      </c>
      <c r="F36">
        <v>14.997084618000001</v>
      </c>
      <c r="G36">
        <v>1368.7991943</v>
      </c>
      <c r="H36">
        <v>1359.0996094</v>
      </c>
      <c r="I36">
        <v>1297.7686768000001</v>
      </c>
      <c r="J36">
        <v>1281.9956055</v>
      </c>
      <c r="K36">
        <v>2400</v>
      </c>
      <c r="L36">
        <v>0</v>
      </c>
      <c r="M36">
        <v>0</v>
      </c>
      <c r="N36">
        <v>2400</v>
      </c>
    </row>
    <row r="37" spans="1:14" x14ac:dyDescent="0.25">
      <c r="A37">
        <v>0.420186</v>
      </c>
      <c r="B37" s="1">
        <f>DATE(2010,5,1) + TIME(10,5,4)</f>
        <v>40299.420185185183</v>
      </c>
      <c r="C37">
        <v>80</v>
      </c>
      <c r="D37">
        <v>40.336719512999998</v>
      </c>
      <c r="E37">
        <v>50</v>
      </c>
      <c r="F37">
        <v>14.997098922999999</v>
      </c>
      <c r="G37">
        <v>1368.6148682</v>
      </c>
      <c r="H37">
        <v>1359.0559082</v>
      </c>
      <c r="I37">
        <v>1297.7692870999999</v>
      </c>
      <c r="J37">
        <v>1281.9960937999999</v>
      </c>
      <c r="K37">
        <v>2400</v>
      </c>
      <c r="L37">
        <v>0</v>
      </c>
      <c r="M37">
        <v>0</v>
      </c>
      <c r="N37">
        <v>2400</v>
      </c>
    </row>
    <row r="38" spans="1:14" x14ac:dyDescent="0.25">
      <c r="A38">
        <v>0.44042700000000001</v>
      </c>
      <c r="B38" s="1">
        <f>DATE(2010,5,1) + TIME(10,34,12)</f>
        <v>40299.440416666665</v>
      </c>
      <c r="C38">
        <v>80</v>
      </c>
      <c r="D38">
        <v>41.316791533999996</v>
      </c>
      <c r="E38">
        <v>50</v>
      </c>
      <c r="F38">
        <v>14.997112273999999</v>
      </c>
      <c r="G38">
        <v>1368.4385986</v>
      </c>
      <c r="H38">
        <v>1359.0151367000001</v>
      </c>
      <c r="I38">
        <v>1297.7697754000001</v>
      </c>
      <c r="J38">
        <v>1281.9964600000001</v>
      </c>
      <c r="K38">
        <v>2400</v>
      </c>
      <c r="L38">
        <v>0</v>
      </c>
      <c r="M38">
        <v>0</v>
      </c>
      <c r="N38">
        <v>2400</v>
      </c>
    </row>
    <row r="39" spans="1:14" x14ac:dyDescent="0.25">
      <c r="A39">
        <v>0.46107900000000002</v>
      </c>
      <c r="B39" s="1">
        <f>DATE(2010,5,1) + TIME(11,3,57)</f>
        <v>40299.461076388892</v>
      </c>
      <c r="C39">
        <v>80</v>
      </c>
      <c r="D39">
        <v>42.296169280999997</v>
      </c>
      <c r="E39">
        <v>50</v>
      </c>
      <c r="F39">
        <v>14.997125626000001</v>
      </c>
      <c r="G39">
        <v>1368.2701416</v>
      </c>
      <c r="H39">
        <v>1358.9771728999999</v>
      </c>
      <c r="I39">
        <v>1297.7702637</v>
      </c>
      <c r="J39">
        <v>1281.9969481999999</v>
      </c>
      <c r="K39">
        <v>2400</v>
      </c>
      <c r="L39">
        <v>0</v>
      </c>
      <c r="M39">
        <v>0</v>
      </c>
      <c r="N39">
        <v>2400</v>
      </c>
    </row>
    <row r="40" spans="1:14" x14ac:dyDescent="0.25">
      <c r="A40">
        <v>0.48216700000000001</v>
      </c>
      <c r="B40" s="1">
        <f>DATE(2010,5,1) + TIME(11,34,19)</f>
        <v>40299.482164351852</v>
      </c>
      <c r="C40">
        <v>80</v>
      </c>
      <c r="D40">
        <v>43.274959564</v>
      </c>
      <c r="E40">
        <v>50</v>
      </c>
      <c r="F40">
        <v>14.997138977000001</v>
      </c>
      <c r="G40">
        <v>1368.1088867000001</v>
      </c>
      <c r="H40">
        <v>1358.9418945</v>
      </c>
      <c r="I40">
        <v>1297.7707519999999</v>
      </c>
      <c r="J40">
        <v>1281.9973144999999</v>
      </c>
      <c r="K40">
        <v>2400</v>
      </c>
      <c r="L40">
        <v>0</v>
      </c>
      <c r="M40">
        <v>0</v>
      </c>
      <c r="N40">
        <v>2400</v>
      </c>
    </row>
    <row r="41" spans="1:14" x14ac:dyDescent="0.25">
      <c r="A41">
        <v>0.50371200000000005</v>
      </c>
      <c r="B41" s="1">
        <f>DATE(2010,5,1) + TIME(12,5,20)</f>
        <v>40299.503703703704</v>
      </c>
      <c r="C41">
        <v>80</v>
      </c>
      <c r="D41">
        <v>44.253131865999997</v>
      </c>
      <c r="E41">
        <v>50</v>
      </c>
      <c r="F41">
        <v>14.997152328</v>
      </c>
      <c r="G41">
        <v>1367.9547118999999</v>
      </c>
      <c r="H41">
        <v>1358.9090576000001</v>
      </c>
      <c r="I41">
        <v>1297.7712402</v>
      </c>
      <c r="J41">
        <v>1281.9976807</v>
      </c>
      <c r="K41">
        <v>2400</v>
      </c>
      <c r="L41">
        <v>0</v>
      </c>
      <c r="M41">
        <v>0</v>
      </c>
      <c r="N41">
        <v>2400</v>
      </c>
    </row>
    <row r="42" spans="1:14" x14ac:dyDescent="0.25">
      <c r="A42">
        <v>0.52573700000000001</v>
      </c>
      <c r="B42" s="1">
        <f>DATE(2010,5,1) + TIME(12,37,3)</f>
        <v>40299.525729166664</v>
      </c>
      <c r="C42">
        <v>80</v>
      </c>
      <c r="D42">
        <v>45.230644226000003</v>
      </c>
      <c r="E42">
        <v>50</v>
      </c>
      <c r="F42">
        <v>14.997166633999999</v>
      </c>
      <c r="G42">
        <v>1367.8071289</v>
      </c>
      <c r="H42">
        <v>1358.8785399999999</v>
      </c>
      <c r="I42">
        <v>1297.7717285000001</v>
      </c>
      <c r="J42">
        <v>1281.9979248</v>
      </c>
      <c r="K42">
        <v>2400</v>
      </c>
      <c r="L42">
        <v>0</v>
      </c>
      <c r="M42">
        <v>0</v>
      </c>
      <c r="N42">
        <v>2400</v>
      </c>
    </row>
    <row r="43" spans="1:14" x14ac:dyDescent="0.25">
      <c r="A43">
        <v>0.54826900000000001</v>
      </c>
      <c r="B43" s="1">
        <f>DATE(2010,5,1) + TIME(13,9,30)</f>
        <v>40299.548263888886</v>
      </c>
      <c r="C43">
        <v>80</v>
      </c>
      <c r="D43">
        <v>46.207462311</v>
      </c>
      <c r="E43">
        <v>50</v>
      </c>
      <c r="F43">
        <v>14.997179985000001</v>
      </c>
      <c r="G43">
        <v>1367.6660156</v>
      </c>
      <c r="H43">
        <v>1358.8503418</v>
      </c>
      <c r="I43">
        <v>1297.7722168</v>
      </c>
      <c r="J43">
        <v>1281.9982910000001</v>
      </c>
      <c r="K43">
        <v>2400</v>
      </c>
      <c r="L43">
        <v>0</v>
      </c>
      <c r="M43">
        <v>0</v>
      </c>
      <c r="N43">
        <v>2400</v>
      </c>
    </row>
    <row r="44" spans="1:14" x14ac:dyDescent="0.25">
      <c r="A44">
        <v>0.57133599999999996</v>
      </c>
      <c r="B44" s="1">
        <f>DATE(2010,5,1) + TIME(13,42,43)</f>
        <v>40299.571331018517</v>
      </c>
      <c r="C44">
        <v>80</v>
      </c>
      <c r="D44">
        <v>47.183536529999998</v>
      </c>
      <c r="E44">
        <v>50</v>
      </c>
      <c r="F44">
        <v>14.997193336</v>
      </c>
      <c r="G44">
        <v>1367.5308838000001</v>
      </c>
      <c r="H44">
        <v>1358.8242187999999</v>
      </c>
      <c r="I44">
        <v>1297.7725829999999</v>
      </c>
      <c r="J44">
        <v>1281.9986572</v>
      </c>
      <c r="K44">
        <v>2400</v>
      </c>
      <c r="L44">
        <v>0</v>
      </c>
      <c r="M44">
        <v>0</v>
      </c>
      <c r="N44">
        <v>2400</v>
      </c>
    </row>
    <row r="45" spans="1:14" x14ac:dyDescent="0.25">
      <c r="A45">
        <v>0.59496800000000005</v>
      </c>
      <c r="B45" s="1">
        <f>DATE(2010,5,1) + TIME(14,16,45)</f>
        <v>40299.594965277778</v>
      </c>
      <c r="C45">
        <v>80</v>
      </c>
      <c r="D45">
        <v>48.158828735</v>
      </c>
      <c r="E45">
        <v>50</v>
      </c>
      <c r="F45">
        <v>14.997207641999999</v>
      </c>
      <c r="G45">
        <v>1367.4016113</v>
      </c>
      <c r="H45">
        <v>1358.7999268000001</v>
      </c>
      <c r="I45">
        <v>1297.7729492000001</v>
      </c>
      <c r="J45">
        <v>1281.9989014</v>
      </c>
      <c r="K45">
        <v>2400</v>
      </c>
      <c r="L45">
        <v>0</v>
      </c>
      <c r="M45">
        <v>0</v>
      </c>
      <c r="N45">
        <v>2400</v>
      </c>
    </row>
    <row r="46" spans="1:14" x14ac:dyDescent="0.25">
      <c r="A46">
        <v>0.61919900000000005</v>
      </c>
      <c r="B46" s="1">
        <f>DATE(2010,5,1) + TIME(14,51,38)</f>
        <v>40299.619189814817</v>
      </c>
      <c r="C46">
        <v>80</v>
      </c>
      <c r="D46">
        <v>49.133285522000001</v>
      </c>
      <c r="E46">
        <v>50</v>
      </c>
      <c r="F46">
        <v>14.997220992999999</v>
      </c>
      <c r="G46">
        <v>1367.277832</v>
      </c>
      <c r="H46">
        <v>1358.7775879000001</v>
      </c>
      <c r="I46">
        <v>1297.7734375</v>
      </c>
      <c r="J46">
        <v>1281.9991454999999</v>
      </c>
      <c r="K46">
        <v>2400</v>
      </c>
      <c r="L46">
        <v>0</v>
      </c>
      <c r="M46">
        <v>0</v>
      </c>
      <c r="N46">
        <v>2400</v>
      </c>
    </row>
    <row r="47" spans="1:14" x14ac:dyDescent="0.25">
      <c r="A47">
        <v>0.64406399999999997</v>
      </c>
      <c r="B47" s="1">
        <f>DATE(2010,5,1) + TIME(15,27,27)</f>
        <v>40299.644062500003</v>
      </c>
      <c r="C47">
        <v>80</v>
      </c>
      <c r="D47">
        <v>50.106803894000002</v>
      </c>
      <c r="E47">
        <v>50</v>
      </c>
      <c r="F47">
        <v>14.997235298</v>
      </c>
      <c r="G47">
        <v>1367.1591797000001</v>
      </c>
      <c r="H47">
        <v>1358.7568358999999</v>
      </c>
      <c r="I47">
        <v>1297.7738036999999</v>
      </c>
      <c r="J47">
        <v>1281.9993896000001</v>
      </c>
      <c r="K47">
        <v>2400</v>
      </c>
      <c r="L47">
        <v>0</v>
      </c>
      <c r="M47">
        <v>0</v>
      </c>
      <c r="N47">
        <v>2400</v>
      </c>
    </row>
    <row r="48" spans="1:14" x14ac:dyDescent="0.25">
      <c r="A48">
        <v>0.66960699999999995</v>
      </c>
      <c r="B48" s="1">
        <f>DATE(2010,5,1) + TIME(16,4,14)</f>
        <v>40299.669606481482</v>
      </c>
      <c r="C48">
        <v>80</v>
      </c>
      <c r="D48">
        <v>51.079002379999999</v>
      </c>
      <c r="E48">
        <v>50</v>
      </c>
      <c r="F48">
        <v>14.997249603</v>
      </c>
      <c r="G48">
        <v>1367.0456543</v>
      </c>
      <c r="H48">
        <v>1358.7376709</v>
      </c>
      <c r="I48">
        <v>1297.7741699000001</v>
      </c>
      <c r="J48">
        <v>1281.9996338000001</v>
      </c>
      <c r="K48">
        <v>2400</v>
      </c>
      <c r="L48">
        <v>0</v>
      </c>
      <c r="M48">
        <v>0</v>
      </c>
      <c r="N48">
        <v>2400</v>
      </c>
    </row>
    <row r="49" spans="1:14" x14ac:dyDescent="0.25">
      <c r="A49">
        <v>0.69588000000000005</v>
      </c>
      <c r="B49" s="1">
        <f>DATE(2010,5,1) + TIME(16,42,4)</f>
        <v>40299.695879629631</v>
      </c>
      <c r="C49">
        <v>80</v>
      </c>
      <c r="D49">
        <v>52.050571441999999</v>
      </c>
      <c r="E49">
        <v>50</v>
      </c>
      <c r="F49">
        <v>14.997262955</v>
      </c>
      <c r="G49">
        <v>1366.9366454999999</v>
      </c>
      <c r="H49">
        <v>1358.7198486</v>
      </c>
      <c r="I49">
        <v>1297.7745361</v>
      </c>
      <c r="J49">
        <v>1281.9998779</v>
      </c>
      <c r="K49">
        <v>2400</v>
      </c>
      <c r="L49">
        <v>0</v>
      </c>
      <c r="M49">
        <v>0</v>
      </c>
      <c r="N49">
        <v>2400</v>
      </c>
    </row>
    <row r="50" spans="1:14" x14ac:dyDescent="0.25">
      <c r="A50">
        <v>0.72292100000000004</v>
      </c>
      <c r="B50" s="1">
        <f>DATE(2010,5,1) + TIME(17,21,0)</f>
        <v>40299.722916666666</v>
      </c>
      <c r="C50">
        <v>80</v>
      </c>
      <c r="D50">
        <v>53.021053314</v>
      </c>
      <c r="E50">
        <v>50</v>
      </c>
      <c r="F50">
        <v>14.997277260000001</v>
      </c>
      <c r="G50">
        <v>1366.8322754000001</v>
      </c>
      <c r="H50">
        <v>1358.7034911999999</v>
      </c>
      <c r="I50">
        <v>1297.7749022999999</v>
      </c>
      <c r="J50">
        <v>1282.0001221</v>
      </c>
      <c r="K50">
        <v>2400</v>
      </c>
      <c r="L50">
        <v>0</v>
      </c>
      <c r="M50">
        <v>0</v>
      </c>
      <c r="N50">
        <v>2400</v>
      </c>
    </row>
    <row r="51" spans="1:14" x14ac:dyDescent="0.25">
      <c r="A51">
        <v>0.75078599999999995</v>
      </c>
      <c r="B51" s="1">
        <f>DATE(2010,5,1) + TIME(18,1,7)</f>
        <v>40299.750775462962</v>
      </c>
      <c r="C51">
        <v>80</v>
      </c>
      <c r="D51">
        <v>53.990367888999998</v>
      </c>
      <c r="E51">
        <v>50</v>
      </c>
      <c r="F51">
        <v>14.997291564999999</v>
      </c>
      <c r="G51">
        <v>1366.7320557</v>
      </c>
      <c r="H51">
        <v>1358.6882324000001</v>
      </c>
      <c r="I51">
        <v>1297.7752685999999</v>
      </c>
      <c r="J51">
        <v>1282.0003661999999</v>
      </c>
      <c r="K51">
        <v>2400</v>
      </c>
      <c r="L51">
        <v>0</v>
      </c>
      <c r="M51">
        <v>0</v>
      </c>
      <c r="N51">
        <v>2400</v>
      </c>
    </row>
    <row r="52" spans="1:14" x14ac:dyDescent="0.25">
      <c r="A52">
        <v>0.779532</v>
      </c>
      <c r="B52" s="1">
        <f>DATE(2010,5,1) + TIME(18,42,31)</f>
        <v>40299.77952546296</v>
      </c>
      <c r="C52">
        <v>80</v>
      </c>
      <c r="D52">
        <v>54.958427428999997</v>
      </c>
      <c r="E52">
        <v>50</v>
      </c>
      <c r="F52">
        <v>14.99730587</v>
      </c>
      <c r="G52">
        <v>1366.6358643000001</v>
      </c>
      <c r="H52">
        <v>1358.6739502</v>
      </c>
      <c r="I52">
        <v>1297.7755127</v>
      </c>
      <c r="J52">
        <v>1282.0004882999999</v>
      </c>
      <c r="K52">
        <v>2400</v>
      </c>
      <c r="L52">
        <v>0</v>
      </c>
      <c r="M52">
        <v>0</v>
      </c>
      <c r="N52">
        <v>2400</v>
      </c>
    </row>
    <row r="53" spans="1:14" x14ac:dyDescent="0.25">
      <c r="A53">
        <v>0.809226</v>
      </c>
      <c r="B53" s="1">
        <f>DATE(2010,5,1) + TIME(19,25,17)</f>
        <v>40299.809224537035</v>
      </c>
      <c r="C53">
        <v>80</v>
      </c>
      <c r="D53">
        <v>55.925136565999999</v>
      </c>
      <c r="E53">
        <v>50</v>
      </c>
      <c r="F53">
        <v>14.997320175</v>
      </c>
      <c r="G53">
        <v>1366.543457</v>
      </c>
      <c r="H53">
        <v>1358.6606445</v>
      </c>
      <c r="I53">
        <v>1297.7758789</v>
      </c>
      <c r="J53">
        <v>1282.0007324000001</v>
      </c>
      <c r="K53">
        <v>2400</v>
      </c>
      <c r="L53">
        <v>0</v>
      </c>
      <c r="M53">
        <v>0</v>
      </c>
      <c r="N53">
        <v>2400</v>
      </c>
    </row>
    <row r="54" spans="1:14" x14ac:dyDescent="0.25">
      <c r="A54">
        <v>0.83994400000000002</v>
      </c>
      <c r="B54" s="1">
        <f>DATE(2010,5,1) + TIME(20,9,31)</f>
        <v>40299.839942129627</v>
      </c>
      <c r="C54">
        <v>80</v>
      </c>
      <c r="D54">
        <v>56.890392302999999</v>
      </c>
      <c r="E54">
        <v>50</v>
      </c>
      <c r="F54">
        <v>14.997334479999999</v>
      </c>
      <c r="G54">
        <v>1366.4545897999999</v>
      </c>
      <c r="H54">
        <v>1358.6480713000001</v>
      </c>
      <c r="I54">
        <v>1297.7762451000001</v>
      </c>
      <c r="J54">
        <v>1282.0009766000001</v>
      </c>
      <c r="K54">
        <v>2400</v>
      </c>
      <c r="L54">
        <v>0</v>
      </c>
      <c r="M54">
        <v>0</v>
      </c>
      <c r="N54">
        <v>2400</v>
      </c>
    </row>
    <row r="55" spans="1:14" x14ac:dyDescent="0.25">
      <c r="A55">
        <v>0.87176699999999996</v>
      </c>
      <c r="B55" s="1">
        <f>DATE(2010,5,1) + TIME(20,55,20)</f>
        <v>40299.871759259258</v>
      </c>
      <c r="C55">
        <v>80</v>
      </c>
      <c r="D55">
        <v>57.854064940999997</v>
      </c>
      <c r="E55">
        <v>50</v>
      </c>
      <c r="F55">
        <v>14.997349739000001</v>
      </c>
      <c r="G55">
        <v>1366.3690185999999</v>
      </c>
      <c r="H55">
        <v>1358.6361084</v>
      </c>
      <c r="I55">
        <v>1297.7766113</v>
      </c>
      <c r="J55">
        <v>1282.0010986</v>
      </c>
      <c r="K55">
        <v>2400</v>
      </c>
      <c r="L55">
        <v>0</v>
      </c>
      <c r="M55">
        <v>0</v>
      </c>
      <c r="N55">
        <v>2400</v>
      </c>
    </row>
    <row r="56" spans="1:14" x14ac:dyDescent="0.25">
      <c r="A56">
        <v>0.90478899999999995</v>
      </c>
      <c r="B56" s="1">
        <f>DATE(2010,5,1) + TIME(21,42,53)</f>
        <v>40299.904780092591</v>
      </c>
      <c r="C56">
        <v>80</v>
      </c>
      <c r="D56">
        <v>58.816032409999998</v>
      </c>
      <c r="E56">
        <v>50</v>
      </c>
      <c r="F56">
        <v>14.997364043999999</v>
      </c>
      <c r="G56">
        <v>1366.2866211</v>
      </c>
      <c r="H56">
        <v>1358.6247559000001</v>
      </c>
      <c r="I56">
        <v>1297.7769774999999</v>
      </c>
      <c r="J56">
        <v>1282.0013428</v>
      </c>
      <c r="K56">
        <v>2400</v>
      </c>
      <c r="L56">
        <v>0</v>
      </c>
      <c r="M56">
        <v>0</v>
      </c>
      <c r="N56">
        <v>2400</v>
      </c>
    </row>
    <row r="57" spans="1:14" x14ac:dyDescent="0.25">
      <c r="A57">
        <v>0.93911699999999998</v>
      </c>
      <c r="B57" s="1">
        <f>DATE(2010,5,1) + TIME(22,32,19)</f>
        <v>40299.939108796294</v>
      </c>
      <c r="C57">
        <v>80</v>
      </c>
      <c r="D57">
        <v>59.776134491000001</v>
      </c>
      <c r="E57">
        <v>50</v>
      </c>
      <c r="F57">
        <v>14.997379303000001</v>
      </c>
      <c r="G57">
        <v>1366.2070312000001</v>
      </c>
      <c r="H57">
        <v>1358.6136475000001</v>
      </c>
      <c r="I57">
        <v>1297.7773437999999</v>
      </c>
      <c r="J57">
        <v>1282.0015868999999</v>
      </c>
      <c r="K57">
        <v>2400</v>
      </c>
      <c r="L57">
        <v>0</v>
      </c>
      <c r="M57">
        <v>0</v>
      </c>
      <c r="N57">
        <v>2400</v>
      </c>
    </row>
    <row r="58" spans="1:14" x14ac:dyDescent="0.25">
      <c r="A58">
        <v>0.97487199999999996</v>
      </c>
      <c r="B58" s="1">
        <f>DATE(2010,5,1) + TIME(23,23,48)</f>
        <v>40299.974861111114</v>
      </c>
      <c r="C58">
        <v>80</v>
      </c>
      <c r="D58">
        <v>60.733669280999997</v>
      </c>
      <c r="E58">
        <v>50</v>
      </c>
      <c r="F58">
        <v>14.997394562</v>
      </c>
      <c r="G58">
        <v>1366.130249</v>
      </c>
      <c r="H58">
        <v>1358.6026611</v>
      </c>
      <c r="I58">
        <v>1297.7777100000001</v>
      </c>
      <c r="J58">
        <v>1282.0018310999999</v>
      </c>
      <c r="K58">
        <v>2400</v>
      </c>
      <c r="L58">
        <v>0</v>
      </c>
      <c r="M58">
        <v>0</v>
      </c>
      <c r="N58">
        <v>2400</v>
      </c>
    </row>
    <row r="59" spans="1:14" x14ac:dyDescent="0.25">
      <c r="A59">
        <v>1.012213</v>
      </c>
      <c r="B59" s="1">
        <f>DATE(2010,5,2) + TIME(0,17,35)</f>
        <v>40300.01221064815</v>
      </c>
      <c r="C59">
        <v>80</v>
      </c>
      <c r="D59">
        <v>61.689296722000002</v>
      </c>
      <c r="E59">
        <v>50</v>
      </c>
      <c r="F59">
        <v>14.997409821</v>
      </c>
      <c r="G59">
        <v>1366.0556641000001</v>
      </c>
      <c r="H59">
        <v>1358.5916748</v>
      </c>
      <c r="I59">
        <v>1297.7780762</v>
      </c>
      <c r="J59">
        <v>1282.0019531</v>
      </c>
      <c r="K59">
        <v>2400</v>
      </c>
      <c r="L59">
        <v>0</v>
      </c>
      <c r="M59">
        <v>0</v>
      </c>
      <c r="N59">
        <v>2400</v>
      </c>
    </row>
    <row r="60" spans="1:14" x14ac:dyDescent="0.25">
      <c r="A60">
        <v>1.0512870000000001</v>
      </c>
      <c r="B60" s="1">
        <f>DATE(2010,5,2) + TIME(1,13,51)</f>
        <v>40300.05128472222</v>
      </c>
      <c r="C60">
        <v>80</v>
      </c>
      <c r="D60">
        <v>62.642616271999998</v>
      </c>
      <c r="E60">
        <v>50</v>
      </c>
      <c r="F60">
        <v>14.997426033</v>
      </c>
      <c r="G60">
        <v>1365.9832764</v>
      </c>
      <c r="H60">
        <v>1358.5805664</v>
      </c>
      <c r="I60">
        <v>1297.7784423999999</v>
      </c>
      <c r="J60">
        <v>1282.0021973</v>
      </c>
      <c r="K60">
        <v>2400</v>
      </c>
      <c r="L60">
        <v>0</v>
      </c>
      <c r="M60">
        <v>0</v>
      </c>
      <c r="N60">
        <v>2400</v>
      </c>
    </row>
    <row r="61" spans="1:14" x14ac:dyDescent="0.25">
      <c r="A61">
        <v>1.092274</v>
      </c>
      <c r="B61" s="1">
        <f>DATE(2010,5,2) + TIME(2,12,52)</f>
        <v>40300.092268518521</v>
      </c>
      <c r="C61">
        <v>80</v>
      </c>
      <c r="D61">
        <v>63.593231201000002</v>
      </c>
      <c r="E61">
        <v>50</v>
      </c>
      <c r="F61">
        <v>14.997442245</v>
      </c>
      <c r="G61">
        <v>1365.9128418</v>
      </c>
      <c r="H61">
        <v>1358.5690918</v>
      </c>
      <c r="I61">
        <v>1297.7789307</v>
      </c>
      <c r="J61">
        <v>1282.0024414</v>
      </c>
      <c r="K61">
        <v>2400</v>
      </c>
      <c r="L61">
        <v>0</v>
      </c>
      <c r="M61">
        <v>0</v>
      </c>
      <c r="N61">
        <v>2400</v>
      </c>
    </row>
    <row r="62" spans="1:14" x14ac:dyDescent="0.25">
      <c r="A62">
        <v>1.135391</v>
      </c>
      <c r="B62" s="1">
        <f>DATE(2010,5,2) + TIME(3,14,57)</f>
        <v>40300.135381944441</v>
      </c>
      <c r="C62">
        <v>80</v>
      </c>
      <c r="D62">
        <v>64.540840149000005</v>
      </c>
      <c r="E62">
        <v>50</v>
      </c>
      <c r="F62">
        <v>14.997458458000001</v>
      </c>
      <c r="G62">
        <v>1365.8441161999999</v>
      </c>
      <c r="H62">
        <v>1358.5570068</v>
      </c>
      <c r="I62">
        <v>1297.7792969</v>
      </c>
      <c r="J62">
        <v>1282.0026855000001</v>
      </c>
      <c r="K62">
        <v>2400</v>
      </c>
      <c r="L62">
        <v>0</v>
      </c>
      <c r="M62">
        <v>0</v>
      </c>
      <c r="N62">
        <v>2400</v>
      </c>
    </row>
    <row r="63" spans="1:14" x14ac:dyDescent="0.25">
      <c r="A63">
        <v>1.1808920000000001</v>
      </c>
      <c r="B63" s="1">
        <f>DATE(2010,5,2) + TIME(4,20,29)</f>
        <v>40300.180891203701</v>
      </c>
      <c r="C63">
        <v>80</v>
      </c>
      <c r="D63">
        <v>65.485221863000007</v>
      </c>
      <c r="E63">
        <v>50</v>
      </c>
      <c r="F63">
        <v>14.997474670000001</v>
      </c>
      <c r="G63">
        <v>1365.7767334</v>
      </c>
      <c r="H63">
        <v>1358.5440673999999</v>
      </c>
      <c r="I63">
        <v>1297.7797852000001</v>
      </c>
      <c r="J63">
        <v>1282.0029297000001</v>
      </c>
      <c r="K63">
        <v>2400</v>
      </c>
      <c r="L63">
        <v>0</v>
      </c>
      <c r="M63">
        <v>0</v>
      </c>
      <c r="N63">
        <v>2400</v>
      </c>
    </row>
    <row r="64" spans="1:14" x14ac:dyDescent="0.25">
      <c r="A64">
        <v>1.2290719999999999</v>
      </c>
      <c r="B64" s="1">
        <f>DATE(2010,5,2) + TIME(5,29,51)</f>
        <v>40300.229062500002</v>
      </c>
      <c r="C64">
        <v>80</v>
      </c>
      <c r="D64">
        <v>66.425857543999996</v>
      </c>
      <c r="E64">
        <v>50</v>
      </c>
      <c r="F64">
        <v>14.997491837</v>
      </c>
      <c r="G64">
        <v>1365.7104492000001</v>
      </c>
      <c r="H64">
        <v>1358.5300293</v>
      </c>
      <c r="I64">
        <v>1297.7802733999999</v>
      </c>
      <c r="J64">
        <v>1282.0032959</v>
      </c>
      <c r="K64">
        <v>2400</v>
      </c>
      <c r="L64">
        <v>0</v>
      </c>
      <c r="M64">
        <v>0</v>
      </c>
      <c r="N64">
        <v>2400</v>
      </c>
    </row>
    <row r="65" spans="1:14" x14ac:dyDescent="0.25">
      <c r="A65">
        <v>1.254516</v>
      </c>
      <c r="B65" s="1">
        <f>DATE(2010,5,2) + TIME(6,6,30)</f>
        <v>40300.254513888889</v>
      </c>
      <c r="C65">
        <v>80</v>
      </c>
      <c r="D65">
        <v>66.907890320000007</v>
      </c>
      <c r="E65">
        <v>50</v>
      </c>
      <c r="F65">
        <v>14.99750042</v>
      </c>
      <c r="G65">
        <v>1365.7016602000001</v>
      </c>
      <c r="H65">
        <v>1358.5263672000001</v>
      </c>
      <c r="I65">
        <v>1297.7806396000001</v>
      </c>
      <c r="J65">
        <v>1282.0035399999999</v>
      </c>
      <c r="K65">
        <v>2400</v>
      </c>
      <c r="L65">
        <v>0</v>
      </c>
      <c r="M65">
        <v>0</v>
      </c>
      <c r="N65">
        <v>2400</v>
      </c>
    </row>
    <row r="66" spans="1:14" x14ac:dyDescent="0.25">
      <c r="A66">
        <v>1.2799590000000001</v>
      </c>
      <c r="B66" s="1">
        <f>DATE(2010,5,2) + TIME(6,43,8)</f>
        <v>40300.279953703706</v>
      </c>
      <c r="C66">
        <v>80</v>
      </c>
      <c r="D66">
        <v>67.374107361</v>
      </c>
      <c r="E66">
        <v>50</v>
      </c>
      <c r="F66">
        <v>14.997509002999999</v>
      </c>
      <c r="G66">
        <v>1365.6700439000001</v>
      </c>
      <c r="H66">
        <v>1358.519043</v>
      </c>
      <c r="I66">
        <v>1297.7810059000001</v>
      </c>
      <c r="J66">
        <v>1282.0037841999999</v>
      </c>
      <c r="K66">
        <v>2400</v>
      </c>
      <c r="L66">
        <v>0</v>
      </c>
      <c r="M66">
        <v>0</v>
      </c>
      <c r="N66">
        <v>2400</v>
      </c>
    </row>
    <row r="67" spans="1:14" x14ac:dyDescent="0.25">
      <c r="A67">
        <v>1.3054030000000001</v>
      </c>
      <c r="B67" s="1">
        <f>DATE(2010,5,2) + TIME(7,19,46)</f>
        <v>40300.305393518516</v>
      </c>
      <c r="C67">
        <v>80</v>
      </c>
      <c r="D67">
        <v>67.824943542</v>
      </c>
      <c r="E67">
        <v>50</v>
      </c>
      <c r="F67">
        <v>14.997517586000001</v>
      </c>
      <c r="G67">
        <v>1365.6395264</v>
      </c>
      <c r="H67">
        <v>1358.5113524999999</v>
      </c>
      <c r="I67">
        <v>1297.78125</v>
      </c>
      <c r="J67">
        <v>1282.0039062000001</v>
      </c>
      <c r="K67">
        <v>2400</v>
      </c>
      <c r="L67">
        <v>0</v>
      </c>
      <c r="M67">
        <v>0</v>
      </c>
      <c r="N67">
        <v>2400</v>
      </c>
    </row>
    <row r="68" spans="1:14" x14ac:dyDescent="0.25">
      <c r="A68">
        <v>1.330846</v>
      </c>
      <c r="B68" s="1">
        <f>DATE(2010,5,2) + TIME(7,56,25)</f>
        <v>40300.33084490741</v>
      </c>
      <c r="C68">
        <v>80</v>
      </c>
      <c r="D68">
        <v>68.260833739999995</v>
      </c>
      <c r="E68">
        <v>50</v>
      </c>
      <c r="F68">
        <v>14.997526169</v>
      </c>
      <c r="G68">
        <v>1365.6099853999999</v>
      </c>
      <c r="H68">
        <v>1358.503418</v>
      </c>
      <c r="I68">
        <v>1297.7814940999999</v>
      </c>
      <c r="J68">
        <v>1282.0040283000001</v>
      </c>
      <c r="K68">
        <v>2400</v>
      </c>
      <c r="L68">
        <v>0</v>
      </c>
      <c r="M68">
        <v>0</v>
      </c>
      <c r="N68">
        <v>2400</v>
      </c>
    </row>
    <row r="69" spans="1:14" x14ac:dyDescent="0.25">
      <c r="A69">
        <v>1.35629</v>
      </c>
      <c r="B69" s="1">
        <f>DATE(2010,5,2) + TIME(8,33,3)</f>
        <v>40300.35628472222</v>
      </c>
      <c r="C69">
        <v>80</v>
      </c>
      <c r="D69">
        <v>68.682174683</v>
      </c>
      <c r="E69">
        <v>50</v>
      </c>
      <c r="F69">
        <v>14.997533797999999</v>
      </c>
      <c r="G69">
        <v>1365.5812988</v>
      </c>
      <c r="H69">
        <v>1358.4952393000001</v>
      </c>
      <c r="I69">
        <v>1297.7817382999999</v>
      </c>
      <c r="J69">
        <v>1282.0042725000001</v>
      </c>
      <c r="K69">
        <v>2400</v>
      </c>
      <c r="L69">
        <v>0</v>
      </c>
      <c r="M69">
        <v>0</v>
      </c>
      <c r="N69">
        <v>2400</v>
      </c>
    </row>
    <row r="70" spans="1:14" x14ac:dyDescent="0.25">
      <c r="A70">
        <v>1.381734</v>
      </c>
      <c r="B70" s="1">
        <f>DATE(2010,5,2) + TIME(9,9,41)</f>
        <v>40300.381724537037</v>
      </c>
      <c r="C70">
        <v>80</v>
      </c>
      <c r="D70">
        <v>69.089393615999995</v>
      </c>
      <c r="E70">
        <v>50</v>
      </c>
      <c r="F70">
        <v>14.997542381000001</v>
      </c>
      <c r="G70">
        <v>1365.5534668</v>
      </c>
      <c r="H70">
        <v>1358.4868164</v>
      </c>
      <c r="I70">
        <v>1297.7819824000001</v>
      </c>
      <c r="J70">
        <v>1282.0043945</v>
      </c>
      <c r="K70">
        <v>2400</v>
      </c>
      <c r="L70">
        <v>0</v>
      </c>
      <c r="M70">
        <v>0</v>
      </c>
      <c r="N70">
        <v>2400</v>
      </c>
    </row>
    <row r="71" spans="1:14" x14ac:dyDescent="0.25">
      <c r="A71">
        <v>1.4071769999999999</v>
      </c>
      <c r="B71" s="1">
        <f>DATE(2010,5,2) + TIME(9,46,20)</f>
        <v>40300.407175925924</v>
      </c>
      <c r="C71">
        <v>80</v>
      </c>
      <c r="D71">
        <v>69.482879639000004</v>
      </c>
      <c r="E71">
        <v>50</v>
      </c>
      <c r="F71">
        <v>14.997550011</v>
      </c>
      <c r="G71">
        <v>1365.5262451000001</v>
      </c>
      <c r="H71">
        <v>1358.4781493999999</v>
      </c>
      <c r="I71">
        <v>1297.7822266000001</v>
      </c>
      <c r="J71">
        <v>1282.0045166</v>
      </c>
      <c r="K71">
        <v>2400</v>
      </c>
      <c r="L71">
        <v>0</v>
      </c>
      <c r="M71">
        <v>0</v>
      </c>
      <c r="N71">
        <v>2400</v>
      </c>
    </row>
    <row r="72" spans="1:14" x14ac:dyDescent="0.25">
      <c r="A72">
        <v>1.4326209999999999</v>
      </c>
      <c r="B72" s="1">
        <f>DATE(2010,5,2) + TIME(10,22,58)</f>
        <v>40300.432615740741</v>
      </c>
      <c r="C72">
        <v>80</v>
      </c>
      <c r="D72">
        <v>69.863037109000004</v>
      </c>
      <c r="E72">
        <v>50</v>
      </c>
      <c r="F72">
        <v>14.99755764</v>
      </c>
      <c r="G72">
        <v>1365.4998779</v>
      </c>
      <c r="H72">
        <v>1358.4691161999999</v>
      </c>
      <c r="I72">
        <v>1297.7824707</v>
      </c>
      <c r="J72">
        <v>1282.0047606999999</v>
      </c>
      <c r="K72">
        <v>2400</v>
      </c>
      <c r="L72">
        <v>0</v>
      </c>
      <c r="M72">
        <v>0</v>
      </c>
      <c r="N72">
        <v>2400</v>
      </c>
    </row>
    <row r="73" spans="1:14" x14ac:dyDescent="0.25">
      <c r="A73">
        <v>1.458064</v>
      </c>
      <c r="B73" s="1">
        <f>DATE(2010,5,2) + TIME(10,59,36)</f>
        <v>40300.458055555559</v>
      </c>
      <c r="C73">
        <v>80</v>
      </c>
      <c r="D73">
        <v>70.230079650999997</v>
      </c>
      <c r="E73">
        <v>50</v>
      </c>
      <c r="F73">
        <v>14.997565269000001</v>
      </c>
      <c r="G73">
        <v>1365.473999</v>
      </c>
      <c r="H73">
        <v>1358.4599608999999</v>
      </c>
      <c r="I73">
        <v>1297.7827147999999</v>
      </c>
      <c r="J73">
        <v>1282.0048827999999</v>
      </c>
      <c r="K73">
        <v>2400</v>
      </c>
      <c r="L73">
        <v>0</v>
      </c>
      <c r="M73">
        <v>0</v>
      </c>
      <c r="N73">
        <v>2400</v>
      </c>
    </row>
    <row r="74" spans="1:14" x14ac:dyDescent="0.25">
      <c r="A74">
        <v>1.483508</v>
      </c>
      <c r="B74" s="1">
        <f>DATE(2010,5,2) + TIME(11,36,15)</f>
        <v>40300.483506944445</v>
      </c>
      <c r="C74">
        <v>80</v>
      </c>
      <c r="D74">
        <v>70.584457396999994</v>
      </c>
      <c r="E74">
        <v>50</v>
      </c>
      <c r="F74">
        <v>14.997572899</v>
      </c>
      <c r="G74">
        <v>1365.4488524999999</v>
      </c>
      <c r="H74">
        <v>1358.4504394999999</v>
      </c>
      <c r="I74">
        <v>1297.7829589999999</v>
      </c>
      <c r="J74">
        <v>1282.0050048999999</v>
      </c>
      <c r="K74">
        <v>2400</v>
      </c>
      <c r="L74">
        <v>0</v>
      </c>
      <c r="M74">
        <v>0</v>
      </c>
      <c r="N74">
        <v>2400</v>
      </c>
    </row>
    <row r="75" spans="1:14" x14ac:dyDescent="0.25">
      <c r="A75">
        <v>1.5089509999999999</v>
      </c>
      <c r="B75" s="1">
        <f>DATE(2010,5,2) + TIME(12,12,53)</f>
        <v>40300.508946759262</v>
      </c>
      <c r="C75">
        <v>80</v>
      </c>
      <c r="D75">
        <v>70.926651000999996</v>
      </c>
      <c r="E75">
        <v>50</v>
      </c>
      <c r="F75">
        <v>14.997580528</v>
      </c>
      <c r="G75">
        <v>1365.4240723</v>
      </c>
      <c r="H75">
        <v>1358.4406738</v>
      </c>
      <c r="I75">
        <v>1297.7832031</v>
      </c>
      <c r="J75">
        <v>1282.005249</v>
      </c>
      <c r="K75">
        <v>2400</v>
      </c>
      <c r="L75">
        <v>0</v>
      </c>
      <c r="M75">
        <v>0</v>
      </c>
      <c r="N75">
        <v>2400</v>
      </c>
    </row>
    <row r="76" spans="1:14" x14ac:dyDescent="0.25">
      <c r="A76">
        <v>1.534395</v>
      </c>
      <c r="B76" s="1">
        <f>DATE(2010,5,2) + TIME(12,49,31)</f>
        <v>40300.534386574072</v>
      </c>
      <c r="C76">
        <v>80</v>
      </c>
      <c r="D76">
        <v>71.257011414000004</v>
      </c>
      <c r="E76">
        <v>50</v>
      </c>
      <c r="F76">
        <v>14.997588157999999</v>
      </c>
      <c r="G76">
        <v>1365.3999022999999</v>
      </c>
      <c r="H76">
        <v>1358.4305420000001</v>
      </c>
      <c r="I76">
        <v>1297.7834473</v>
      </c>
      <c r="J76">
        <v>1282.0053711</v>
      </c>
      <c r="K76">
        <v>2400</v>
      </c>
      <c r="L76">
        <v>0</v>
      </c>
      <c r="M76">
        <v>0</v>
      </c>
      <c r="N76">
        <v>2400</v>
      </c>
    </row>
    <row r="77" spans="1:14" x14ac:dyDescent="0.25">
      <c r="A77">
        <v>1.5598380000000001</v>
      </c>
      <c r="B77" s="1">
        <f>DATE(2010,5,2) + TIME(13,26,10)</f>
        <v>40300.559837962966</v>
      </c>
      <c r="C77">
        <v>80</v>
      </c>
      <c r="D77">
        <v>71.575912475999999</v>
      </c>
      <c r="E77">
        <v>50</v>
      </c>
      <c r="F77">
        <v>14.997594833000001</v>
      </c>
      <c r="G77">
        <v>1365.3762207</v>
      </c>
      <c r="H77">
        <v>1358.4202881000001</v>
      </c>
      <c r="I77">
        <v>1297.7836914</v>
      </c>
      <c r="J77">
        <v>1282.0054932</v>
      </c>
      <c r="K77">
        <v>2400</v>
      </c>
      <c r="L77">
        <v>0</v>
      </c>
      <c r="M77">
        <v>0</v>
      </c>
      <c r="N77">
        <v>2400</v>
      </c>
    </row>
    <row r="78" spans="1:14" x14ac:dyDescent="0.25">
      <c r="A78">
        <v>1.5852820000000001</v>
      </c>
      <c r="B78" s="1">
        <f>DATE(2010,5,2) + TIME(14,2,48)</f>
        <v>40300.585277777776</v>
      </c>
      <c r="C78">
        <v>80</v>
      </c>
      <c r="D78">
        <v>71.883697510000005</v>
      </c>
      <c r="E78">
        <v>50</v>
      </c>
      <c r="F78">
        <v>14.997602463</v>
      </c>
      <c r="G78">
        <v>1365.3529053</v>
      </c>
      <c r="H78">
        <v>1358.409668</v>
      </c>
      <c r="I78">
        <v>1297.7839355000001</v>
      </c>
      <c r="J78">
        <v>1282.0057373</v>
      </c>
      <c r="K78">
        <v>2400</v>
      </c>
      <c r="L78">
        <v>0</v>
      </c>
      <c r="M78">
        <v>0</v>
      </c>
      <c r="N78">
        <v>2400</v>
      </c>
    </row>
    <row r="79" spans="1:14" x14ac:dyDescent="0.25">
      <c r="A79">
        <v>1.636169</v>
      </c>
      <c r="B79" s="1">
        <f>DATE(2010,5,2) + TIME(15,16,4)</f>
        <v>40300.636157407411</v>
      </c>
      <c r="C79">
        <v>80</v>
      </c>
      <c r="D79">
        <v>72.456283568999993</v>
      </c>
      <c r="E79">
        <v>50</v>
      </c>
      <c r="F79">
        <v>14.997615814</v>
      </c>
      <c r="G79">
        <v>1365.2982178</v>
      </c>
      <c r="H79">
        <v>1358.3931885</v>
      </c>
      <c r="I79">
        <v>1297.7843018000001</v>
      </c>
      <c r="J79">
        <v>1282.0058594</v>
      </c>
      <c r="K79">
        <v>2400</v>
      </c>
      <c r="L79">
        <v>0</v>
      </c>
      <c r="M79">
        <v>0</v>
      </c>
      <c r="N79">
        <v>2400</v>
      </c>
    </row>
    <row r="80" spans="1:14" x14ac:dyDescent="0.25">
      <c r="A80">
        <v>1.6870769999999999</v>
      </c>
      <c r="B80" s="1">
        <f>DATE(2010,5,2) + TIME(16,29,23)</f>
        <v>40300.687071759261</v>
      </c>
      <c r="C80">
        <v>80</v>
      </c>
      <c r="D80">
        <v>72.990150451999995</v>
      </c>
      <c r="E80">
        <v>50</v>
      </c>
      <c r="F80">
        <v>14.997629165999999</v>
      </c>
      <c r="G80">
        <v>1365.2554932</v>
      </c>
      <c r="H80">
        <v>1358.3703613</v>
      </c>
      <c r="I80">
        <v>1297.784668</v>
      </c>
      <c r="J80">
        <v>1282.0062256000001</v>
      </c>
      <c r="K80">
        <v>2400</v>
      </c>
      <c r="L80">
        <v>0</v>
      </c>
      <c r="M80">
        <v>0</v>
      </c>
      <c r="N80">
        <v>2400</v>
      </c>
    </row>
    <row r="81" spans="1:14" x14ac:dyDescent="0.25">
      <c r="A81">
        <v>1.738426</v>
      </c>
      <c r="B81" s="1">
        <f>DATE(2010,5,2) + TIME(17,43,20)</f>
        <v>40300.738425925927</v>
      </c>
      <c r="C81">
        <v>80</v>
      </c>
      <c r="D81">
        <v>73.491439818999993</v>
      </c>
      <c r="E81">
        <v>50</v>
      </c>
      <c r="F81">
        <v>14.997641563</v>
      </c>
      <c r="G81">
        <v>1365.2133789</v>
      </c>
      <c r="H81">
        <v>1358.3464355000001</v>
      </c>
      <c r="I81">
        <v>1297.7851562000001</v>
      </c>
      <c r="J81">
        <v>1282.0065918</v>
      </c>
      <c r="K81">
        <v>2400</v>
      </c>
      <c r="L81">
        <v>0</v>
      </c>
      <c r="M81">
        <v>0</v>
      </c>
      <c r="N81">
        <v>2400</v>
      </c>
    </row>
    <row r="82" spans="1:14" x14ac:dyDescent="0.25">
      <c r="A82">
        <v>1.7902750000000001</v>
      </c>
      <c r="B82" s="1">
        <f>DATE(2010,5,2) + TIME(18,57,59)</f>
        <v>40300.790266203701</v>
      </c>
      <c r="C82">
        <v>80</v>
      </c>
      <c r="D82">
        <v>73.962081909000005</v>
      </c>
      <c r="E82">
        <v>50</v>
      </c>
      <c r="F82">
        <v>14.997653960999999</v>
      </c>
      <c r="G82">
        <v>1365.1716309000001</v>
      </c>
      <c r="H82">
        <v>1358.3214111</v>
      </c>
      <c r="I82">
        <v>1297.7856445</v>
      </c>
      <c r="J82">
        <v>1282.0069579999999</v>
      </c>
      <c r="K82">
        <v>2400</v>
      </c>
      <c r="L82">
        <v>0</v>
      </c>
      <c r="M82">
        <v>0</v>
      </c>
      <c r="N82">
        <v>2400</v>
      </c>
    </row>
    <row r="83" spans="1:14" x14ac:dyDescent="0.25">
      <c r="A83">
        <v>1.8427020000000001</v>
      </c>
      <c r="B83" s="1">
        <f>DATE(2010,5,2) + TIME(20,13,29)</f>
        <v>40300.84269675926</v>
      </c>
      <c r="C83">
        <v>80</v>
      </c>
      <c r="D83">
        <v>74.404006957999997</v>
      </c>
      <c r="E83">
        <v>50</v>
      </c>
      <c r="F83">
        <v>14.997666359</v>
      </c>
      <c r="G83">
        <v>1365.1304932</v>
      </c>
      <c r="H83">
        <v>1358.2952881000001</v>
      </c>
      <c r="I83">
        <v>1297.7861327999999</v>
      </c>
      <c r="J83">
        <v>1282.0073242000001</v>
      </c>
      <c r="K83">
        <v>2400</v>
      </c>
      <c r="L83">
        <v>0</v>
      </c>
      <c r="M83">
        <v>0</v>
      </c>
      <c r="N83">
        <v>2400</v>
      </c>
    </row>
    <row r="84" spans="1:14" x14ac:dyDescent="0.25">
      <c r="A84">
        <v>1.8957870000000001</v>
      </c>
      <c r="B84" s="1">
        <f>DATE(2010,5,2) + TIME(21,29,55)</f>
        <v>40300.895775462966</v>
      </c>
      <c r="C84">
        <v>80</v>
      </c>
      <c r="D84">
        <v>74.818984985</v>
      </c>
      <c r="E84">
        <v>50</v>
      </c>
      <c r="F84">
        <v>14.997678756999999</v>
      </c>
      <c r="G84">
        <v>1365.0894774999999</v>
      </c>
      <c r="H84">
        <v>1358.2679443</v>
      </c>
      <c r="I84">
        <v>1297.7866211</v>
      </c>
      <c r="J84">
        <v>1282.0076904</v>
      </c>
      <c r="K84">
        <v>2400</v>
      </c>
      <c r="L84">
        <v>0</v>
      </c>
      <c r="M84">
        <v>0</v>
      </c>
      <c r="N84">
        <v>2400</v>
      </c>
    </row>
    <row r="85" spans="1:14" x14ac:dyDescent="0.25">
      <c r="A85">
        <v>1.9496089999999999</v>
      </c>
      <c r="B85" s="1">
        <f>DATE(2010,5,2) + TIME(22,47,26)</f>
        <v>40300.949606481481</v>
      </c>
      <c r="C85">
        <v>80</v>
      </c>
      <c r="D85">
        <v>75.208442688000005</v>
      </c>
      <c r="E85">
        <v>50</v>
      </c>
      <c r="F85">
        <v>14.997690200999999</v>
      </c>
      <c r="G85">
        <v>1365.0485839999999</v>
      </c>
      <c r="H85">
        <v>1358.2395019999999</v>
      </c>
      <c r="I85">
        <v>1297.7871094</v>
      </c>
      <c r="J85">
        <v>1282.0079346</v>
      </c>
      <c r="K85">
        <v>2400</v>
      </c>
      <c r="L85">
        <v>0</v>
      </c>
      <c r="M85">
        <v>0</v>
      </c>
      <c r="N85">
        <v>2400</v>
      </c>
    </row>
    <row r="86" spans="1:14" x14ac:dyDescent="0.25">
      <c r="A86">
        <v>2.004248</v>
      </c>
      <c r="B86" s="1">
        <f>DATE(2010,5,3) + TIME(0,6,7)</f>
        <v>40301.004247685189</v>
      </c>
      <c r="C86">
        <v>80</v>
      </c>
      <c r="D86">
        <v>75.573860167999996</v>
      </c>
      <c r="E86">
        <v>50</v>
      </c>
      <c r="F86">
        <v>14.997701644999999</v>
      </c>
      <c r="G86">
        <v>1365.0078125</v>
      </c>
      <c r="H86">
        <v>1358.2098389</v>
      </c>
      <c r="I86">
        <v>1297.7875977000001</v>
      </c>
      <c r="J86">
        <v>1282.0083007999999</v>
      </c>
      <c r="K86">
        <v>2400</v>
      </c>
      <c r="L86">
        <v>0</v>
      </c>
      <c r="M86">
        <v>0</v>
      </c>
      <c r="N86">
        <v>2400</v>
      </c>
    </row>
    <row r="87" spans="1:14" x14ac:dyDescent="0.25">
      <c r="A87">
        <v>2.0597910000000001</v>
      </c>
      <c r="B87" s="1">
        <f>DATE(2010,5,3) + TIME(1,26,5)</f>
        <v>40301.05978009259</v>
      </c>
      <c r="C87">
        <v>80</v>
      </c>
      <c r="D87">
        <v>75.916709900000001</v>
      </c>
      <c r="E87">
        <v>50</v>
      </c>
      <c r="F87">
        <v>14.997713088999999</v>
      </c>
      <c r="G87">
        <v>1364.9667969</v>
      </c>
      <c r="H87">
        <v>1358.1789550999999</v>
      </c>
      <c r="I87">
        <v>1297.7880858999999</v>
      </c>
      <c r="J87">
        <v>1282.0086670000001</v>
      </c>
      <c r="K87">
        <v>2400</v>
      </c>
      <c r="L87">
        <v>0</v>
      </c>
      <c r="M87">
        <v>0</v>
      </c>
      <c r="N87">
        <v>2400</v>
      </c>
    </row>
    <row r="88" spans="1:14" x14ac:dyDescent="0.25">
      <c r="A88">
        <v>2.1163240000000001</v>
      </c>
      <c r="B88" s="1">
        <f>DATE(2010,5,3) + TIME(2,47,30)</f>
        <v>40301.116319444445</v>
      </c>
      <c r="C88">
        <v>80</v>
      </c>
      <c r="D88">
        <v>76.238243103000002</v>
      </c>
      <c r="E88">
        <v>50</v>
      </c>
      <c r="F88">
        <v>14.997724533</v>
      </c>
      <c r="G88">
        <v>1364.9256591999999</v>
      </c>
      <c r="H88">
        <v>1358.1468506000001</v>
      </c>
      <c r="I88">
        <v>1297.7885742000001</v>
      </c>
      <c r="J88">
        <v>1282.0091553</v>
      </c>
      <c r="K88">
        <v>2400</v>
      </c>
      <c r="L88">
        <v>0</v>
      </c>
      <c r="M88">
        <v>0</v>
      </c>
      <c r="N88">
        <v>2400</v>
      </c>
    </row>
    <row r="89" spans="1:14" x14ac:dyDescent="0.25">
      <c r="A89">
        <v>2.1739419999999998</v>
      </c>
      <c r="B89" s="1">
        <f>DATE(2010,5,3) + TIME(4,10,28)</f>
        <v>40301.173935185187</v>
      </c>
      <c r="C89">
        <v>80</v>
      </c>
      <c r="D89">
        <v>76.539604186999995</v>
      </c>
      <c r="E89">
        <v>50</v>
      </c>
      <c r="F89">
        <v>14.997735977</v>
      </c>
      <c r="G89">
        <v>1364.8842772999999</v>
      </c>
      <c r="H89">
        <v>1358.1136475000001</v>
      </c>
      <c r="I89">
        <v>1297.7890625</v>
      </c>
      <c r="J89">
        <v>1282.0095214999999</v>
      </c>
      <c r="K89">
        <v>2400</v>
      </c>
      <c r="L89">
        <v>0</v>
      </c>
      <c r="M89">
        <v>0</v>
      </c>
      <c r="N89">
        <v>2400</v>
      </c>
    </row>
    <row r="90" spans="1:14" x14ac:dyDescent="0.25">
      <c r="A90">
        <v>2.232745</v>
      </c>
      <c r="B90" s="1">
        <f>DATE(2010,5,3) + TIME(5,35,9)</f>
        <v>40301.232743055552</v>
      </c>
      <c r="C90">
        <v>80</v>
      </c>
      <c r="D90">
        <v>76.821868895999998</v>
      </c>
      <c r="E90">
        <v>50</v>
      </c>
      <c r="F90">
        <v>14.997746468000001</v>
      </c>
      <c r="G90">
        <v>1364.8424072</v>
      </c>
      <c r="H90">
        <v>1358.0791016000001</v>
      </c>
      <c r="I90">
        <v>1297.7895507999999</v>
      </c>
      <c r="J90">
        <v>1282.0098877</v>
      </c>
      <c r="K90">
        <v>2400</v>
      </c>
      <c r="L90">
        <v>0</v>
      </c>
      <c r="M90">
        <v>0</v>
      </c>
      <c r="N90">
        <v>2400</v>
      </c>
    </row>
    <row r="91" spans="1:14" x14ac:dyDescent="0.25">
      <c r="A91">
        <v>2.2928380000000002</v>
      </c>
      <c r="B91" s="1">
        <f>DATE(2010,5,3) + TIME(7,1,41)</f>
        <v>40301.29283564815</v>
      </c>
      <c r="C91">
        <v>80</v>
      </c>
      <c r="D91">
        <v>77.086036682</v>
      </c>
      <c r="E91">
        <v>50</v>
      </c>
      <c r="F91">
        <v>14.997757912000001</v>
      </c>
      <c r="G91">
        <v>1364.8001709</v>
      </c>
      <c r="H91">
        <v>1358.0433350000001</v>
      </c>
      <c r="I91">
        <v>1297.7900391000001</v>
      </c>
      <c r="J91">
        <v>1282.0102539</v>
      </c>
      <c r="K91">
        <v>2400</v>
      </c>
      <c r="L91">
        <v>0</v>
      </c>
      <c r="M91">
        <v>0</v>
      </c>
      <c r="N91">
        <v>2400</v>
      </c>
    </row>
    <row r="92" spans="1:14" x14ac:dyDescent="0.25">
      <c r="A92">
        <v>2.3543479999999999</v>
      </c>
      <c r="B92" s="1">
        <f>DATE(2010,5,3) + TIME(8,30,15)</f>
        <v>40301.35434027778</v>
      </c>
      <c r="C92">
        <v>80</v>
      </c>
      <c r="D92">
        <v>77.333091736</v>
      </c>
      <c r="E92">
        <v>50</v>
      </c>
      <c r="F92">
        <v>14.997768402</v>
      </c>
      <c r="G92">
        <v>1364.7573242000001</v>
      </c>
      <c r="H92">
        <v>1358.0063477000001</v>
      </c>
      <c r="I92">
        <v>1297.7905272999999</v>
      </c>
      <c r="J92">
        <v>1282.0106201000001</v>
      </c>
      <c r="K92">
        <v>2400</v>
      </c>
      <c r="L92">
        <v>0</v>
      </c>
      <c r="M92">
        <v>0</v>
      </c>
      <c r="N92">
        <v>2400</v>
      </c>
    </row>
    <row r="93" spans="1:14" x14ac:dyDescent="0.25">
      <c r="A93">
        <v>2.4174020000000001</v>
      </c>
      <c r="B93" s="1">
        <f>DATE(2010,5,3) + TIME(10,1,3)</f>
        <v>40301.417395833334</v>
      </c>
      <c r="C93">
        <v>80</v>
      </c>
      <c r="D93">
        <v>77.563911438000005</v>
      </c>
      <c r="E93">
        <v>50</v>
      </c>
      <c r="F93">
        <v>14.997779846</v>
      </c>
      <c r="G93">
        <v>1364.7138672000001</v>
      </c>
      <c r="H93">
        <v>1357.9680175999999</v>
      </c>
      <c r="I93">
        <v>1297.7910156</v>
      </c>
      <c r="J93">
        <v>1282.0109863</v>
      </c>
      <c r="K93">
        <v>2400</v>
      </c>
      <c r="L93">
        <v>0</v>
      </c>
      <c r="M93">
        <v>0</v>
      </c>
      <c r="N93">
        <v>2400</v>
      </c>
    </row>
    <row r="94" spans="1:14" x14ac:dyDescent="0.25">
      <c r="A94">
        <v>2.4821209999999998</v>
      </c>
      <c r="B94" s="1">
        <f>DATE(2010,5,3) + TIME(11,34,15)</f>
        <v>40301.482118055559</v>
      </c>
      <c r="C94">
        <v>80</v>
      </c>
      <c r="D94">
        <v>77.779258728000002</v>
      </c>
      <c r="E94">
        <v>50</v>
      </c>
      <c r="F94">
        <v>14.997790337</v>
      </c>
      <c r="G94">
        <v>1364.6696777</v>
      </c>
      <c r="H94">
        <v>1357.9283447</v>
      </c>
      <c r="I94">
        <v>1297.7915039</v>
      </c>
      <c r="J94">
        <v>1282.0114745999999</v>
      </c>
      <c r="K94">
        <v>2400</v>
      </c>
      <c r="L94">
        <v>0</v>
      </c>
      <c r="M94">
        <v>0</v>
      </c>
      <c r="N94">
        <v>2400</v>
      </c>
    </row>
    <row r="95" spans="1:14" x14ac:dyDescent="0.25">
      <c r="A95">
        <v>2.5486499999999999</v>
      </c>
      <c r="B95" s="1">
        <f>DATE(2010,5,3) + TIME(13,10,3)</f>
        <v>40301.548645833333</v>
      </c>
      <c r="C95">
        <v>80</v>
      </c>
      <c r="D95">
        <v>77.979919433999996</v>
      </c>
      <c r="E95">
        <v>50</v>
      </c>
      <c r="F95">
        <v>14.997801781</v>
      </c>
      <c r="G95">
        <v>1364.6247559000001</v>
      </c>
      <c r="H95">
        <v>1357.8873291</v>
      </c>
      <c r="I95">
        <v>1297.7919922000001</v>
      </c>
      <c r="J95">
        <v>1282.0118408000001</v>
      </c>
      <c r="K95">
        <v>2400</v>
      </c>
      <c r="L95">
        <v>0</v>
      </c>
      <c r="M95">
        <v>0</v>
      </c>
      <c r="N95">
        <v>2400</v>
      </c>
    </row>
    <row r="96" spans="1:14" x14ac:dyDescent="0.25">
      <c r="A96">
        <v>2.6171500000000001</v>
      </c>
      <c r="B96" s="1">
        <f>DATE(2010,5,3) + TIME(14,48,41)</f>
        <v>40301.6171412037</v>
      </c>
      <c r="C96">
        <v>80</v>
      </c>
      <c r="D96">
        <v>78.166618346999996</v>
      </c>
      <c r="E96">
        <v>50</v>
      </c>
      <c r="F96">
        <v>14.997812271000001</v>
      </c>
      <c r="G96">
        <v>1364.5788574000001</v>
      </c>
      <c r="H96">
        <v>1357.8448486</v>
      </c>
      <c r="I96">
        <v>1297.7924805</v>
      </c>
      <c r="J96">
        <v>1282.0123291</v>
      </c>
      <c r="K96">
        <v>2400</v>
      </c>
      <c r="L96">
        <v>0</v>
      </c>
      <c r="M96">
        <v>0</v>
      </c>
      <c r="N96">
        <v>2400</v>
      </c>
    </row>
    <row r="97" spans="1:14" x14ac:dyDescent="0.25">
      <c r="A97">
        <v>2.687799</v>
      </c>
      <c r="B97" s="1">
        <f>DATE(2010,5,3) + TIME(16,30,25)</f>
        <v>40301.687789351854</v>
      </c>
      <c r="C97">
        <v>80</v>
      </c>
      <c r="D97">
        <v>78.340057372999993</v>
      </c>
      <c r="E97">
        <v>50</v>
      </c>
      <c r="F97">
        <v>14.997822762</v>
      </c>
      <c r="G97">
        <v>1364.5321045000001</v>
      </c>
      <c r="H97">
        <v>1357.8010254000001</v>
      </c>
      <c r="I97">
        <v>1297.7929687999999</v>
      </c>
      <c r="J97">
        <v>1282.0126952999999</v>
      </c>
      <c r="K97">
        <v>2400</v>
      </c>
      <c r="L97">
        <v>0</v>
      </c>
      <c r="M97">
        <v>0</v>
      </c>
      <c r="N97">
        <v>2400</v>
      </c>
    </row>
    <row r="98" spans="1:14" x14ac:dyDescent="0.25">
      <c r="A98">
        <v>2.7607940000000002</v>
      </c>
      <c r="B98" s="1">
        <f>DATE(2010,5,3) + TIME(18,15,32)</f>
        <v>40301.760787037034</v>
      </c>
      <c r="C98">
        <v>80</v>
      </c>
      <c r="D98">
        <v>78.500900268999999</v>
      </c>
      <c r="E98">
        <v>50</v>
      </c>
      <c r="F98">
        <v>14.997834206</v>
      </c>
      <c r="G98">
        <v>1364.4842529</v>
      </c>
      <c r="H98">
        <v>1357.7556152</v>
      </c>
      <c r="I98">
        <v>1297.7935791</v>
      </c>
      <c r="J98">
        <v>1282.0131836</v>
      </c>
      <c r="K98">
        <v>2400</v>
      </c>
      <c r="L98">
        <v>0</v>
      </c>
      <c r="M98">
        <v>0</v>
      </c>
      <c r="N98">
        <v>2400</v>
      </c>
    </row>
    <row r="99" spans="1:14" x14ac:dyDescent="0.25">
      <c r="A99">
        <v>2.8363520000000002</v>
      </c>
      <c r="B99" s="1">
        <f>DATE(2010,5,3) + TIME(20,4,20)</f>
        <v>40301.836342592593</v>
      </c>
      <c r="C99">
        <v>80</v>
      </c>
      <c r="D99">
        <v>78.649757385000001</v>
      </c>
      <c r="E99">
        <v>50</v>
      </c>
      <c r="F99">
        <v>14.997844696</v>
      </c>
      <c r="G99">
        <v>1364.4353027</v>
      </c>
      <c r="H99">
        <v>1357.7086182</v>
      </c>
      <c r="I99">
        <v>1297.7940673999999</v>
      </c>
      <c r="J99">
        <v>1282.0136719</v>
      </c>
      <c r="K99">
        <v>2400</v>
      </c>
      <c r="L99">
        <v>0</v>
      </c>
      <c r="M99">
        <v>0</v>
      </c>
      <c r="N99">
        <v>2400</v>
      </c>
    </row>
    <row r="100" spans="1:14" x14ac:dyDescent="0.25">
      <c r="A100">
        <v>2.9143460000000001</v>
      </c>
      <c r="B100" s="1">
        <f>DATE(2010,5,3) + TIME(21,56,39)</f>
        <v>40301.914340277777</v>
      </c>
      <c r="C100">
        <v>80</v>
      </c>
      <c r="D100">
        <v>78.786651610999996</v>
      </c>
      <c r="E100">
        <v>50</v>
      </c>
      <c r="F100">
        <v>14.997855186000001</v>
      </c>
      <c r="G100">
        <v>1364.3852539</v>
      </c>
      <c r="H100">
        <v>1357.6601562000001</v>
      </c>
      <c r="I100">
        <v>1297.7946777</v>
      </c>
      <c r="J100">
        <v>1282.0140381000001</v>
      </c>
      <c r="K100">
        <v>2400</v>
      </c>
      <c r="L100">
        <v>0</v>
      </c>
      <c r="M100">
        <v>0</v>
      </c>
      <c r="N100">
        <v>2400</v>
      </c>
    </row>
    <row r="101" spans="1:14" x14ac:dyDescent="0.25">
      <c r="A101">
        <v>2.9948000000000001</v>
      </c>
      <c r="B101" s="1">
        <f>DATE(2010,5,3) + TIME(23,52,30)</f>
        <v>40301.994791666664</v>
      </c>
      <c r="C101">
        <v>80</v>
      </c>
      <c r="D101">
        <v>78.912010193</v>
      </c>
      <c r="E101">
        <v>50</v>
      </c>
      <c r="F101">
        <v>14.997866631000001</v>
      </c>
      <c r="G101">
        <v>1364.3341064000001</v>
      </c>
      <c r="H101">
        <v>1357.6102295000001</v>
      </c>
      <c r="I101">
        <v>1297.7951660000001</v>
      </c>
      <c r="J101">
        <v>1282.0145264</v>
      </c>
      <c r="K101">
        <v>2400</v>
      </c>
      <c r="L101">
        <v>0</v>
      </c>
      <c r="M101">
        <v>0</v>
      </c>
      <c r="N101">
        <v>2400</v>
      </c>
    </row>
    <row r="102" spans="1:14" x14ac:dyDescent="0.25">
      <c r="A102">
        <v>3.0779420000000002</v>
      </c>
      <c r="B102" s="1">
        <f>DATE(2010,5,4) + TIME(1,52,14)</f>
        <v>40302.077939814815</v>
      </c>
      <c r="C102">
        <v>80</v>
      </c>
      <c r="D102">
        <v>79.026557921999995</v>
      </c>
      <c r="E102">
        <v>50</v>
      </c>
      <c r="F102">
        <v>14.997877121</v>
      </c>
      <c r="G102">
        <v>1364.2818603999999</v>
      </c>
      <c r="H102">
        <v>1357.5588379000001</v>
      </c>
      <c r="I102">
        <v>1297.7957764</v>
      </c>
      <c r="J102">
        <v>1282.0150146000001</v>
      </c>
      <c r="K102">
        <v>2400</v>
      </c>
      <c r="L102">
        <v>0</v>
      </c>
      <c r="M102">
        <v>0</v>
      </c>
      <c r="N102">
        <v>2400</v>
      </c>
    </row>
    <row r="103" spans="1:14" x14ac:dyDescent="0.25">
      <c r="A103">
        <v>3.1640190000000001</v>
      </c>
      <c r="B103" s="1">
        <f>DATE(2010,5,4) + TIME(3,56,11)</f>
        <v>40302.1640162037</v>
      </c>
      <c r="C103">
        <v>80</v>
      </c>
      <c r="D103">
        <v>79.130989075000002</v>
      </c>
      <c r="E103">
        <v>50</v>
      </c>
      <c r="F103">
        <v>14.997887610999999</v>
      </c>
      <c r="G103">
        <v>1364.2285156</v>
      </c>
      <c r="H103">
        <v>1357.5061035000001</v>
      </c>
      <c r="I103">
        <v>1297.7963867000001</v>
      </c>
      <c r="J103">
        <v>1282.0155029</v>
      </c>
      <c r="K103">
        <v>2400</v>
      </c>
      <c r="L103">
        <v>0</v>
      </c>
      <c r="M103">
        <v>0</v>
      </c>
      <c r="N103">
        <v>2400</v>
      </c>
    </row>
    <row r="104" spans="1:14" x14ac:dyDescent="0.25">
      <c r="A104">
        <v>3.2533099999999999</v>
      </c>
      <c r="B104" s="1">
        <f>DATE(2010,5,4) + TIME(6,4,45)</f>
        <v>40302.253298611111</v>
      </c>
      <c r="C104">
        <v>80</v>
      </c>
      <c r="D104">
        <v>79.225952148000005</v>
      </c>
      <c r="E104">
        <v>50</v>
      </c>
      <c r="F104">
        <v>14.997899055</v>
      </c>
      <c r="G104">
        <v>1364.1739502</v>
      </c>
      <c r="H104">
        <v>1357.4517822</v>
      </c>
      <c r="I104">
        <v>1297.796875</v>
      </c>
      <c r="J104">
        <v>1282.0161132999999</v>
      </c>
      <c r="K104">
        <v>2400</v>
      </c>
      <c r="L104">
        <v>0</v>
      </c>
      <c r="M104">
        <v>0</v>
      </c>
      <c r="N104">
        <v>2400</v>
      </c>
    </row>
    <row r="105" spans="1:14" x14ac:dyDescent="0.25">
      <c r="A105">
        <v>3.3457469999999998</v>
      </c>
      <c r="B105" s="1">
        <f>DATE(2010,5,4) + TIME(8,17,52)</f>
        <v>40302.34574074074</v>
      </c>
      <c r="C105">
        <v>80</v>
      </c>
      <c r="D105">
        <v>79.311752318999993</v>
      </c>
      <c r="E105">
        <v>50</v>
      </c>
      <c r="F105">
        <v>14.9979105</v>
      </c>
      <c r="G105">
        <v>1364.1181641000001</v>
      </c>
      <c r="H105">
        <v>1357.3959961</v>
      </c>
      <c r="I105">
        <v>1297.7974853999999</v>
      </c>
      <c r="J105">
        <v>1282.0166016000001</v>
      </c>
      <c r="K105">
        <v>2400</v>
      </c>
      <c r="L105">
        <v>0</v>
      </c>
      <c r="M105">
        <v>0</v>
      </c>
      <c r="N105">
        <v>2400</v>
      </c>
    </row>
    <row r="106" spans="1:14" x14ac:dyDescent="0.25">
      <c r="A106">
        <v>3.4416359999999999</v>
      </c>
      <c r="B106" s="1">
        <f>DATE(2010,5,4) + TIME(10,35,57)</f>
        <v>40302.441631944443</v>
      </c>
      <c r="C106">
        <v>80</v>
      </c>
      <c r="D106">
        <v>79.389060974000003</v>
      </c>
      <c r="E106">
        <v>50</v>
      </c>
      <c r="F106">
        <v>14.997920990000001</v>
      </c>
      <c r="G106">
        <v>1364.0611572</v>
      </c>
      <c r="H106">
        <v>1357.3388672000001</v>
      </c>
      <c r="I106">
        <v>1297.7980957</v>
      </c>
      <c r="J106">
        <v>1282.0170897999999</v>
      </c>
      <c r="K106">
        <v>2400</v>
      </c>
      <c r="L106">
        <v>0</v>
      </c>
      <c r="M106">
        <v>0</v>
      </c>
      <c r="N106">
        <v>2400</v>
      </c>
    </row>
    <row r="107" spans="1:14" x14ac:dyDescent="0.25">
      <c r="A107">
        <v>3.5411709999999998</v>
      </c>
      <c r="B107" s="1">
        <f>DATE(2010,5,4) + TIME(12,59,17)</f>
        <v>40302.541168981479</v>
      </c>
      <c r="C107">
        <v>80</v>
      </c>
      <c r="D107">
        <v>79.458427428999997</v>
      </c>
      <c r="E107">
        <v>50</v>
      </c>
      <c r="F107">
        <v>14.997932434000001</v>
      </c>
      <c r="G107">
        <v>1364.0029297000001</v>
      </c>
      <c r="H107">
        <v>1357.2801514</v>
      </c>
      <c r="I107">
        <v>1297.7988281</v>
      </c>
      <c r="J107">
        <v>1282.0177002</v>
      </c>
      <c r="K107">
        <v>2400</v>
      </c>
      <c r="L107">
        <v>0</v>
      </c>
      <c r="M107">
        <v>0</v>
      </c>
      <c r="N107">
        <v>2400</v>
      </c>
    </row>
    <row r="108" spans="1:14" x14ac:dyDescent="0.25">
      <c r="A108">
        <v>3.6412610000000001</v>
      </c>
      <c r="B108" s="1">
        <f>DATE(2010,5,4) + TIME(15,23,24)</f>
        <v>40302.641250000001</v>
      </c>
      <c r="C108">
        <v>80</v>
      </c>
      <c r="D108">
        <v>79.518684386999993</v>
      </c>
      <c r="E108">
        <v>50</v>
      </c>
      <c r="F108">
        <v>14.997942924</v>
      </c>
      <c r="G108">
        <v>1363.9436035000001</v>
      </c>
      <c r="H108">
        <v>1357.2200928</v>
      </c>
      <c r="I108">
        <v>1297.7994385</v>
      </c>
      <c r="J108">
        <v>1282.0183105000001</v>
      </c>
      <c r="K108">
        <v>2400</v>
      </c>
      <c r="L108">
        <v>0</v>
      </c>
      <c r="M108">
        <v>0</v>
      </c>
      <c r="N108">
        <v>2400</v>
      </c>
    </row>
    <row r="109" spans="1:14" x14ac:dyDescent="0.25">
      <c r="A109">
        <v>3.7415229999999999</v>
      </c>
      <c r="B109" s="1">
        <f>DATE(2010,5,4) + TIME(17,47,47)</f>
        <v>40302.741516203707</v>
      </c>
      <c r="C109">
        <v>80</v>
      </c>
      <c r="D109">
        <v>79.570823669000006</v>
      </c>
      <c r="E109">
        <v>50</v>
      </c>
      <c r="F109">
        <v>14.997954369</v>
      </c>
      <c r="G109">
        <v>1363.8848877</v>
      </c>
      <c r="H109">
        <v>1357.1606445</v>
      </c>
      <c r="I109">
        <v>1297.8000488</v>
      </c>
      <c r="J109">
        <v>1282.0187988</v>
      </c>
      <c r="K109">
        <v>2400</v>
      </c>
      <c r="L109">
        <v>0</v>
      </c>
      <c r="M109">
        <v>0</v>
      </c>
      <c r="N109">
        <v>2400</v>
      </c>
    </row>
    <row r="110" spans="1:14" x14ac:dyDescent="0.25">
      <c r="A110">
        <v>3.842149</v>
      </c>
      <c r="B110" s="1">
        <f>DATE(2010,5,4) + TIME(20,12,41)</f>
        <v>40302.842141203706</v>
      </c>
      <c r="C110">
        <v>80</v>
      </c>
      <c r="D110">
        <v>79.616004943999997</v>
      </c>
      <c r="E110">
        <v>50</v>
      </c>
      <c r="F110">
        <v>14.997963905000001</v>
      </c>
      <c r="G110">
        <v>1363.8269043</v>
      </c>
      <c r="H110">
        <v>1357.1019286999999</v>
      </c>
      <c r="I110">
        <v>1297.8006591999999</v>
      </c>
      <c r="J110">
        <v>1282.0194091999999</v>
      </c>
      <c r="K110">
        <v>2400</v>
      </c>
      <c r="L110">
        <v>0</v>
      </c>
      <c r="M110">
        <v>0</v>
      </c>
      <c r="N110">
        <v>2400</v>
      </c>
    </row>
    <row r="111" spans="1:14" x14ac:dyDescent="0.25">
      <c r="A111">
        <v>3.9432589999999998</v>
      </c>
      <c r="B111" s="1">
        <f>DATE(2010,5,4) + TIME(22,38,17)</f>
        <v>40302.943252314813</v>
      </c>
      <c r="C111">
        <v>80</v>
      </c>
      <c r="D111">
        <v>79.655197143999999</v>
      </c>
      <c r="E111">
        <v>50</v>
      </c>
      <c r="F111">
        <v>14.997974396</v>
      </c>
      <c r="G111">
        <v>1363.7696533000001</v>
      </c>
      <c r="H111">
        <v>1357.0438231999999</v>
      </c>
      <c r="I111">
        <v>1297.8012695</v>
      </c>
      <c r="J111">
        <v>1282.0198975000001</v>
      </c>
      <c r="K111">
        <v>2400</v>
      </c>
      <c r="L111">
        <v>0</v>
      </c>
      <c r="M111">
        <v>0</v>
      </c>
      <c r="N111">
        <v>2400</v>
      </c>
    </row>
    <row r="112" spans="1:14" x14ac:dyDescent="0.25">
      <c r="A112">
        <v>4.0447680000000004</v>
      </c>
      <c r="B112" s="1">
        <f>DATE(2010,5,5) + TIME(1,4,27)</f>
        <v>40303.044756944444</v>
      </c>
      <c r="C112">
        <v>80</v>
      </c>
      <c r="D112">
        <v>79.689147949000002</v>
      </c>
      <c r="E112">
        <v>50</v>
      </c>
      <c r="F112">
        <v>14.997984885999999</v>
      </c>
      <c r="G112">
        <v>1363.7130127</v>
      </c>
      <c r="H112">
        <v>1356.9863281</v>
      </c>
      <c r="I112">
        <v>1297.8020019999999</v>
      </c>
      <c r="J112">
        <v>1282.0205077999999</v>
      </c>
      <c r="K112">
        <v>2400</v>
      </c>
      <c r="L112">
        <v>0</v>
      </c>
      <c r="M112">
        <v>0</v>
      </c>
      <c r="N112">
        <v>2400</v>
      </c>
    </row>
    <row r="113" spans="1:14" x14ac:dyDescent="0.25">
      <c r="A113">
        <v>4.1468319999999999</v>
      </c>
      <c r="B113" s="1">
        <f>DATE(2010,5,5) + TIME(3,31,26)</f>
        <v>40303.146828703706</v>
      </c>
      <c r="C113">
        <v>80</v>
      </c>
      <c r="D113">
        <v>79.718597411999994</v>
      </c>
      <c r="E113">
        <v>50</v>
      </c>
      <c r="F113">
        <v>14.997994423</v>
      </c>
      <c r="G113">
        <v>1363.6571045000001</v>
      </c>
      <c r="H113">
        <v>1356.9296875</v>
      </c>
      <c r="I113">
        <v>1297.8026123</v>
      </c>
      <c r="J113">
        <v>1282.0211182</v>
      </c>
      <c r="K113">
        <v>2400</v>
      </c>
      <c r="L113">
        <v>0</v>
      </c>
      <c r="M113">
        <v>0</v>
      </c>
      <c r="N113">
        <v>2400</v>
      </c>
    </row>
    <row r="114" spans="1:14" x14ac:dyDescent="0.25">
      <c r="A114">
        <v>4.2495799999999999</v>
      </c>
      <c r="B114" s="1">
        <f>DATE(2010,5,5) + TIME(5,59,23)</f>
        <v>40303.249571759261</v>
      </c>
      <c r="C114">
        <v>80</v>
      </c>
      <c r="D114">
        <v>79.744155883999994</v>
      </c>
      <c r="E114">
        <v>50</v>
      </c>
      <c r="F114">
        <v>14.99800396</v>
      </c>
      <c r="G114">
        <v>1363.6018065999999</v>
      </c>
      <c r="H114">
        <v>1356.8735352000001</v>
      </c>
      <c r="I114">
        <v>1297.8032227000001</v>
      </c>
      <c r="J114">
        <v>1282.0216064000001</v>
      </c>
      <c r="K114">
        <v>2400</v>
      </c>
      <c r="L114">
        <v>0</v>
      </c>
      <c r="M114">
        <v>0</v>
      </c>
      <c r="N114">
        <v>2400</v>
      </c>
    </row>
    <row r="115" spans="1:14" x14ac:dyDescent="0.25">
      <c r="A115">
        <v>4.3531820000000003</v>
      </c>
      <c r="B115" s="1">
        <f>DATE(2010,5,5) + TIME(8,28,34)</f>
        <v>40303.353171296294</v>
      </c>
      <c r="C115">
        <v>80</v>
      </c>
      <c r="D115">
        <v>79.766365050999994</v>
      </c>
      <c r="E115">
        <v>50</v>
      </c>
      <c r="F115">
        <v>14.998013496</v>
      </c>
      <c r="G115">
        <v>1363.5471190999999</v>
      </c>
      <c r="H115">
        <v>1356.8181152</v>
      </c>
      <c r="I115">
        <v>1297.8038329999999</v>
      </c>
      <c r="J115">
        <v>1282.0222168</v>
      </c>
      <c r="K115">
        <v>2400</v>
      </c>
      <c r="L115">
        <v>0</v>
      </c>
      <c r="M115">
        <v>0</v>
      </c>
      <c r="N115">
        <v>2400</v>
      </c>
    </row>
    <row r="116" spans="1:14" x14ac:dyDescent="0.25">
      <c r="A116">
        <v>4.4577879999999999</v>
      </c>
      <c r="B116" s="1">
        <f>DATE(2010,5,5) + TIME(10,59,12)</f>
        <v>40303.457777777781</v>
      </c>
      <c r="C116">
        <v>80</v>
      </c>
      <c r="D116">
        <v>79.785675049000005</v>
      </c>
      <c r="E116">
        <v>50</v>
      </c>
      <c r="F116">
        <v>14.998023033000001</v>
      </c>
      <c r="G116">
        <v>1363.4927978999999</v>
      </c>
      <c r="H116">
        <v>1356.7630615</v>
      </c>
      <c r="I116">
        <v>1297.8044434000001</v>
      </c>
      <c r="J116">
        <v>1282.0227050999999</v>
      </c>
      <c r="K116">
        <v>2400</v>
      </c>
      <c r="L116">
        <v>0</v>
      </c>
      <c r="M116">
        <v>0</v>
      </c>
      <c r="N116">
        <v>2400</v>
      </c>
    </row>
    <row r="117" spans="1:14" x14ac:dyDescent="0.25">
      <c r="A117">
        <v>4.5635479999999999</v>
      </c>
      <c r="B117" s="1">
        <f>DATE(2010,5,5) + TIME(13,31,30)</f>
        <v>40303.56354166667</v>
      </c>
      <c r="C117">
        <v>80</v>
      </c>
      <c r="D117">
        <v>79.802467346</v>
      </c>
      <c r="E117">
        <v>50</v>
      </c>
      <c r="F117">
        <v>14.998032569999999</v>
      </c>
      <c r="G117">
        <v>1363.4389647999999</v>
      </c>
      <c r="H117">
        <v>1356.7086182</v>
      </c>
      <c r="I117">
        <v>1297.8050536999999</v>
      </c>
      <c r="J117">
        <v>1282.0233154</v>
      </c>
      <c r="K117">
        <v>2400</v>
      </c>
      <c r="L117">
        <v>0</v>
      </c>
      <c r="M117">
        <v>0</v>
      </c>
      <c r="N117">
        <v>2400</v>
      </c>
    </row>
    <row r="118" spans="1:14" x14ac:dyDescent="0.25">
      <c r="A118">
        <v>4.6706159999999999</v>
      </c>
      <c r="B118" s="1">
        <f>DATE(2010,5,5) + TIME(16,5,41)</f>
        <v>40303.670613425929</v>
      </c>
      <c r="C118">
        <v>80</v>
      </c>
      <c r="D118">
        <v>79.817077636999997</v>
      </c>
      <c r="E118">
        <v>50</v>
      </c>
      <c r="F118">
        <v>14.998042107</v>
      </c>
      <c r="G118">
        <v>1363.385376</v>
      </c>
      <c r="H118">
        <v>1356.6544189000001</v>
      </c>
      <c r="I118">
        <v>1297.8056641000001</v>
      </c>
      <c r="J118">
        <v>1282.0239257999999</v>
      </c>
      <c r="K118">
        <v>2400</v>
      </c>
      <c r="L118">
        <v>0</v>
      </c>
      <c r="M118">
        <v>0</v>
      </c>
      <c r="N118">
        <v>2400</v>
      </c>
    </row>
    <row r="119" spans="1:14" x14ac:dyDescent="0.25">
      <c r="A119">
        <v>4.7791499999999996</v>
      </c>
      <c r="B119" s="1">
        <f>DATE(2010,5,5) + TIME(18,41,58)</f>
        <v>40303.779143518521</v>
      </c>
      <c r="C119">
        <v>80</v>
      </c>
      <c r="D119">
        <v>79.829788207999997</v>
      </c>
      <c r="E119">
        <v>50</v>
      </c>
      <c r="F119">
        <v>14.998050689999999</v>
      </c>
      <c r="G119">
        <v>1363.3321533000001</v>
      </c>
      <c r="H119">
        <v>1356.6005858999999</v>
      </c>
      <c r="I119">
        <v>1297.8062743999999</v>
      </c>
      <c r="J119">
        <v>1282.0244141000001</v>
      </c>
      <c r="K119">
        <v>2400</v>
      </c>
      <c r="L119">
        <v>0</v>
      </c>
      <c r="M119">
        <v>0</v>
      </c>
      <c r="N119">
        <v>2400</v>
      </c>
    </row>
    <row r="120" spans="1:14" x14ac:dyDescent="0.25">
      <c r="A120">
        <v>4.8893149999999999</v>
      </c>
      <c r="B120" s="1">
        <f>DATE(2010,5,5) + TIME(21,20,36)</f>
        <v>40303.889305555553</v>
      </c>
      <c r="C120">
        <v>80</v>
      </c>
      <c r="D120">
        <v>79.840858459000003</v>
      </c>
      <c r="E120">
        <v>50</v>
      </c>
      <c r="F120">
        <v>14.998060226</v>
      </c>
      <c r="G120">
        <v>1363.2790527</v>
      </c>
      <c r="H120">
        <v>1356.5471190999999</v>
      </c>
      <c r="I120">
        <v>1297.8070068</v>
      </c>
      <c r="J120">
        <v>1282.0250243999999</v>
      </c>
      <c r="K120">
        <v>2400</v>
      </c>
      <c r="L120">
        <v>0</v>
      </c>
      <c r="M120">
        <v>0</v>
      </c>
      <c r="N120">
        <v>2400</v>
      </c>
    </row>
    <row r="121" spans="1:14" x14ac:dyDescent="0.25">
      <c r="A121">
        <v>5.0012829999999999</v>
      </c>
      <c r="B121" s="1">
        <f>DATE(2010,5,6) + TIME(0,1,50)</f>
        <v>40304.001273148147</v>
      </c>
      <c r="C121">
        <v>80</v>
      </c>
      <c r="D121">
        <v>79.850494385000005</v>
      </c>
      <c r="E121">
        <v>50</v>
      </c>
      <c r="F121">
        <v>14.998068809999999</v>
      </c>
      <c r="G121">
        <v>1363.2261963000001</v>
      </c>
      <c r="H121">
        <v>1356.4937743999999</v>
      </c>
      <c r="I121">
        <v>1297.8076172000001</v>
      </c>
      <c r="J121">
        <v>1282.0256348</v>
      </c>
      <c r="K121">
        <v>2400</v>
      </c>
      <c r="L121">
        <v>0</v>
      </c>
      <c r="M121">
        <v>0</v>
      </c>
      <c r="N121">
        <v>2400</v>
      </c>
    </row>
    <row r="122" spans="1:14" x14ac:dyDescent="0.25">
      <c r="A122">
        <v>5.1152360000000003</v>
      </c>
      <c r="B122" s="1">
        <f>DATE(2010,5,6) + TIME(2,45,56)</f>
        <v>40304.115231481483</v>
      </c>
      <c r="C122">
        <v>80</v>
      </c>
      <c r="D122">
        <v>79.858879088999998</v>
      </c>
      <c r="E122">
        <v>50</v>
      </c>
      <c r="F122">
        <v>14.998078346</v>
      </c>
      <c r="G122">
        <v>1363.1733397999999</v>
      </c>
      <c r="H122">
        <v>1356.4405518000001</v>
      </c>
      <c r="I122">
        <v>1297.8082274999999</v>
      </c>
      <c r="J122">
        <v>1282.0262451000001</v>
      </c>
      <c r="K122">
        <v>2400</v>
      </c>
      <c r="L122">
        <v>0</v>
      </c>
      <c r="M122">
        <v>0</v>
      </c>
      <c r="N122">
        <v>2400</v>
      </c>
    </row>
    <row r="123" spans="1:14" x14ac:dyDescent="0.25">
      <c r="A123">
        <v>5.2313669999999997</v>
      </c>
      <c r="B123" s="1">
        <f>DATE(2010,5,6) + TIME(5,33,10)</f>
        <v>40304.231365740743</v>
      </c>
      <c r="C123">
        <v>80</v>
      </c>
      <c r="D123">
        <v>79.866180420000006</v>
      </c>
      <c r="E123">
        <v>50</v>
      </c>
      <c r="F123">
        <v>14.998086928999999</v>
      </c>
      <c r="G123">
        <v>1363.1206055</v>
      </c>
      <c r="H123">
        <v>1356.3874512</v>
      </c>
      <c r="I123">
        <v>1297.8089600000001</v>
      </c>
      <c r="J123">
        <v>1282.0268555</v>
      </c>
      <c r="K123">
        <v>2400</v>
      </c>
      <c r="L123">
        <v>0</v>
      </c>
      <c r="M123">
        <v>0</v>
      </c>
      <c r="N123">
        <v>2400</v>
      </c>
    </row>
    <row r="124" spans="1:14" x14ac:dyDescent="0.25">
      <c r="A124">
        <v>5.349933</v>
      </c>
      <c r="B124" s="1">
        <f>DATE(2010,5,6) + TIME(8,23,54)</f>
        <v>40304.349930555552</v>
      </c>
      <c r="C124">
        <v>80</v>
      </c>
      <c r="D124">
        <v>79.872543335000003</v>
      </c>
      <c r="E124">
        <v>50</v>
      </c>
      <c r="F124">
        <v>14.998096466</v>
      </c>
      <c r="G124">
        <v>1363.067749</v>
      </c>
      <c r="H124">
        <v>1356.3344727000001</v>
      </c>
      <c r="I124">
        <v>1297.8095702999999</v>
      </c>
      <c r="J124">
        <v>1282.0274658000001</v>
      </c>
      <c r="K124">
        <v>2400</v>
      </c>
      <c r="L124">
        <v>0</v>
      </c>
      <c r="M124">
        <v>0</v>
      </c>
      <c r="N124">
        <v>2400</v>
      </c>
    </row>
    <row r="125" spans="1:14" x14ac:dyDescent="0.25">
      <c r="A125">
        <v>5.4711160000000003</v>
      </c>
      <c r="B125" s="1">
        <f>DATE(2010,5,6) + TIME(11,18,24)</f>
        <v>40304.47111111111</v>
      </c>
      <c r="C125">
        <v>80</v>
      </c>
      <c r="D125">
        <v>79.878074646000002</v>
      </c>
      <c r="E125">
        <v>50</v>
      </c>
      <c r="F125">
        <v>14.998105048999999</v>
      </c>
      <c r="G125">
        <v>1363.0148925999999</v>
      </c>
      <c r="H125">
        <v>1356.2813721</v>
      </c>
      <c r="I125">
        <v>1297.8103027</v>
      </c>
      <c r="J125">
        <v>1282.0280762</v>
      </c>
      <c r="K125">
        <v>2400</v>
      </c>
      <c r="L125">
        <v>0</v>
      </c>
      <c r="M125">
        <v>0</v>
      </c>
      <c r="N125">
        <v>2400</v>
      </c>
    </row>
    <row r="126" spans="1:14" x14ac:dyDescent="0.25">
      <c r="A126">
        <v>5.5951550000000001</v>
      </c>
      <c r="B126" s="1">
        <f>DATE(2010,5,6) + TIME(14,17,1)</f>
        <v>40304.595150462963</v>
      </c>
      <c r="C126">
        <v>80</v>
      </c>
      <c r="D126">
        <v>79.882896423000005</v>
      </c>
      <c r="E126">
        <v>50</v>
      </c>
      <c r="F126">
        <v>14.998113632000001</v>
      </c>
      <c r="G126">
        <v>1362.9617920000001</v>
      </c>
      <c r="H126">
        <v>1356.2281493999999</v>
      </c>
      <c r="I126">
        <v>1297.8110352000001</v>
      </c>
      <c r="J126">
        <v>1282.0286865</v>
      </c>
      <c r="K126">
        <v>2400</v>
      </c>
      <c r="L126">
        <v>0</v>
      </c>
      <c r="M126">
        <v>0</v>
      </c>
      <c r="N126">
        <v>2400</v>
      </c>
    </row>
    <row r="127" spans="1:14" x14ac:dyDescent="0.25">
      <c r="A127">
        <v>5.7223129999999998</v>
      </c>
      <c r="B127" s="1">
        <f>DATE(2010,5,6) + TIME(17,20,7)</f>
        <v>40304.722303240742</v>
      </c>
      <c r="C127">
        <v>80</v>
      </c>
      <c r="D127">
        <v>79.887084960999999</v>
      </c>
      <c r="E127">
        <v>50</v>
      </c>
      <c r="F127">
        <v>14.998123168999999</v>
      </c>
      <c r="G127">
        <v>1362.9084473</v>
      </c>
      <c r="H127">
        <v>1356.1748047000001</v>
      </c>
      <c r="I127">
        <v>1297.8117675999999</v>
      </c>
      <c r="J127">
        <v>1282.0294189000001</v>
      </c>
      <c r="K127">
        <v>2400</v>
      </c>
      <c r="L127">
        <v>0</v>
      </c>
      <c r="M127">
        <v>0</v>
      </c>
      <c r="N127">
        <v>2400</v>
      </c>
    </row>
    <row r="128" spans="1:14" x14ac:dyDescent="0.25">
      <c r="A128">
        <v>5.8528779999999996</v>
      </c>
      <c r="B128" s="1">
        <f>DATE(2010,5,6) + TIME(20,28,8)</f>
        <v>40304.852870370371</v>
      </c>
      <c r="C128">
        <v>80</v>
      </c>
      <c r="D128">
        <v>79.890739440999994</v>
      </c>
      <c r="E128">
        <v>50</v>
      </c>
      <c r="F128">
        <v>14.998132706</v>
      </c>
      <c r="G128">
        <v>1362.8547363</v>
      </c>
      <c r="H128">
        <v>1356.1212158000001</v>
      </c>
      <c r="I128">
        <v>1297.8125</v>
      </c>
      <c r="J128">
        <v>1282.0300293</v>
      </c>
      <c r="K128">
        <v>2400</v>
      </c>
      <c r="L128">
        <v>0</v>
      </c>
      <c r="M128">
        <v>0</v>
      </c>
      <c r="N128">
        <v>2400</v>
      </c>
    </row>
    <row r="129" spans="1:14" x14ac:dyDescent="0.25">
      <c r="A129">
        <v>5.9866780000000004</v>
      </c>
      <c r="B129" s="1">
        <f>DATE(2010,5,6) + TIME(23,40,48)</f>
        <v>40304.986666666664</v>
      </c>
      <c r="C129">
        <v>80</v>
      </c>
      <c r="D129">
        <v>79.893913268999995</v>
      </c>
      <c r="E129">
        <v>50</v>
      </c>
      <c r="F129">
        <v>14.998141288999999</v>
      </c>
      <c r="G129">
        <v>1362.8007812000001</v>
      </c>
      <c r="H129">
        <v>1356.0673827999999</v>
      </c>
      <c r="I129">
        <v>1297.8132324000001</v>
      </c>
      <c r="J129">
        <v>1282.0307617000001</v>
      </c>
      <c r="K129">
        <v>2400</v>
      </c>
      <c r="L129">
        <v>0</v>
      </c>
      <c r="M129">
        <v>0</v>
      </c>
      <c r="N129">
        <v>2400</v>
      </c>
    </row>
    <row r="130" spans="1:14" x14ac:dyDescent="0.25">
      <c r="A130">
        <v>6.1237680000000001</v>
      </c>
      <c r="B130" s="1">
        <f>DATE(2010,5,7) + TIME(2,58,13)</f>
        <v>40305.123761574076</v>
      </c>
      <c r="C130">
        <v>80</v>
      </c>
      <c r="D130">
        <v>79.896659850999995</v>
      </c>
      <c r="E130">
        <v>50</v>
      </c>
      <c r="F130">
        <v>14.998150826</v>
      </c>
      <c r="G130">
        <v>1362.7464600000001</v>
      </c>
      <c r="H130">
        <v>1356.0133057</v>
      </c>
      <c r="I130">
        <v>1297.8139647999999</v>
      </c>
      <c r="J130">
        <v>1282.0314940999999</v>
      </c>
      <c r="K130">
        <v>2400</v>
      </c>
      <c r="L130">
        <v>0</v>
      </c>
      <c r="M130">
        <v>0</v>
      </c>
      <c r="N130">
        <v>2400</v>
      </c>
    </row>
    <row r="131" spans="1:14" x14ac:dyDescent="0.25">
      <c r="A131">
        <v>6.2644529999999996</v>
      </c>
      <c r="B131" s="1">
        <f>DATE(2010,5,7) + TIME(6,20,48)</f>
        <v>40305.264444444445</v>
      </c>
      <c r="C131">
        <v>80</v>
      </c>
      <c r="D131">
        <v>79.899047851999995</v>
      </c>
      <c r="E131">
        <v>50</v>
      </c>
      <c r="F131">
        <v>14.998159408999999</v>
      </c>
      <c r="G131">
        <v>1362.6920166</v>
      </c>
      <c r="H131">
        <v>1355.9591064000001</v>
      </c>
      <c r="I131">
        <v>1297.8146973</v>
      </c>
      <c r="J131">
        <v>1282.0321045000001</v>
      </c>
      <c r="K131">
        <v>2400</v>
      </c>
      <c r="L131">
        <v>0</v>
      </c>
      <c r="M131">
        <v>0</v>
      </c>
      <c r="N131">
        <v>2400</v>
      </c>
    </row>
    <row r="132" spans="1:14" x14ac:dyDescent="0.25">
      <c r="A132">
        <v>6.4090639999999999</v>
      </c>
      <c r="B132" s="1">
        <f>DATE(2010,5,7) + TIME(9,49,3)</f>
        <v>40305.409062500003</v>
      </c>
      <c r="C132">
        <v>80</v>
      </c>
      <c r="D132">
        <v>79.901130675999994</v>
      </c>
      <c r="E132">
        <v>50</v>
      </c>
      <c r="F132">
        <v>14.998168945</v>
      </c>
      <c r="G132">
        <v>1362.637207</v>
      </c>
      <c r="H132">
        <v>1355.9046631000001</v>
      </c>
      <c r="I132">
        <v>1297.8155518000001</v>
      </c>
      <c r="J132">
        <v>1282.0328368999999</v>
      </c>
      <c r="K132">
        <v>2400</v>
      </c>
      <c r="L132">
        <v>0</v>
      </c>
      <c r="M132">
        <v>0</v>
      </c>
      <c r="N132">
        <v>2400</v>
      </c>
    </row>
    <row r="133" spans="1:14" x14ac:dyDescent="0.25">
      <c r="A133">
        <v>6.5579739999999997</v>
      </c>
      <c r="B133" s="1">
        <f>DATE(2010,5,7) + TIME(13,23,28)</f>
        <v>40305.557962962965</v>
      </c>
      <c r="C133">
        <v>80</v>
      </c>
      <c r="D133">
        <v>79.902938843000001</v>
      </c>
      <c r="E133">
        <v>50</v>
      </c>
      <c r="F133">
        <v>14.998178482</v>
      </c>
      <c r="G133">
        <v>1362.5819091999999</v>
      </c>
      <c r="H133">
        <v>1355.8499756000001</v>
      </c>
      <c r="I133">
        <v>1297.8164062000001</v>
      </c>
      <c r="J133">
        <v>1282.0336914</v>
      </c>
      <c r="K133">
        <v>2400</v>
      </c>
      <c r="L133">
        <v>0</v>
      </c>
      <c r="M133">
        <v>0</v>
      </c>
      <c r="N133">
        <v>2400</v>
      </c>
    </row>
    <row r="134" spans="1:14" x14ac:dyDescent="0.25">
      <c r="A134">
        <v>6.7111700000000001</v>
      </c>
      <c r="B134" s="1">
        <f>DATE(2010,5,7) + TIME(17,4,5)</f>
        <v>40305.711168981485</v>
      </c>
      <c r="C134">
        <v>80</v>
      </c>
      <c r="D134">
        <v>79.904510497999993</v>
      </c>
      <c r="E134">
        <v>50</v>
      </c>
      <c r="F134">
        <v>14.998188019000001</v>
      </c>
      <c r="G134">
        <v>1362.5262451000001</v>
      </c>
      <c r="H134">
        <v>1355.7947998</v>
      </c>
      <c r="I134">
        <v>1297.8171387</v>
      </c>
      <c r="J134">
        <v>1282.0344238</v>
      </c>
      <c r="K134">
        <v>2400</v>
      </c>
      <c r="L134">
        <v>0</v>
      </c>
      <c r="M134">
        <v>0</v>
      </c>
      <c r="N134">
        <v>2400</v>
      </c>
    </row>
    <row r="135" spans="1:14" x14ac:dyDescent="0.25">
      <c r="A135">
        <v>6.7896749999999999</v>
      </c>
      <c r="B135" s="1">
        <f>DATE(2010,5,7) + TIME(18,57,7)</f>
        <v>40305.789664351854</v>
      </c>
      <c r="C135">
        <v>80</v>
      </c>
      <c r="D135">
        <v>79.905250549000002</v>
      </c>
      <c r="E135">
        <v>50</v>
      </c>
      <c r="F135">
        <v>14.998192787000001</v>
      </c>
      <c r="G135">
        <v>1362.4694824000001</v>
      </c>
      <c r="H135">
        <v>1355.7381591999999</v>
      </c>
      <c r="I135">
        <v>1297.8178711</v>
      </c>
      <c r="J135">
        <v>1282.0350341999999</v>
      </c>
      <c r="K135">
        <v>2400</v>
      </c>
      <c r="L135">
        <v>0</v>
      </c>
      <c r="M135">
        <v>0</v>
      </c>
      <c r="N135">
        <v>2400</v>
      </c>
    </row>
    <row r="136" spans="1:14" x14ac:dyDescent="0.25">
      <c r="A136">
        <v>6.8681799999999997</v>
      </c>
      <c r="B136" s="1">
        <f>DATE(2010,5,7) + TIME(20,50,10)</f>
        <v>40305.868171296293</v>
      </c>
      <c r="C136">
        <v>80</v>
      </c>
      <c r="D136">
        <v>79.905921935999999</v>
      </c>
      <c r="E136">
        <v>50</v>
      </c>
      <c r="F136">
        <v>14.998198509</v>
      </c>
      <c r="G136">
        <v>1362.440918</v>
      </c>
      <c r="H136">
        <v>1355.7099608999999</v>
      </c>
      <c r="I136">
        <v>1297.8183594</v>
      </c>
      <c r="J136">
        <v>1282.0355225000001</v>
      </c>
      <c r="K136">
        <v>2400</v>
      </c>
      <c r="L136">
        <v>0</v>
      </c>
      <c r="M136">
        <v>0</v>
      </c>
      <c r="N136">
        <v>2400</v>
      </c>
    </row>
    <row r="137" spans="1:14" x14ac:dyDescent="0.25">
      <c r="A137">
        <v>6.9466840000000003</v>
      </c>
      <c r="B137" s="1">
        <f>DATE(2010,5,7) + TIME(22,43,13)</f>
        <v>40305.94667824074</v>
      </c>
      <c r="C137">
        <v>80</v>
      </c>
      <c r="D137">
        <v>79.906547545999999</v>
      </c>
      <c r="E137">
        <v>50</v>
      </c>
      <c r="F137">
        <v>14.998203278</v>
      </c>
      <c r="G137">
        <v>1362.4129639</v>
      </c>
      <c r="H137">
        <v>1355.6823730000001</v>
      </c>
      <c r="I137">
        <v>1297.8187256000001</v>
      </c>
      <c r="J137">
        <v>1282.0358887</v>
      </c>
      <c r="K137">
        <v>2400</v>
      </c>
      <c r="L137">
        <v>0</v>
      </c>
      <c r="M137">
        <v>0</v>
      </c>
      <c r="N137">
        <v>2400</v>
      </c>
    </row>
    <row r="138" spans="1:14" x14ac:dyDescent="0.25">
      <c r="A138">
        <v>7.0251890000000001</v>
      </c>
      <c r="B138" s="1">
        <f>DATE(2010,5,8) + TIME(0,36,16)</f>
        <v>40306.025185185186</v>
      </c>
      <c r="C138">
        <v>80</v>
      </c>
      <c r="D138">
        <v>79.907112122000001</v>
      </c>
      <c r="E138">
        <v>50</v>
      </c>
      <c r="F138">
        <v>14.998208046</v>
      </c>
      <c r="G138">
        <v>1362.3851318</v>
      </c>
      <c r="H138">
        <v>1355.6550293</v>
      </c>
      <c r="I138">
        <v>1297.8192139</v>
      </c>
      <c r="J138">
        <v>1282.0362548999999</v>
      </c>
      <c r="K138">
        <v>2400</v>
      </c>
      <c r="L138">
        <v>0</v>
      </c>
      <c r="M138">
        <v>0</v>
      </c>
      <c r="N138">
        <v>2400</v>
      </c>
    </row>
    <row r="139" spans="1:14" x14ac:dyDescent="0.25">
      <c r="A139">
        <v>7.1036929999999998</v>
      </c>
      <c r="B139" s="1">
        <f>DATE(2010,5,8) + TIME(2,29,19)</f>
        <v>40306.103692129633</v>
      </c>
      <c r="C139">
        <v>80</v>
      </c>
      <c r="D139">
        <v>79.907638550000001</v>
      </c>
      <c r="E139">
        <v>50</v>
      </c>
      <c r="F139">
        <v>14.998212814</v>
      </c>
      <c r="G139">
        <v>1362.3577881000001</v>
      </c>
      <c r="H139">
        <v>1355.6279297000001</v>
      </c>
      <c r="I139">
        <v>1297.8197021000001</v>
      </c>
      <c r="J139">
        <v>1282.0366211</v>
      </c>
      <c r="K139">
        <v>2400</v>
      </c>
      <c r="L139">
        <v>0</v>
      </c>
      <c r="M139">
        <v>0</v>
      </c>
      <c r="N139">
        <v>2400</v>
      </c>
    </row>
    <row r="140" spans="1:14" x14ac:dyDescent="0.25">
      <c r="A140">
        <v>7.2607030000000004</v>
      </c>
      <c r="B140" s="1">
        <f>DATE(2010,5,8) + TIME(6,15,24)</f>
        <v>40306.260694444441</v>
      </c>
      <c r="C140">
        <v>80</v>
      </c>
      <c r="D140">
        <v>79.908546447999996</v>
      </c>
      <c r="E140">
        <v>50</v>
      </c>
      <c r="F140">
        <v>14.998221397</v>
      </c>
      <c r="G140">
        <v>1362.3312988</v>
      </c>
      <c r="H140">
        <v>1355.6024170000001</v>
      </c>
      <c r="I140">
        <v>1297.8201904</v>
      </c>
      <c r="J140">
        <v>1282.0372314000001</v>
      </c>
      <c r="K140">
        <v>2400</v>
      </c>
      <c r="L140">
        <v>0</v>
      </c>
      <c r="M140">
        <v>0</v>
      </c>
      <c r="N140">
        <v>2400</v>
      </c>
    </row>
    <row r="141" spans="1:14" x14ac:dyDescent="0.25">
      <c r="A141">
        <v>7.4178889999999997</v>
      </c>
      <c r="B141" s="1">
        <f>DATE(2010,5,8) + TIME(10,1,45)</f>
        <v>40306.417881944442</v>
      </c>
      <c r="C141">
        <v>80</v>
      </c>
      <c r="D141">
        <v>79.909324646000002</v>
      </c>
      <c r="E141">
        <v>50</v>
      </c>
      <c r="F141">
        <v>14.99822998</v>
      </c>
      <c r="G141">
        <v>1362.277832</v>
      </c>
      <c r="H141">
        <v>1355.5499268000001</v>
      </c>
      <c r="I141">
        <v>1297.8210449000001</v>
      </c>
      <c r="J141">
        <v>1282.0379639</v>
      </c>
      <c r="K141">
        <v>2400</v>
      </c>
      <c r="L141">
        <v>0</v>
      </c>
      <c r="M141">
        <v>0</v>
      </c>
      <c r="N141">
        <v>2400</v>
      </c>
    </row>
    <row r="142" spans="1:14" x14ac:dyDescent="0.25">
      <c r="A142">
        <v>7.5757050000000001</v>
      </c>
      <c r="B142" s="1">
        <f>DATE(2010,5,8) + TIME(13,49,0)</f>
        <v>40306.575694444444</v>
      </c>
      <c r="C142">
        <v>80</v>
      </c>
      <c r="D142">
        <v>79.910003661999994</v>
      </c>
      <c r="E142">
        <v>50</v>
      </c>
      <c r="F142">
        <v>14.998239517</v>
      </c>
      <c r="G142">
        <v>1362.2252197</v>
      </c>
      <c r="H142">
        <v>1355.4982910000001</v>
      </c>
      <c r="I142">
        <v>1297.8220214999999</v>
      </c>
      <c r="J142">
        <v>1282.0388184000001</v>
      </c>
      <c r="K142">
        <v>2400</v>
      </c>
      <c r="L142">
        <v>0</v>
      </c>
      <c r="M142">
        <v>0</v>
      </c>
      <c r="N142">
        <v>2400</v>
      </c>
    </row>
    <row r="143" spans="1:14" x14ac:dyDescent="0.25">
      <c r="A143">
        <v>7.734426</v>
      </c>
      <c r="B143" s="1">
        <f>DATE(2010,5,8) + TIME(17,37,34)</f>
        <v>40306.7344212963</v>
      </c>
      <c r="C143">
        <v>80</v>
      </c>
      <c r="D143">
        <v>79.910598754999995</v>
      </c>
      <c r="E143">
        <v>50</v>
      </c>
      <c r="F143">
        <v>14.9982481</v>
      </c>
      <c r="G143">
        <v>1362.1734618999999</v>
      </c>
      <c r="H143">
        <v>1355.4476318</v>
      </c>
      <c r="I143">
        <v>1297.822876</v>
      </c>
      <c r="J143">
        <v>1282.0395507999999</v>
      </c>
      <c r="K143">
        <v>2400</v>
      </c>
      <c r="L143">
        <v>0</v>
      </c>
      <c r="M143">
        <v>0</v>
      </c>
      <c r="N143">
        <v>2400</v>
      </c>
    </row>
    <row r="144" spans="1:14" x14ac:dyDescent="0.25">
      <c r="A144">
        <v>7.8942920000000001</v>
      </c>
      <c r="B144" s="1">
        <f>DATE(2010,5,8) + TIME(21,27,46)</f>
        <v>40306.894282407404</v>
      </c>
      <c r="C144">
        <v>80</v>
      </c>
      <c r="D144">
        <v>79.911117554</v>
      </c>
      <c r="E144">
        <v>50</v>
      </c>
      <c r="F144">
        <v>14.99825573</v>
      </c>
      <c r="G144">
        <v>1362.1224365</v>
      </c>
      <c r="H144">
        <v>1355.3977050999999</v>
      </c>
      <c r="I144">
        <v>1297.8237305</v>
      </c>
      <c r="J144">
        <v>1282.0404053</v>
      </c>
      <c r="K144">
        <v>2400</v>
      </c>
      <c r="L144">
        <v>0</v>
      </c>
      <c r="M144">
        <v>0</v>
      </c>
      <c r="N144">
        <v>2400</v>
      </c>
    </row>
    <row r="145" spans="1:14" x14ac:dyDescent="0.25">
      <c r="A145">
        <v>8.0555459999999997</v>
      </c>
      <c r="B145" s="1">
        <f>DATE(2010,5,9) + TIME(1,19,59)</f>
        <v>40307.055543981478</v>
      </c>
      <c r="C145">
        <v>80</v>
      </c>
      <c r="D145">
        <v>79.911582946999999</v>
      </c>
      <c r="E145">
        <v>50</v>
      </c>
      <c r="F145">
        <v>14.998264313</v>
      </c>
      <c r="G145">
        <v>1362.0720214999999</v>
      </c>
      <c r="H145">
        <v>1355.3485106999999</v>
      </c>
      <c r="I145">
        <v>1297.8245850000001</v>
      </c>
      <c r="J145">
        <v>1282.0412598</v>
      </c>
      <c r="K145">
        <v>2400</v>
      </c>
      <c r="L145">
        <v>0</v>
      </c>
      <c r="M145">
        <v>0</v>
      </c>
      <c r="N145">
        <v>2400</v>
      </c>
    </row>
    <row r="146" spans="1:14" x14ac:dyDescent="0.25">
      <c r="A146">
        <v>8.2184310000000007</v>
      </c>
      <c r="B146" s="1">
        <f>DATE(2010,5,9) + TIME(5,14,32)</f>
        <v>40307.218425925923</v>
      </c>
      <c r="C146">
        <v>80</v>
      </c>
      <c r="D146">
        <v>79.911994934000006</v>
      </c>
      <c r="E146">
        <v>50</v>
      </c>
      <c r="F146">
        <v>14.998272896</v>
      </c>
      <c r="G146">
        <v>1362.0220947</v>
      </c>
      <c r="H146">
        <v>1355.2998047000001</v>
      </c>
      <c r="I146">
        <v>1297.8254394999999</v>
      </c>
      <c r="J146">
        <v>1282.0419922000001</v>
      </c>
      <c r="K146">
        <v>2400</v>
      </c>
      <c r="L146">
        <v>0</v>
      </c>
      <c r="M146">
        <v>0</v>
      </c>
      <c r="N146">
        <v>2400</v>
      </c>
    </row>
    <row r="147" spans="1:14" x14ac:dyDescent="0.25">
      <c r="A147">
        <v>8.3831959999999999</v>
      </c>
      <c r="B147" s="1">
        <f>DATE(2010,5,9) + TIME(9,11,48)</f>
        <v>40307.383194444446</v>
      </c>
      <c r="C147">
        <v>80</v>
      </c>
      <c r="D147">
        <v>79.912361145000006</v>
      </c>
      <c r="E147">
        <v>50</v>
      </c>
      <c r="F147">
        <v>14.998281478999999</v>
      </c>
      <c r="G147">
        <v>1361.9725341999999</v>
      </c>
      <c r="H147">
        <v>1355.2517089999999</v>
      </c>
      <c r="I147">
        <v>1297.8264160000001</v>
      </c>
      <c r="J147">
        <v>1282.0428466999999</v>
      </c>
      <c r="K147">
        <v>2400</v>
      </c>
      <c r="L147">
        <v>0</v>
      </c>
      <c r="M147">
        <v>0</v>
      </c>
      <c r="N147">
        <v>2400</v>
      </c>
    </row>
    <row r="148" spans="1:14" x14ac:dyDescent="0.25">
      <c r="A148">
        <v>8.5501000000000005</v>
      </c>
      <c r="B148" s="1">
        <f>DATE(2010,5,9) + TIME(13,12,8)</f>
        <v>40307.550092592595</v>
      </c>
      <c r="C148">
        <v>80</v>
      </c>
      <c r="D148">
        <v>79.912689209000007</v>
      </c>
      <c r="E148">
        <v>50</v>
      </c>
      <c r="F148">
        <v>14.998290062000001</v>
      </c>
      <c r="G148">
        <v>1361.9233397999999</v>
      </c>
      <c r="H148">
        <v>1355.2039795000001</v>
      </c>
      <c r="I148">
        <v>1297.8272704999999</v>
      </c>
      <c r="J148">
        <v>1282.0437012</v>
      </c>
      <c r="K148">
        <v>2400</v>
      </c>
      <c r="L148">
        <v>0</v>
      </c>
      <c r="M148">
        <v>0</v>
      </c>
      <c r="N148">
        <v>2400</v>
      </c>
    </row>
    <row r="149" spans="1:14" x14ac:dyDescent="0.25">
      <c r="A149">
        <v>8.7194120000000002</v>
      </c>
      <c r="B149" s="1">
        <f>DATE(2010,5,9) + TIME(17,15,57)</f>
        <v>40307.719409722224</v>
      </c>
      <c r="C149">
        <v>80</v>
      </c>
      <c r="D149">
        <v>79.912986755000006</v>
      </c>
      <c r="E149">
        <v>50</v>
      </c>
      <c r="F149">
        <v>14.998297690999999</v>
      </c>
      <c r="G149">
        <v>1361.8745117000001</v>
      </c>
      <c r="H149">
        <v>1355.1564940999999</v>
      </c>
      <c r="I149">
        <v>1297.828125</v>
      </c>
      <c r="J149">
        <v>1282.0445557</v>
      </c>
      <c r="K149">
        <v>2400</v>
      </c>
      <c r="L149">
        <v>0</v>
      </c>
      <c r="M149">
        <v>0</v>
      </c>
      <c r="N149">
        <v>2400</v>
      </c>
    </row>
    <row r="150" spans="1:14" x14ac:dyDescent="0.25">
      <c r="A150">
        <v>8.8914120000000008</v>
      </c>
      <c r="B150" s="1">
        <f>DATE(2010,5,9) + TIME(21,23,37)</f>
        <v>40307.891400462962</v>
      </c>
      <c r="C150">
        <v>80</v>
      </c>
      <c r="D150">
        <v>79.913253784000005</v>
      </c>
      <c r="E150">
        <v>50</v>
      </c>
      <c r="F150">
        <v>14.998306274000001</v>
      </c>
      <c r="G150">
        <v>1361.8258057</v>
      </c>
      <c r="H150">
        <v>1355.109375</v>
      </c>
      <c r="I150">
        <v>1297.8291016000001</v>
      </c>
      <c r="J150">
        <v>1282.0454102000001</v>
      </c>
      <c r="K150">
        <v>2400</v>
      </c>
      <c r="L150">
        <v>0</v>
      </c>
      <c r="M150">
        <v>0</v>
      </c>
      <c r="N150">
        <v>2400</v>
      </c>
    </row>
    <row r="151" spans="1:14" x14ac:dyDescent="0.25">
      <c r="A151">
        <v>9.0663970000000003</v>
      </c>
      <c r="B151" s="1">
        <f>DATE(2010,5,10) + TIME(1,35,36)</f>
        <v>40308.066388888888</v>
      </c>
      <c r="C151">
        <v>80</v>
      </c>
      <c r="D151">
        <v>79.913490295000003</v>
      </c>
      <c r="E151">
        <v>50</v>
      </c>
      <c r="F151">
        <v>14.998314857</v>
      </c>
      <c r="G151">
        <v>1361.7773437999999</v>
      </c>
      <c r="H151">
        <v>1355.0625</v>
      </c>
      <c r="I151">
        <v>1297.8300781</v>
      </c>
      <c r="J151">
        <v>1282.0462646000001</v>
      </c>
      <c r="K151">
        <v>2400</v>
      </c>
      <c r="L151">
        <v>0</v>
      </c>
      <c r="M151">
        <v>0</v>
      </c>
      <c r="N151">
        <v>2400</v>
      </c>
    </row>
    <row r="152" spans="1:14" x14ac:dyDescent="0.25">
      <c r="A152">
        <v>9.2447619999999997</v>
      </c>
      <c r="B152" s="1">
        <f>DATE(2010,5,10) + TIME(5,52,27)</f>
        <v>40308.244756944441</v>
      </c>
      <c r="C152">
        <v>80</v>
      </c>
      <c r="D152">
        <v>79.913711547999995</v>
      </c>
      <c r="E152">
        <v>50</v>
      </c>
      <c r="F152">
        <v>14.998322486999999</v>
      </c>
      <c r="G152">
        <v>1361.7287598</v>
      </c>
      <c r="H152">
        <v>1355.0157471</v>
      </c>
      <c r="I152">
        <v>1297.8310547000001</v>
      </c>
      <c r="J152">
        <v>1282.0471190999999</v>
      </c>
      <c r="K152">
        <v>2400</v>
      </c>
      <c r="L152">
        <v>0</v>
      </c>
      <c r="M152">
        <v>0</v>
      </c>
      <c r="N152">
        <v>2400</v>
      </c>
    </row>
    <row r="153" spans="1:14" x14ac:dyDescent="0.25">
      <c r="A153">
        <v>9.4267789999999998</v>
      </c>
      <c r="B153" s="1">
        <f>DATE(2010,5,10) + TIME(10,14,33)</f>
        <v>40308.426770833335</v>
      </c>
      <c r="C153">
        <v>80</v>
      </c>
      <c r="D153">
        <v>79.913909911999994</v>
      </c>
      <c r="E153">
        <v>50</v>
      </c>
      <c r="F153">
        <v>14.998331070000001</v>
      </c>
      <c r="G153">
        <v>1361.6802978999999</v>
      </c>
      <c r="H153">
        <v>1354.9689940999999</v>
      </c>
      <c r="I153">
        <v>1297.8320312000001</v>
      </c>
      <c r="J153">
        <v>1282.0479736</v>
      </c>
      <c r="K153">
        <v>2400</v>
      </c>
      <c r="L153">
        <v>0</v>
      </c>
      <c r="M153">
        <v>0</v>
      </c>
      <c r="N153">
        <v>2400</v>
      </c>
    </row>
    <row r="154" spans="1:14" x14ac:dyDescent="0.25">
      <c r="A154">
        <v>9.6128160000000005</v>
      </c>
      <c r="B154" s="1">
        <f>DATE(2010,5,10) + TIME(14,42,27)</f>
        <v>40308.612812500003</v>
      </c>
      <c r="C154">
        <v>80</v>
      </c>
      <c r="D154">
        <v>79.914093018000003</v>
      </c>
      <c r="E154">
        <v>50</v>
      </c>
      <c r="F154">
        <v>14.998339653</v>
      </c>
      <c r="G154">
        <v>1361.6317139</v>
      </c>
      <c r="H154">
        <v>1354.9221190999999</v>
      </c>
      <c r="I154">
        <v>1297.8330077999999</v>
      </c>
      <c r="J154">
        <v>1282.0489502</v>
      </c>
      <c r="K154">
        <v>2400</v>
      </c>
      <c r="L154">
        <v>0</v>
      </c>
      <c r="M154">
        <v>0</v>
      </c>
      <c r="N154">
        <v>2400</v>
      </c>
    </row>
    <row r="155" spans="1:14" x14ac:dyDescent="0.25">
      <c r="A155">
        <v>9.8030530000000002</v>
      </c>
      <c r="B155" s="1">
        <f>DATE(2010,5,10) + TIME(19,16,23)</f>
        <v>40308.803043981483</v>
      </c>
      <c r="C155">
        <v>80</v>
      </c>
      <c r="D155">
        <v>79.914253235000004</v>
      </c>
      <c r="E155">
        <v>50</v>
      </c>
      <c r="F155">
        <v>14.998348236</v>
      </c>
      <c r="G155">
        <v>1361.5828856999999</v>
      </c>
      <c r="H155">
        <v>1354.8752440999999</v>
      </c>
      <c r="I155">
        <v>1297.8339844</v>
      </c>
      <c r="J155">
        <v>1282.0499268000001</v>
      </c>
      <c r="K155">
        <v>2400</v>
      </c>
      <c r="L155">
        <v>0</v>
      </c>
      <c r="M155">
        <v>0</v>
      </c>
      <c r="N155">
        <v>2400</v>
      </c>
    </row>
    <row r="156" spans="1:14" x14ac:dyDescent="0.25">
      <c r="A156">
        <v>9.9968000000000004</v>
      </c>
      <c r="B156" s="1">
        <f>DATE(2010,5,10) + TIME(23,55,23)</f>
        <v>40308.996793981481</v>
      </c>
      <c r="C156">
        <v>80</v>
      </c>
      <c r="D156">
        <v>79.914405822999996</v>
      </c>
      <c r="E156">
        <v>50</v>
      </c>
      <c r="F156">
        <v>14.998355865000001</v>
      </c>
      <c r="G156">
        <v>1361.5339355000001</v>
      </c>
      <c r="H156">
        <v>1354.8283690999999</v>
      </c>
      <c r="I156">
        <v>1297.8350829999999</v>
      </c>
      <c r="J156">
        <v>1282.0507812000001</v>
      </c>
      <c r="K156">
        <v>2400</v>
      </c>
      <c r="L156">
        <v>0</v>
      </c>
      <c r="M156">
        <v>0</v>
      </c>
      <c r="N156">
        <v>2400</v>
      </c>
    </row>
    <row r="157" spans="1:14" x14ac:dyDescent="0.25">
      <c r="A157">
        <v>10.194352</v>
      </c>
      <c r="B157" s="1">
        <f>DATE(2010,5,11) + TIME(4,39,52)</f>
        <v>40309.194351851853</v>
      </c>
      <c r="C157">
        <v>80</v>
      </c>
      <c r="D157">
        <v>79.914543151999993</v>
      </c>
      <c r="E157">
        <v>50</v>
      </c>
      <c r="F157">
        <v>14.998364449</v>
      </c>
      <c r="G157">
        <v>1361.4848632999999</v>
      </c>
      <c r="H157">
        <v>1354.7813721</v>
      </c>
      <c r="I157">
        <v>1297.8360596</v>
      </c>
      <c r="J157">
        <v>1282.0517577999999</v>
      </c>
      <c r="K157">
        <v>2400</v>
      </c>
      <c r="L157">
        <v>0</v>
      </c>
      <c r="M157">
        <v>0</v>
      </c>
      <c r="N157">
        <v>2400</v>
      </c>
    </row>
    <row r="158" spans="1:14" x14ac:dyDescent="0.25">
      <c r="A158">
        <v>10.396074</v>
      </c>
      <c r="B158" s="1">
        <f>DATE(2010,5,11) + TIME(9,30,20)</f>
        <v>40309.396064814813</v>
      </c>
      <c r="C158">
        <v>80</v>
      </c>
      <c r="D158">
        <v>79.914665221999996</v>
      </c>
      <c r="E158">
        <v>50</v>
      </c>
      <c r="F158">
        <v>14.998373032</v>
      </c>
      <c r="G158">
        <v>1361.4359131000001</v>
      </c>
      <c r="H158">
        <v>1354.7344971</v>
      </c>
      <c r="I158">
        <v>1297.8371582</v>
      </c>
      <c r="J158">
        <v>1282.0527344</v>
      </c>
      <c r="K158">
        <v>2400</v>
      </c>
      <c r="L158">
        <v>0</v>
      </c>
      <c r="M158">
        <v>0</v>
      </c>
      <c r="N158">
        <v>2400</v>
      </c>
    </row>
    <row r="159" spans="1:14" x14ac:dyDescent="0.25">
      <c r="A159">
        <v>10.602373</v>
      </c>
      <c r="B159" s="1">
        <f>DATE(2010,5,11) + TIME(14,27,25)</f>
        <v>40309.602372685185</v>
      </c>
      <c r="C159">
        <v>80</v>
      </c>
      <c r="D159">
        <v>79.914772033999995</v>
      </c>
      <c r="E159">
        <v>50</v>
      </c>
      <c r="F159">
        <v>14.998381615</v>
      </c>
      <c r="G159">
        <v>1361.3867187999999</v>
      </c>
      <c r="H159">
        <v>1354.6876221</v>
      </c>
      <c r="I159">
        <v>1297.8382568</v>
      </c>
      <c r="J159">
        <v>1282.0538329999999</v>
      </c>
      <c r="K159">
        <v>2400</v>
      </c>
      <c r="L159">
        <v>0</v>
      </c>
      <c r="M159">
        <v>0</v>
      </c>
      <c r="N159">
        <v>2400</v>
      </c>
    </row>
    <row r="160" spans="1:14" x14ac:dyDescent="0.25">
      <c r="A160">
        <v>10.813717</v>
      </c>
      <c r="B160" s="1">
        <f>DATE(2010,5,11) + TIME(19,31,45)</f>
        <v>40309.813715277778</v>
      </c>
      <c r="C160">
        <v>80</v>
      </c>
      <c r="D160">
        <v>79.914878845000004</v>
      </c>
      <c r="E160">
        <v>50</v>
      </c>
      <c r="F160">
        <v>14.998390197999999</v>
      </c>
      <c r="G160">
        <v>1361.3374022999999</v>
      </c>
      <c r="H160">
        <v>1354.640625</v>
      </c>
      <c r="I160">
        <v>1297.8393555</v>
      </c>
      <c r="J160">
        <v>1282.0548096</v>
      </c>
      <c r="K160">
        <v>2400</v>
      </c>
      <c r="L160">
        <v>0</v>
      </c>
      <c r="M160">
        <v>0</v>
      </c>
      <c r="N160">
        <v>2400</v>
      </c>
    </row>
    <row r="161" spans="1:14" x14ac:dyDescent="0.25">
      <c r="A161">
        <v>10.920242</v>
      </c>
      <c r="B161" s="1">
        <f>DATE(2010,5,11) + TIME(22,5,8)</f>
        <v>40309.920231481483</v>
      </c>
      <c r="C161">
        <v>80</v>
      </c>
      <c r="D161">
        <v>79.914916992000002</v>
      </c>
      <c r="E161">
        <v>50</v>
      </c>
      <c r="F161">
        <v>14.998394965999999</v>
      </c>
      <c r="G161">
        <v>1361.2871094</v>
      </c>
      <c r="H161">
        <v>1354.5924072</v>
      </c>
      <c r="I161">
        <v>1297.840332</v>
      </c>
      <c r="J161">
        <v>1282.0557861</v>
      </c>
      <c r="K161">
        <v>2400</v>
      </c>
      <c r="L161">
        <v>0</v>
      </c>
      <c r="M161">
        <v>0</v>
      </c>
      <c r="N161">
        <v>2400</v>
      </c>
    </row>
    <row r="162" spans="1:14" x14ac:dyDescent="0.25">
      <c r="A162">
        <v>11.133291</v>
      </c>
      <c r="B162" s="1">
        <f>DATE(2010,5,12) + TIME(3,11,56)</f>
        <v>40310.133287037039</v>
      </c>
      <c r="C162">
        <v>80</v>
      </c>
      <c r="D162">
        <v>79.915008545000006</v>
      </c>
      <c r="E162">
        <v>50</v>
      </c>
      <c r="F162">
        <v>14.998402596</v>
      </c>
      <c r="G162">
        <v>1361.2630615</v>
      </c>
      <c r="H162">
        <v>1354.5698242000001</v>
      </c>
      <c r="I162">
        <v>1297.8410644999999</v>
      </c>
      <c r="J162">
        <v>1282.0563964999999</v>
      </c>
      <c r="K162">
        <v>2400</v>
      </c>
      <c r="L162">
        <v>0</v>
      </c>
      <c r="M162">
        <v>0</v>
      </c>
      <c r="N162">
        <v>2400</v>
      </c>
    </row>
    <row r="163" spans="1:14" x14ac:dyDescent="0.25">
      <c r="A163">
        <v>11.346363999999999</v>
      </c>
      <c r="B163" s="1">
        <f>DATE(2010,5,12) + TIME(8,18,45)</f>
        <v>40310.346354166664</v>
      </c>
      <c r="C163">
        <v>80</v>
      </c>
      <c r="D163">
        <v>79.915084839000002</v>
      </c>
      <c r="E163">
        <v>50</v>
      </c>
      <c r="F163">
        <v>14.998411179</v>
      </c>
      <c r="G163">
        <v>1361.2144774999999</v>
      </c>
      <c r="H163">
        <v>1354.5236815999999</v>
      </c>
      <c r="I163">
        <v>1297.8422852000001</v>
      </c>
      <c r="J163">
        <v>1282.0574951000001</v>
      </c>
      <c r="K163">
        <v>2400</v>
      </c>
      <c r="L163">
        <v>0</v>
      </c>
      <c r="M163">
        <v>0</v>
      </c>
      <c r="N163">
        <v>2400</v>
      </c>
    </row>
    <row r="164" spans="1:14" x14ac:dyDescent="0.25">
      <c r="A164">
        <v>11.559907000000001</v>
      </c>
      <c r="B164" s="1">
        <f>DATE(2010,5,12) + TIME(13,26,16)</f>
        <v>40310.559907407405</v>
      </c>
      <c r="C164">
        <v>80</v>
      </c>
      <c r="D164">
        <v>79.915153502999999</v>
      </c>
      <c r="E164">
        <v>50</v>
      </c>
      <c r="F164">
        <v>14.998419761999999</v>
      </c>
      <c r="G164">
        <v>1361.166626</v>
      </c>
      <c r="H164">
        <v>1354.4782714999999</v>
      </c>
      <c r="I164">
        <v>1297.8433838000001</v>
      </c>
      <c r="J164">
        <v>1282.0584716999999</v>
      </c>
      <c r="K164">
        <v>2400</v>
      </c>
      <c r="L164">
        <v>0</v>
      </c>
      <c r="M164">
        <v>0</v>
      </c>
      <c r="N164">
        <v>2400</v>
      </c>
    </row>
    <row r="165" spans="1:14" x14ac:dyDescent="0.25">
      <c r="A165">
        <v>11.774307</v>
      </c>
      <c r="B165" s="1">
        <f>DATE(2010,5,12) + TIME(18,35,0)</f>
        <v>40310.774305555555</v>
      </c>
      <c r="C165">
        <v>80</v>
      </c>
      <c r="D165">
        <v>79.915206909000005</v>
      </c>
      <c r="E165">
        <v>50</v>
      </c>
      <c r="F165">
        <v>14.998427391</v>
      </c>
      <c r="G165">
        <v>1361.1196289</v>
      </c>
      <c r="H165">
        <v>1354.4337158000001</v>
      </c>
      <c r="I165">
        <v>1297.8446045000001</v>
      </c>
      <c r="J165">
        <v>1282.0595702999999</v>
      </c>
      <c r="K165">
        <v>2400</v>
      </c>
      <c r="L165">
        <v>0</v>
      </c>
      <c r="M165">
        <v>0</v>
      </c>
      <c r="N165">
        <v>2400</v>
      </c>
    </row>
    <row r="166" spans="1:14" x14ac:dyDescent="0.25">
      <c r="A166">
        <v>11.989907000000001</v>
      </c>
      <c r="B166" s="1">
        <f>DATE(2010,5,12) + TIME(23,45,27)</f>
        <v>40310.989895833336</v>
      </c>
      <c r="C166">
        <v>80</v>
      </c>
      <c r="D166">
        <v>79.915260314999998</v>
      </c>
      <c r="E166">
        <v>50</v>
      </c>
      <c r="F166">
        <v>14.998435020000001</v>
      </c>
      <c r="G166">
        <v>1361.0732422000001</v>
      </c>
      <c r="H166">
        <v>1354.3898925999999</v>
      </c>
      <c r="I166">
        <v>1297.8457031</v>
      </c>
      <c r="J166">
        <v>1282.0606689000001</v>
      </c>
      <c r="K166">
        <v>2400</v>
      </c>
      <c r="L166">
        <v>0</v>
      </c>
      <c r="M166">
        <v>0</v>
      </c>
      <c r="N166">
        <v>2400</v>
      </c>
    </row>
    <row r="167" spans="1:14" x14ac:dyDescent="0.25">
      <c r="A167">
        <v>12.207051</v>
      </c>
      <c r="B167" s="1">
        <f>DATE(2010,5,13) + TIME(4,58,9)</f>
        <v>40311.207048611112</v>
      </c>
      <c r="C167">
        <v>80</v>
      </c>
      <c r="D167">
        <v>79.915313721000004</v>
      </c>
      <c r="E167">
        <v>50</v>
      </c>
      <c r="F167">
        <v>14.998443604</v>
      </c>
      <c r="G167">
        <v>1361.0273437999999</v>
      </c>
      <c r="H167">
        <v>1354.3465576000001</v>
      </c>
      <c r="I167">
        <v>1297.8469238</v>
      </c>
      <c r="J167">
        <v>1282.0617675999999</v>
      </c>
      <c r="K167">
        <v>2400</v>
      </c>
      <c r="L167">
        <v>0</v>
      </c>
      <c r="M167">
        <v>0</v>
      </c>
      <c r="N167">
        <v>2400</v>
      </c>
    </row>
    <row r="168" spans="1:14" x14ac:dyDescent="0.25">
      <c r="A168">
        <v>12.426083</v>
      </c>
      <c r="B168" s="1">
        <f>DATE(2010,5,13) + TIME(10,13,33)</f>
        <v>40311.426076388889</v>
      </c>
      <c r="C168">
        <v>80</v>
      </c>
      <c r="D168">
        <v>79.915351868000002</v>
      </c>
      <c r="E168">
        <v>50</v>
      </c>
      <c r="F168">
        <v>14.998451233000001</v>
      </c>
      <c r="G168">
        <v>1360.9819336</v>
      </c>
      <c r="H168">
        <v>1354.3037108999999</v>
      </c>
      <c r="I168">
        <v>1297.8480225000001</v>
      </c>
      <c r="J168">
        <v>1282.0628661999999</v>
      </c>
      <c r="K168">
        <v>2400</v>
      </c>
      <c r="L168">
        <v>0</v>
      </c>
      <c r="M168">
        <v>0</v>
      </c>
      <c r="N168">
        <v>2400</v>
      </c>
    </row>
    <row r="169" spans="1:14" x14ac:dyDescent="0.25">
      <c r="A169">
        <v>12.647354999999999</v>
      </c>
      <c r="B169" s="1">
        <f>DATE(2010,5,13) + TIME(15,32,11)</f>
        <v>40311.647349537037</v>
      </c>
      <c r="C169">
        <v>80</v>
      </c>
      <c r="D169">
        <v>79.915390015</v>
      </c>
      <c r="E169">
        <v>50</v>
      </c>
      <c r="F169">
        <v>14.998458862</v>
      </c>
      <c r="G169">
        <v>1360.9368896000001</v>
      </c>
      <c r="H169">
        <v>1354.2612305</v>
      </c>
      <c r="I169">
        <v>1297.8492432</v>
      </c>
      <c r="J169">
        <v>1282.0638428</v>
      </c>
      <c r="K169">
        <v>2400</v>
      </c>
      <c r="L169">
        <v>0</v>
      </c>
      <c r="M169">
        <v>0</v>
      </c>
      <c r="N169">
        <v>2400</v>
      </c>
    </row>
    <row r="170" spans="1:14" x14ac:dyDescent="0.25">
      <c r="A170">
        <v>12.871228</v>
      </c>
      <c r="B170" s="1">
        <f>DATE(2010,5,13) + TIME(20,54,34)</f>
        <v>40311.87122685185</v>
      </c>
      <c r="C170">
        <v>80</v>
      </c>
      <c r="D170">
        <v>79.915428161999998</v>
      </c>
      <c r="E170">
        <v>50</v>
      </c>
      <c r="F170">
        <v>14.998466492</v>
      </c>
      <c r="G170">
        <v>1360.8922118999999</v>
      </c>
      <c r="H170">
        <v>1354.2192382999999</v>
      </c>
      <c r="I170">
        <v>1297.8504639</v>
      </c>
      <c r="J170">
        <v>1282.0649414</v>
      </c>
      <c r="K170">
        <v>2400</v>
      </c>
      <c r="L170">
        <v>0</v>
      </c>
      <c r="M170">
        <v>0</v>
      </c>
      <c r="N170">
        <v>2400</v>
      </c>
    </row>
    <row r="171" spans="1:14" x14ac:dyDescent="0.25">
      <c r="A171">
        <v>13.098076000000001</v>
      </c>
      <c r="B171" s="1">
        <f>DATE(2010,5,14) + TIME(2,21,13)</f>
        <v>40312.098067129627</v>
      </c>
      <c r="C171">
        <v>80</v>
      </c>
      <c r="D171">
        <v>79.915458678999997</v>
      </c>
      <c r="E171">
        <v>50</v>
      </c>
      <c r="F171">
        <v>14.998474120999999</v>
      </c>
      <c r="G171">
        <v>1360.8476562000001</v>
      </c>
      <c r="H171">
        <v>1354.1773682</v>
      </c>
      <c r="I171">
        <v>1297.8516846</v>
      </c>
      <c r="J171">
        <v>1282.0661620999999</v>
      </c>
      <c r="K171">
        <v>2400</v>
      </c>
      <c r="L171">
        <v>0</v>
      </c>
      <c r="M171">
        <v>0</v>
      </c>
      <c r="N171">
        <v>2400</v>
      </c>
    </row>
    <row r="172" spans="1:14" x14ac:dyDescent="0.25">
      <c r="A172">
        <v>13.328289</v>
      </c>
      <c r="B172" s="1">
        <f>DATE(2010,5,14) + TIME(7,52,44)</f>
        <v>40312.328287037039</v>
      </c>
      <c r="C172">
        <v>80</v>
      </c>
      <c r="D172">
        <v>79.915481567</v>
      </c>
      <c r="E172">
        <v>50</v>
      </c>
      <c r="F172">
        <v>14.99848175</v>
      </c>
      <c r="G172">
        <v>1360.8033447</v>
      </c>
      <c r="H172">
        <v>1354.1357422000001</v>
      </c>
      <c r="I172">
        <v>1297.8529053</v>
      </c>
      <c r="J172">
        <v>1282.0672606999999</v>
      </c>
      <c r="K172">
        <v>2400</v>
      </c>
      <c r="L172">
        <v>0</v>
      </c>
      <c r="M172">
        <v>0</v>
      </c>
      <c r="N172">
        <v>2400</v>
      </c>
    </row>
    <row r="173" spans="1:14" x14ac:dyDescent="0.25">
      <c r="A173">
        <v>13.562290000000001</v>
      </c>
      <c r="B173" s="1">
        <f>DATE(2010,5,14) + TIME(13,29,41)</f>
        <v>40312.562280092592</v>
      </c>
      <c r="C173">
        <v>80</v>
      </c>
      <c r="D173">
        <v>79.915504455999994</v>
      </c>
      <c r="E173">
        <v>50</v>
      </c>
      <c r="F173">
        <v>14.998489380000001</v>
      </c>
      <c r="G173">
        <v>1360.7590332</v>
      </c>
      <c r="H173">
        <v>1354.0943603999999</v>
      </c>
      <c r="I173">
        <v>1297.854126</v>
      </c>
      <c r="J173">
        <v>1282.0683594</v>
      </c>
      <c r="K173">
        <v>2400</v>
      </c>
      <c r="L173">
        <v>0</v>
      </c>
      <c r="M173">
        <v>0</v>
      </c>
      <c r="N173">
        <v>2400</v>
      </c>
    </row>
    <row r="174" spans="1:14" x14ac:dyDescent="0.25">
      <c r="A174">
        <v>13.800606999999999</v>
      </c>
      <c r="B174" s="1">
        <f>DATE(2010,5,14) + TIME(19,12,52)</f>
        <v>40312.80060185185</v>
      </c>
      <c r="C174">
        <v>80</v>
      </c>
      <c r="D174">
        <v>79.915527343999997</v>
      </c>
      <c r="E174">
        <v>50</v>
      </c>
      <c r="F174">
        <v>14.998497008999999</v>
      </c>
      <c r="G174">
        <v>1360.7147216999999</v>
      </c>
      <c r="H174">
        <v>1354.0529785000001</v>
      </c>
      <c r="I174">
        <v>1297.8554687999999</v>
      </c>
      <c r="J174">
        <v>1282.0695800999999</v>
      </c>
      <c r="K174">
        <v>2400</v>
      </c>
      <c r="L174">
        <v>0</v>
      </c>
      <c r="M174">
        <v>0</v>
      </c>
      <c r="N174">
        <v>2400</v>
      </c>
    </row>
    <row r="175" spans="1:14" x14ac:dyDescent="0.25">
      <c r="A175">
        <v>14.043620000000001</v>
      </c>
      <c r="B175" s="1">
        <f>DATE(2010,5,15) + TIME(1,2,48)</f>
        <v>40313.043611111112</v>
      </c>
      <c r="C175">
        <v>80</v>
      </c>
      <c r="D175">
        <v>79.915550232000001</v>
      </c>
      <c r="E175">
        <v>50</v>
      </c>
      <c r="F175">
        <v>14.998505592000001</v>
      </c>
      <c r="G175">
        <v>1360.6704102000001</v>
      </c>
      <c r="H175">
        <v>1354.0115966999999</v>
      </c>
      <c r="I175">
        <v>1297.8566894999999</v>
      </c>
      <c r="J175">
        <v>1282.0708007999999</v>
      </c>
      <c r="K175">
        <v>2400</v>
      </c>
      <c r="L175">
        <v>0</v>
      </c>
      <c r="M175">
        <v>0</v>
      </c>
      <c r="N175">
        <v>2400</v>
      </c>
    </row>
    <row r="176" spans="1:14" x14ac:dyDescent="0.25">
      <c r="A176">
        <v>14.291826</v>
      </c>
      <c r="B176" s="1">
        <f>DATE(2010,5,15) + TIME(7,0,13)</f>
        <v>40313.291817129626</v>
      </c>
      <c r="C176">
        <v>80</v>
      </c>
      <c r="D176">
        <v>79.915565490999995</v>
      </c>
      <c r="E176">
        <v>50</v>
      </c>
      <c r="F176">
        <v>14.998513222</v>
      </c>
      <c r="G176">
        <v>1360.6259766000001</v>
      </c>
      <c r="H176">
        <v>1353.9700928</v>
      </c>
      <c r="I176">
        <v>1297.8580322</v>
      </c>
      <c r="J176">
        <v>1282.0720214999999</v>
      </c>
      <c r="K176">
        <v>2400</v>
      </c>
      <c r="L176">
        <v>0</v>
      </c>
      <c r="M176">
        <v>0</v>
      </c>
      <c r="N176">
        <v>2400</v>
      </c>
    </row>
    <row r="177" spans="1:14" x14ac:dyDescent="0.25">
      <c r="A177">
        <v>14.543464</v>
      </c>
      <c r="B177" s="1">
        <f>DATE(2010,5,15) + TIME(13,2,35)</f>
        <v>40313.54346064815</v>
      </c>
      <c r="C177">
        <v>80</v>
      </c>
      <c r="D177">
        <v>79.915580750000004</v>
      </c>
      <c r="E177">
        <v>50</v>
      </c>
      <c r="F177">
        <v>14.998520851</v>
      </c>
      <c r="G177">
        <v>1360.5812988</v>
      </c>
      <c r="H177">
        <v>1353.9284668</v>
      </c>
      <c r="I177">
        <v>1297.859375</v>
      </c>
      <c r="J177">
        <v>1282.0732422000001</v>
      </c>
      <c r="K177">
        <v>2400</v>
      </c>
      <c r="L177">
        <v>0</v>
      </c>
      <c r="M177">
        <v>0</v>
      </c>
      <c r="N177">
        <v>2400</v>
      </c>
    </row>
    <row r="178" spans="1:14" x14ac:dyDescent="0.25">
      <c r="A178">
        <v>14.799063</v>
      </c>
      <c r="B178" s="1">
        <f>DATE(2010,5,15) + TIME(19,10,39)</f>
        <v>40313.799062500002</v>
      </c>
      <c r="C178">
        <v>80</v>
      </c>
      <c r="D178">
        <v>79.915596007999994</v>
      </c>
      <c r="E178">
        <v>50</v>
      </c>
      <c r="F178">
        <v>14.998528480999999</v>
      </c>
      <c r="G178">
        <v>1360.5367432</v>
      </c>
      <c r="H178">
        <v>1353.8870850000001</v>
      </c>
      <c r="I178">
        <v>1297.8607178</v>
      </c>
      <c r="J178">
        <v>1282.0744629000001</v>
      </c>
      <c r="K178">
        <v>2400</v>
      </c>
      <c r="L178">
        <v>0</v>
      </c>
      <c r="M178">
        <v>0</v>
      </c>
      <c r="N178">
        <v>2400</v>
      </c>
    </row>
    <row r="179" spans="1:14" x14ac:dyDescent="0.25">
      <c r="A179">
        <v>15.058971</v>
      </c>
      <c r="B179" s="1">
        <f>DATE(2010,5,16) + TIME(1,24,55)</f>
        <v>40314.058969907404</v>
      </c>
      <c r="C179">
        <v>80</v>
      </c>
      <c r="D179">
        <v>79.915603637999993</v>
      </c>
      <c r="E179">
        <v>50</v>
      </c>
      <c r="F179">
        <v>14.99853611</v>
      </c>
      <c r="G179">
        <v>1360.4923096</v>
      </c>
      <c r="H179">
        <v>1353.8458252</v>
      </c>
      <c r="I179">
        <v>1297.8621826000001</v>
      </c>
      <c r="J179">
        <v>1282.0758057</v>
      </c>
      <c r="K179">
        <v>2400</v>
      </c>
      <c r="L179">
        <v>0</v>
      </c>
      <c r="M179">
        <v>0</v>
      </c>
      <c r="N179">
        <v>2400</v>
      </c>
    </row>
    <row r="180" spans="1:14" x14ac:dyDescent="0.25">
      <c r="A180">
        <v>15.323561</v>
      </c>
      <c r="B180" s="1">
        <f>DATE(2010,5,16) + TIME(7,45,55)</f>
        <v>40314.323553240742</v>
      </c>
      <c r="C180">
        <v>80</v>
      </c>
      <c r="D180">
        <v>79.915611267000003</v>
      </c>
      <c r="E180">
        <v>50</v>
      </c>
      <c r="F180">
        <v>14.998543739</v>
      </c>
      <c r="G180">
        <v>1360.4477539</v>
      </c>
      <c r="H180">
        <v>1353.8045654</v>
      </c>
      <c r="I180">
        <v>1297.8635254000001</v>
      </c>
      <c r="J180">
        <v>1282.0770264</v>
      </c>
      <c r="K180">
        <v>2400</v>
      </c>
      <c r="L180">
        <v>0</v>
      </c>
      <c r="M180">
        <v>0</v>
      </c>
      <c r="N180">
        <v>2400</v>
      </c>
    </row>
    <row r="181" spans="1:14" x14ac:dyDescent="0.25">
      <c r="A181">
        <v>15.593330999999999</v>
      </c>
      <c r="B181" s="1">
        <f>DATE(2010,5,16) + TIME(14,14,23)</f>
        <v>40314.593321759261</v>
      </c>
      <c r="C181">
        <v>80</v>
      </c>
      <c r="D181">
        <v>79.915618895999998</v>
      </c>
      <c r="E181">
        <v>50</v>
      </c>
      <c r="F181">
        <v>14.998551368999999</v>
      </c>
      <c r="G181">
        <v>1360.4031981999999</v>
      </c>
      <c r="H181">
        <v>1353.7633057</v>
      </c>
      <c r="I181">
        <v>1297.8649902</v>
      </c>
      <c r="J181">
        <v>1282.0783690999999</v>
      </c>
      <c r="K181">
        <v>2400</v>
      </c>
      <c r="L181">
        <v>0</v>
      </c>
      <c r="M181">
        <v>0</v>
      </c>
      <c r="N181">
        <v>2400</v>
      </c>
    </row>
    <row r="182" spans="1:14" x14ac:dyDescent="0.25">
      <c r="A182">
        <v>15.729009</v>
      </c>
      <c r="B182" s="1">
        <f>DATE(2010,5,16) + TIME(17,29,46)</f>
        <v>40314.729004629633</v>
      </c>
      <c r="C182">
        <v>80</v>
      </c>
      <c r="D182">
        <v>79.915618895999998</v>
      </c>
      <c r="E182">
        <v>50</v>
      </c>
      <c r="F182">
        <v>14.998556137</v>
      </c>
      <c r="G182">
        <v>1360.3579102000001</v>
      </c>
      <c r="H182">
        <v>1353.7211914</v>
      </c>
      <c r="I182">
        <v>1297.8663329999999</v>
      </c>
      <c r="J182">
        <v>1282.0795897999999</v>
      </c>
      <c r="K182">
        <v>2400</v>
      </c>
      <c r="L182">
        <v>0</v>
      </c>
      <c r="M182">
        <v>0</v>
      </c>
      <c r="N182">
        <v>2400</v>
      </c>
    </row>
    <row r="183" spans="1:14" x14ac:dyDescent="0.25">
      <c r="A183">
        <v>16.000366</v>
      </c>
      <c r="B183" s="1">
        <f>DATE(2010,5,17) + TIME(0,0,31)</f>
        <v>40315.000358796293</v>
      </c>
      <c r="C183">
        <v>80</v>
      </c>
      <c r="D183">
        <v>79.915626525999997</v>
      </c>
      <c r="E183">
        <v>50</v>
      </c>
      <c r="F183">
        <v>14.998563766</v>
      </c>
      <c r="G183">
        <v>1360.3361815999999</v>
      </c>
      <c r="H183">
        <v>1353.7012939000001</v>
      </c>
      <c r="I183">
        <v>1297.8671875</v>
      </c>
      <c r="J183">
        <v>1282.0804443</v>
      </c>
      <c r="K183">
        <v>2400</v>
      </c>
      <c r="L183">
        <v>0</v>
      </c>
      <c r="M183">
        <v>0</v>
      </c>
      <c r="N183">
        <v>2400</v>
      </c>
    </row>
    <row r="184" spans="1:14" x14ac:dyDescent="0.25">
      <c r="A184">
        <v>16.271743000000001</v>
      </c>
      <c r="B184" s="1">
        <f>DATE(2010,5,17) + TIME(6,31,18)</f>
        <v>40315.271736111114</v>
      </c>
      <c r="C184">
        <v>80</v>
      </c>
      <c r="D184">
        <v>79.915634155000006</v>
      </c>
      <c r="E184">
        <v>50</v>
      </c>
      <c r="F184">
        <v>14.998571395999999</v>
      </c>
      <c r="G184">
        <v>1360.2923584</v>
      </c>
      <c r="H184">
        <v>1353.6608887</v>
      </c>
      <c r="I184">
        <v>1297.8686522999999</v>
      </c>
      <c r="J184">
        <v>1282.0817870999999</v>
      </c>
      <c r="K184">
        <v>2400</v>
      </c>
      <c r="L184">
        <v>0</v>
      </c>
      <c r="M184">
        <v>0</v>
      </c>
      <c r="N184">
        <v>2400</v>
      </c>
    </row>
    <row r="185" spans="1:14" x14ac:dyDescent="0.25">
      <c r="A185">
        <v>16.54383</v>
      </c>
      <c r="B185" s="1">
        <f>DATE(2010,5,17) + TIME(13,3,6)</f>
        <v>40315.543819444443</v>
      </c>
      <c r="C185">
        <v>80</v>
      </c>
      <c r="D185">
        <v>79.915641785000005</v>
      </c>
      <c r="E185">
        <v>50</v>
      </c>
      <c r="F185">
        <v>14.998579025</v>
      </c>
      <c r="G185">
        <v>1360.2491454999999</v>
      </c>
      <c r="H185">
        <v>1353.6210937999999</v>
      </c>
      <c r="I185">
        <v>1297.8702393000001</v>
      </c>
      <c r="J185">
        <v>1282.0831298999999</v>
      </c>
      <c r="K185">
        <v>2400</v>
      </c>
      <c r="L185">
        <v>0</v>
      </c>
      <c r="M185">
        <v>0</v>
      </c>
      <c r="N185">
        <v>2400</v>
      </c>
    </row>
    <row r="186" spans="1:14" x14ac:dyDescent="0.25">
      <c r="A186">
        <v>16.81709</v>
      </c>
      <c r="B186" s="1">
        <f>DATE(2010,5,17) + TIME(19,36,36)</f>
        <v>40315.817083333335</v>
      </c>
      <c r="C186">
        <v>80</v>
      </c>
      <c r="D186">
        <v>79.915641785000005</v>
      </c>
      <c r="E186">
        <v>50</v>
      </c>
      <c r="F186">
        <v>14.998585701</v>
      </c>
      <c r="G186">
        <v>1360.206543</v>
      </c>
      <c r="H186">
        <v>1353.5819091999999</v>
      </c>
      <c r="I186">
        <v>1297.8717041</v>
      </c>
      <c r="J186">
        <v>1282.0844727000001</v>
      </c>
      <c r="K186">
        <v>2400</v>
      </c>
      <c r="L186">
        <v>0</v>
      </c>
      <c r="M186">
        <v>0</v>
      </c>
      <c r="N186">
        <v>2400</v>
      </c>
    </row>
    <row r="187" spans="1:14" x14ac:dyDescent="0.25">
      <c r="A187">
        <v>17.091978000000001</v>
      </c>
      <c r="B187" s="1">
        <f>DATE(2010,5,18) + TIME(2,12,26)</f>
        <v>40316.091967592591</v>
      </c>
      <c r="C187">
        <v>80</v>
      </c>
      <c r="D187">
        <v>79.915649414000001</v>
      </c>
      <c r="E187">
        <v>50</v>
      </c>
      <c r="F187">
        <v>14.99859333</v>
      </c>
      <c r="G187">
        <v>1360.1644286999999</v>
      </c>
      <c r="H187">
        <v>1353.5432129000001</v>
      </c>
      <c r="I187">
        <v>1297.8731689000001</v>
      </c>
      <c r="J187">
        <v>1282.0858154</v>
      </c>
      <c r="K187">
        <v>2400</v>
      </c>
      <c r="L187">
        <v>0</v>
      </c>
      <c r="M187">
        <v>0</v>
      </c>
      <c r="N187">
        <v>2400</v>
      </c>
    </row>
    <row r="188" spans="1:14" x14ac:dyDescent="0.25">
      <c r="A188">
        <v>17.368946999999999</v>
      </c>
      <c r="B188" s="1">
        <f>DATE(2010,5,18) + TIME(8,51,17)</f>
        <v>40316.368946759256</v>
      </c>
      <c r="C188">
        <v>80</v>
      </c>
      <c r="D188">
        <v>79.915649414000001</v>
      </c>
      <c r="E188">
        <v>50</v>
      </c>
      <c r="F188">
        <v>14.998600959999999</v>
      </c>
      <c r="G188">
        <v>1360.1226807</v>
      </c>
      <c r="H188">
        <v>1353.5048827999999</v>
      </c>
      <c r="I188">
        <v>1297.8746338000001</v>
      </c>
      <c r="J188">
        <v>1282.0872803</v>
      </c>
      <c r="K188">
        <v>2400</v>
      </c>
      <c r="L188">
        <v>0</v>
      </c>
      <c r="M188">
        <v>0</v>
      </c>
      <c r="N188">
        <v>2400</v>
      </c>
    </row>
    <row r="189" spans="1:14" x14ac:dyDescent="0.25">
      <c r="A189">
        <v>17.64846</v>
      </c>
      <c r="B189" s="1">
        <f>DATE(2010,5,18) + TIME(15,33,46)</f>
        <v>40316.648449074077</v>
      </c>
      <c r="C189">
        <v>80</v>
      </c>
      <c r="D189">
        <v>79.915649414000001</v>
      </c>
      <c r="E189">
        <v>50</v>
      </c>
      <c r="F189">
        <v>14.998607635000001</v>
      </c>
      <c r="G189">
        <v>1360.0812988</v>
      </c>
      <c r="H189">
        <v>1353.4669189000001</v>
      </c>
      <c r="I189">
        <v>1297.8762207</v>
      </c>
      <c r="J189">
        <v>1282.0886230000001</v>
      </c>
      <c r="K189">
        <v>2400</v>
      </c>
      <c r="L189">
        <v>0</v>
      </c>
      <c r="M189">
        <v>0</v>
      </c>
      <c r="N189">
        <v>2400</v>
      </c>
    </row>
    <row r="190" spans="1:14" x14ac:dyDescent="0.25">
      <c r="A190">
        <v>17.930987999999999</v>
      </c>
      <c r="B190" s="1">
        <f>DATE(2010,5,18) + TIME(22,20,37)</f>
        <v>40316.930983796294</v>
      </c>
      <c r="C190">
        <v>80</v>
      </c>
      <c r="D190">
        <v>79.915649414000001</v>
      </c>
      <c r="E190">
        <v>50</v>
      </c>
      <c r="F190">
        <v>14.998615265</v>
      </c>
      <c r="G190">
        <v>1360.0401611</v>
      </c>
      <c r="H190">
        <v>1353.4291992000001</v>
      </c>
      <c r="I190">
        <v>1297.8778076000001</v>
      </c>
      <c r="J190">
        <v>1282.0899658000001</v>
      </c>
      <c r="K190">
        <v>2400</v>
      </c>
      <c r="L190">
        <v>0</v>
      </c>
      <c r="M190">
        <v>0</v>
      </c>
      <c r="N190">
        <v>2400</v>
      </c>
    </row>
    <row r="191" spans="1:14" x14ac:dyDescent="0.25">
      <c r="A191">
        <v>18.217019000000001</v>
      </c>
      <c r="B191" s="1">
        <f>DATE(2010,5,19) + TIME(5,12,30)</f>
        <v>40317.217013888891</v>
      </c>
      <c r="C191">
        <v>80</v>
      </c>
      <c r="D191">
        <v>79.915657042999996</v>
      </c>
      <c r="E191">
        <v>50</v>
      </c>
      <c r="F191">
        <v>14.998621941</v>
      </c>
      <c r="G191">
        <v>1359.9992675999999</v>
      </c>
      <c r="H191">
        <v>1353.3917236</v>
      </c>
      <c r="I191">
        <v>1297.8792725000001</v>
      </c>
      <c r="J191">
        <v>1282.0914307</v>
      </c>
      <c r="K191">
        <v>2400</v>
      </c>
      <c r="L191">
        <v>0</v>
      </c>
      <c r="M191">
        <v>0</v>
      </c>
      <c r="N191">
        <v>2400</v>
      </c>
    </row>
    <row r="192" spans="1:14" x14ac:dyDescent="0.25">
      <c r="A192">
        <v>18.507059000000002</v>
      </c>
      <c r="B192" s="1">
        <f>DATE(2010,5,19) + TIME(12,10,9)</f>
        <v>40317.507048611114</v>
      </c>
      <c r="C192">
        <v>80</v>
      </c>
      <c r="D192">
        <v>79.915657042999996</v>
      </c>
      <c r="E192">
        <v>50</v>
      </c>
      <c r="F192">
        <v>14.99862957</v>
      </c>
      <c r="G192">
        <v>1359.958374</v>
      </c>
      <c r="H192">
        <v>1353.3543701000001</v>
      </c>
      <c r="I192">
        <v>1297.8808594</v>
      </c>
      <c r="J192">
        <v>1282.0928954999999</v>
      </c>
      <c r="K192">
        <v>2400</v>
      </c>
      <c r="L192">
        <v>0</v>
      </c>
      <c r="M192">
        <v>0</v>
      </c>
      <c r="N192">
        <v>2400</v>
      </c>
    </row>
    <row r="193" spans="1:14" x14ac:dyDescent="0.25">
      <c r="A193">
        <v>18.801642000000001</v>
      </c>
      <c r="B193" s="1">
        <f>DATE(2010,5,19) + TIME(19,14,21)</f>
        <v>40317.801631944443</v>
      </c>
      <c r="C193">
        <v>80</v>
      </c>
      <c r="D193">
        <v>79.915657042999996</v>
      </c>
      <c r="E193">
        <v>50</v>
      </c>
      <c r="F193">
        <v>14.998636246</v>
      </c>
      <c r="G193">
        <v>1359.9176024999999</v>
      </c>
      <c r="H193">
        <v>1353.3171387</v>
      </c>
      <c r="I193">
        <v>1297.8824463000001</v>
      </c>
      <c r="J193">
        <v>1282.0943603999999</v>
      </c>
      <c r="K193">
        <v>2400</v>
      </c>
      <c r="L193">
        <v>0</v>
      </c>
      <c r="M193">
        <v>0</v>
      </c>
      <c r="N193">
        <v>2400</v>
      </c>
    </row>
    <row r="194" spans="1:14" x14ac:dyDescent="0.25">
      <c r="A194">
        <v>19.101447</v>
      </c>
      <c r="B194" s="1">
        <f>DATE(2010,5,20) + TIME(2,26,5)</f>
        <v>40318.101446759261</v>
      </c>
      <c r="C194">
        <v>80</v>
      </c>
      <c r="D194">
        <v>79.915657042999996</v>
      </c>
      <c r="E194">
        <v>50</v>
      </c>
      <c r="F194">
        <v>14.998643875000001</v>
      </c>
      <c r="G194">
        <v>1359.8767089999999</v>
      </c>
      <c r="H194">
        <v>1353.2799072</v>
      </c>
      <c r="I194">
        <v>1297.8841553</v>
      </c>
      <c r="J194">
        <v>1282.0958252</v>
      </c>
      <c r="K194">
        <v>2400</v>
      </c>
      <c r="L194">
        <v>0</v>
      </c>
      <c r="M194">
        <v>0</v>
      </c>
      <c r="N194">
        <v>2400</v>
      </c>
    </row>
    <row r="195" spans="1:14" x14ac:dyDescent="0.25">
      <c r="A195">
        <v>19.407003</v>
      </c>
      <c r="B195" s="1">
        <f>DATE(2010,5,20) + TIME(9,46,5)</f>
        <v>40318.407002314816</v>
      </c>
      <c r="C195">
        <v>80</v>
      </c>
      <c r="D195">
        <v>79.915657042999996</v>
      </c>
      <c r="E195">
        <v>50</v>
      </c>
      <c r="F195">
        <v>14.998651505</v>
      </c>
      <c r="G195">
        <v>1359.8358154</v>
      </c>
      <c r="H195">
        <v>1353.2426757999999</v>
      </c>
      <c r="I195">
        <v>1297.8857422000001</v>
      </c>
      <c r="J195">
        <v>1282.0974120999999</v>
      </c>
      <c r="K195">
        <v>2400</v>
      </c>
      <c r="L195">
        <v>0</v>
      </c>
      <c r="M195">
        <v>0</v>
      </c>
      <c r="N195">
        <v>2400</v>
      </c>
    </row>
    <row r="196" spans="1:14" x14ac:dyDescent="0.25">
      <c r="A196">
        <v>19.717808999999999</v>
      </c>
      <c r="B196" s="1">
        <f>DATE(2010,5,20) + TIME(17,13,38)</f>
        <v>40318.717800925922</v>
      </c>
      <c r="C196">
        <v>80</v>
      </c>
      <c r="D196">
        <v>79.915657042999996</v>
      </c>
      <c r="E196">
        <v>50</v>
      </c>
      <c r="F196">
        <v>14.99865818</v>
      </c>
      <c r="G196">
        <v>1359.7946777</v>
      </c>
      <c r="H196">
        <v>1353.2053223</v>
      </c>
      <c r="I196">
        <v>1297.8874512</v>
      </c>
      <c r="J196">
        <v>1282.0988769999999</v>
      </c>
      <c r="K196">
        <v>2400</v>
      </c>
      <c r="L196">
        <v>0</v>
      </c>
      <c r="M196">
        <v>0</v>
      </c>
      <c r="N196">
        <v>2400</v>
      </c>
    </row>
    <row r="197" spans="1:14" x14ac:dyDescent="0.25">
      <c r="A197">
        <v>20.032069</v>
      </c>
      <c r="B197" s="1">
        <f>DATE(2010,5,21) + TIME(0,46,10)</f>
        <v>40319.032060185185</v>
      </c>
      <c r="C197">
        <v>80</v>
      </c>
      <c r="D197">
        <v>79.915657042999996</v>
      </c>
      <c r="E197">
        <v>50</v>
      </c>
      <c r="F197">
        <v>14.99866581</v>
      </c>
      <c r="G197">
        <v>1359.7535399999999</v>
      </c>
      <c r="H197">
        <v>1353.1679687999999</v>
      </c>
      <c r="I197">
        <v>1297.8891602000001</v>
      </c>
      <c r="J197">
        <v>1282.1004639</v>
      </c>
      <c r="K197">
        <v>2400</v>
      </c>
      <c r="L197">
        <v>0</v>
      </c>
      <c r="M197">
        <v>0</v>
      </c>
      <c r="N197">
        <v>2400</v>
      </c>
    </row>
    <row r="198" spans="1:14" x14ac:dyDescent="0.25">
      <c r="A198">
        <v>20.350311000000001</v>
      </c>
      <c r="B198" s="1">
        <f>DATE(2010,5,21) + TIME(8,24,26)</f>
        <v>40319.350300925929</v>
      </c>
      <c r="C198">
        <v>80</v>
      </c>
      <c r="D198">
        <v>79.915657042999996</v>
      </c>
      <c r="E198">
        <v>50</v>
      </c>
      <c r="F198">
        <v>14.998672485</v>
      </c>
      <c r="G198">
        <v>1359.7125243999999</v>
      </c>
      <c r="H198">
        <v>1353.1307373</v>
      </c>
      <c r="I198">
        <v>1297.8909911999999</v>
      </c>
      <c r="J198">
        <v>1282.1020507999999</v>
      </c>
      <c r="K198">
        <v>2400</v>
      </c>
      <c r="L198">
        <v>0</v>
      </c>
      <c r="M198">
        <v>0</v>
      </c>
      <c r="N198">
        <v>2400</v>
      </c>
    </row>
    <row r="199" spans="1:14" x14ac:dyDescent="0.25">
      <c r="A199">
        <v>20.673147</v>
      </c>
      <c r="B199" s="1">
        <f>DATE(2010,5,21) + TIME(16,9,19)</f>
        <v>40319.673136574071</v>
      </c>
      <c r="C199">
        <v>80</v>
      </c>
      <c r="D199">
        <v>79.915657042999996</v>
      </c>
      <c r="E199">
        <v>50</v>
      </c>
      <c r="F199">
        <v>14.998680115000001</v>
      </c>
      <c r="G199">
        <v>1359.6715088000001</v>
      </c>
      <c r="H199">
        <v>1353.0936279</v>
      </c>
      <c r="I199">
        <v>1297.8927002</v>
      </c>
      <c r="J199">
        <v>1282.1036377</v>
      </c>
      <c r="K199">
        <v>2400</v>
      </c>
      <c r="L199">
        <v>0</v>
      </c>
      <c r="M199">
        <v>0</v>
      </c>
      <c r="N199">
        <v>2400</v>
      </c>
    </row>
    <row r="200" spans="1:14" x14ac:dyDescent="0.25">
      <c r="A200">
        <v>21.000985</v>
      </c>
      <c r="B200" s="1">
        <f>DATE(2010,5,22) + TIME(0,1,25)</f>
        <v>40320.000983796293</v>
      </c>
      <c r="C200">
        <v>80</v>
      </c>
      <c r="D200">
        <v>79.915657042999996</v>
      </c>
      <c r="E200">
        <v>50</v>
      </c>
      <c r="F200">
        <v>14.998687744</v>
      </c>
      <c r="G200">
        <v>1359.6306152</v>
      </c>
      <c r="H200">
        <v>1353.0566406</v>
      </c>
      <c r="I200">
        <v>1297.8945312000001</v>
      </c>
      <c r="J200">
        <v>1282.1053466999999</v>
      </c>
      <c r="K200">
        <v>2400</v>
      </c>
      <c r="L200">
        <v>0</v>
      </c>
      <c r="M200">
        <v>0</v>
      </c>
      <c r="N200">
        <v>2400</v>
      </c>
    </row>
    <row r="201" spans="1:14" x14ac:dyDescent="0.25">
      <c r="A201">
        <v>21.167238999999999</v>
      </c>
      <c r="B201" s="1">
        <f>DATE(2010,5,22) + TIME(4,0,49)</f>
        <v>40320.167233796295</v>
      </c>
      <c r="C201">
        <v>80</v>
      </c>
      <c r="D201">
        <v>79.915649414000001</v>
      </c>
      <c r="E201">
        <v>50</v>
      </c>
      <c r="F201">
        <v>14.998691558999999</v>
      </c>
      <c r="G201">
        <v>1359.5892334</v>
      </c>
      <c r="H201">
        <v>1353.019043</v>
      </c>
      <c r="I201">
        <v>1297.8962402</v>
      </c>
      <c r="J201">
        <v>1282.1068115</v>
      </c>
      <c r="K201">
        <v>2400</v>
      </c>
      <c r="L201">
        <v>0</v>
      </c>
      <c r="M201">
        <v>0</v>
      </c>
      <c r="N201">
        <v>2400</v>
      </c>
    </row>
    <row r="202" spans="1:14" x14ac:dyDescent="0.25">
      <c r="A202">
        <v>21.333492</v>
      </c>
      <c r="B202" s="1">
        <f>DATE(2010,5,22) + TIME(8,0,13)</f>
        <v>40320.333483796298</v>
      </c>
      <c r="C202">
        <v>80</v>
      </c>
      <c r="D202">
        <v>79.915649414000001</v>
      </c>
      <c r="E202">
        <v>50</v>
      </c>
      <c r="F202">
        <v>14.998695374</v>
      </c>
      <c r="G202">
        <v>1359.5686035000001</v>
      </c>
      <c r="H202">
        <v>1353.0003661999999</v>
      </c>
      <c r="I202">
        <v>1297.8970947</v>
      </c>
      <c r="J202">
        <v>1282.1076660000001</v>
      </c>
      <c r="K202">
        <v>2400</v>
      </c>
      <c r="L202">
        <v>0</v>
      </c>
      <c r="M202">
        <v>0</v>
      </c>
      <c r="N202">
        <v>2400</v>
      </c>
    </row>
    <row r="203" spans="1:14" x14ac:dyDescent="0.25">
      <c r="A203">
        <v>21.665998999999999</v>
      </c>
      <c r="B203" s="1">
        <f>DATE(2010,5,22) + TIME(15,59,2)</f>
        <v>40320.665995370371</v>
      </c>
      <c r="C203">
        <v>80</v>
      </c>
      <c r="D203">
        <v>79.915649414000001</v>
      </c>
      <c r="E203">
        <v>50</v>
      </c>
      <c r="F203">
        <v>14.998702049</v>
      </c>
      <c r="G203">
        <v>1359.5487060999999</v>
      </c>
      <c r="H203">
        <v>1352.9826660000001</v>
      </c>
      <c r="I203">
        <v>1297.8981934000001</v>
      </c>
      <c r="J203">
        <v>1282.1086425999999</v>
      </c>
      <c r="K203">
        <v>2400</v>
      </c>
      <c r="L203">
        <v>0</v>
      </c>
      <c r="M203">
        <v>0</v>
      </c>
      <c r="N203">
        <v>2400</v>
      </c>
    </row>
    <row r="204" spans="1:14" x14ac:dyDescent="0.25">
      <c r="A204">
        <v>21.998602000000002</v>
      </c>
      <c r="B204" s="1">
        <f>DATE(2010,5,22) + TIME(23,57,59)</f>
        <v>40320.998599537037</v>
      </c>
      <c r="C204">
        <v>80</v>
      </c>
      <c r="D204">
        <v>79.915657042999996</v>
      </c>
      <c r="E204">
        <v>50</v>
      </c>
      <c r="F204">
        <v>14.998709678999999</v>
      </c>
      <c r="G204">
        <v>1359.5085449000001</v>
      </c>
      <c r="H204">
        <v>1352.9464111</v>
      </c>
      <c r="I204">
        <v>1297.9000243999999</v>
      </c>
      <c r="J204">
        <v>1282.1103516000001</v>
      </c>
      <c r="K204">
        <v>2400</v>
      </c>
      <c r="L204">
        <v>0</v>
      </c>
      <c r="M204">
        <v>0</v>
      </c>
      <c r="N204">
        <v>2400</v>
      </c>
    </row>
    <row r="205" spans="1:14" x14ac:dyDescent="0.25">
      <c r="A205">
        <v>22.332376</v>
      </c>
      <c r="B205" s="1">
        <f>DATE(2010,5,23) + TIME(7,58,37)</f>
        <v>40321.332372685189</v>
      </c>
      <c r="C205">
        <v>80</v>
      </c>
      <c r="D205">
        <v>79.915657042999996</v>
      </c>
      <c r="E205">
        <v>50</v>
      </c>
      <c r="F205">
        <v>14.998716354000001</v>
      </c>
      <c r="G205">
        <v>1359.46875</v>
      </c>
      <c r="H205">
        <v>1352.9106445</v>
      </c>
      <c r="I205">
        <v>1297.9019774999999</v>
      </c>
      <c r="J205">
        <v>1282.1120605000001</v>
      </c>
      <c r="K205">
        <v>2400</v>
      </c>
      <c r="L205">
        <v>0</v>
      </c>
      <c r="M205">
        <v>0</v>
      </c>
      <c r="N205">
        <v>2400</v>
      </c>
    </row>
    <row r="206" spans="1:14" x14ac:dyDescent="0.25">
      <c r="A206">
        <v>22.667902999999999</v>
      </c>
      <c r="B206" s="1">
        <f>DATE(2010,5,23) + TIME(16,1,46)</f>
        <v>40321.667893518519</v>
      </c>
      <c r="C206">
        <v>80</v>
      </c>
      <c r="D206">
        <v>79.915657042999996</v>
      </c>
      <c r="E206">
        <v>50</v>
      </c>
      <c r="F206">
        <v>14.998723030000001</v>
      </c>
      <c r="G206">
        <v>1359.4294434000001</v>
      </c>
      <c r="H206">
        <v>1352.8752440999999</v>
      </c>
      <c r="I206">
        <v>1297.9038086</v>
      </c>
      <c r="J206">
        <v>1282.1137695</v>
      </c>
      <c r="K206">
        <v>2400</v>
      </c>
      <c r="L206">
        <v>0</v>
      </c>
      <c r="M206">
        <v>0</v>
      </c>
      <c r="N206">
        <v>2400</v>
      </c>
    </row>
    <row r="207" spans="1:14" x14ac:dyDescent="0.25">
      <c r="A207">
        <v>23.005758</v>
      </c>
      <c r="B207" s="1">
        <f>DATE(2010,5,24) + TIME(0,8,17)</f>
        <v>40322.005752314813</v>
      </c>
      <c r="C207">
        <v>80</v>
      </c>
      <c r="D207">
        <v>79.915657042999996</v>
      </c>
      <c r="E207">
        <v>50</v>
      </c>
      <c r="F207">
        <v>14.998729706000001</v>
      </c>
      <c r="G207">
        <v>1359.3905029</v>
      </c>
      <c r="H207">
        <v>1352.8402100000001</v>
      </c>
      <c r="I207">
        <v>1297.9056396000001</v>
      </c>
      <c r="J207">
        <v>1282.1154785000001</v>
      </c>
      <c r="K207">
        <v>2400</v>
      </c>
      <c r="L207">
        <v>0</v>
      </c>
      <c r="M207">
        <v>0</v>
      </c>
      <c r="N207">
        <v>2400</v>
      </c>
    </row>
    <row r="208" spans="1:14" x14ac:dyDescent="0.25">
      <c r="A208">
        <v>23.346520999999999</v>
      </c>
      <c r="B208" s="1">
        <f>DATE(2010,5,24) + TIME(8,18,59)</f>
        <v>40322.346516203703</v>
      </c>
      <c r="C208">
        <v>80</v>
      </c>
      <c r="D208">
        <v>79.915657042999996</v>
      </c>
      <c r="E208">
        <v>50</v>
      </c>
      <c r="F208">
        <v>14.998736382000001</v>
      </c>
      <c r="G208">
        <v>1359.3519286999999</v>
      </c>
      <c r="H208">
        <v>1352.8055420000001</v>
      </c>
      <c r="I208">
        <v>1297.9075928</v>
      </c>
      <c r="J208">
        <v>1282.1171875</v>
      </c>
      <c r="K208">
        <v>2400</v>
      </c>
      <c r="L208">
        <v>0</v>
      </c>
      <c r="M208">
        <v>0</v>
      </c>
      <c r="N208">
        <v>2400</v>
      </c>
    </row>
    <row r="209" spans="1:14" x14ac:dyDescent="0.25">
      <c r="A209">
        <v>23.690788999999999</v>
      </c>
      <c r="B209" s="1">
        <f>DATE(2010,5,24) + TIME(16,34,44)</f>
        <v>40322.690787037034</v>
      </c>
      <c r="C209">
        <v>80</v>
      </c>
      <c r="D209">
        <v>79.915657042999996</v>
      </c>
      <c r="E209">
        <v>50</v>
      </c>
      <c r="F209">
        <v>14.998743057</v>
      </c>
      <c r="G209">
        <v>1359.3133545000001</v>
      </c>
      <c r="H209">
        <v>1352.7709961</v>
      </c>
      <c r="I209">
        <v>1297.9095459</v>
      </c>
      <c r="J209">
        <v>1282.1190185999999</v>
      </c>
      <c r="K209">
        <v>2400</v>
      </c>
      <c r="L209">
        <v>0</v>
      </c>
      <c r="M209">
        <v>0</v>
      </c>
      <c r="N209">
        <v>2400</v>
      </c>
    </row>
    <row r="210" spans="1:14" x14ac:dyDescent="0.25">
      <c r="A210">
        <v>24.039175</v>
      </c>
      <c r="B210" s="1">
        <f>DATE(2010,5,25) + TIME(0,56,24)</f>
        <v>40323.039166666669</v>
      </c>
      <c r="C210">
        <v>80</v>
      </c>
      <c r="D210">
        <v>79.915657042999996</v>
      </c>
      <c r="E210">
        <v>50</v>
      </c>
      <c r="F210">
        <v>14.998750686999999</v>
      </c>
      <c r="G210">
        <v>1359.2751464999999</v>
      </c>
      <c r="H210">
        <v>1352.7366943</v>
      </c>
      <c r="I210">
        <v>1297.911499</v>
      </c>
      <c r="J210">
        <v>1282.1207274999999</v>
      </c>
      <c r="K210">
        <v>2400</v>
      </c>
      <c r="L210">
        <v>0</v>
      </c>
      <c r="M210">
        <v>0</v>
      </c>
      <c r="N210">
        <v>2400</v>
      </c>
    </row>
    <row r="211" spans="1:14" x14ac:dyDescent="0.25">
      <c r="A211">
        <v>24.392320000000002</v>
      </c>
      <c r="B211" s="1">
        <f>DATE(2010,5,25) + TIME(9,24,56)</f>
        <v>40323.392314814817</v>
      </c>
      <c r="C211">
        <v>80</v>
      </c>
      <c r="D211">
        <v>79.915664672999995</v>
      </c>
      <c r="E211">
        <v>50</v>
      </c>
      <c r="F211">
        <v>14.998757361999999</v>
      </c>
      <c r="G211">
        <v>1359.2368164</v>
      </c>
      <c r="H211">
        <v>1352.7025146000001</v>
      </c>
      <c r="I211">
        <v>1297.9134521000001</v>
      </c>
      <c r="J211">
        <v>1282.1225586</v>
      </c>
      <c r="K211">
        <v>2400</v>
      </c>
      <c r="L211">
        <v>0</v>
      </c>
      <c r="M211">
        <v>0</v>
      </c>
      <c r="N211">
        <v>2400</v>
      </c>
    </row>
    <row r="212" spans="1:14" x14ac:dyDescent="0.25">
      <c r="A212">
        <v>24.750895</v>
      </c>
      <c r="B212" s="1">
        <f>DATE(2010,5,25) + TIME(18,1,17)</f>
        <v>40323.750891203701</v>
      </c>
      <c r="C212">
        <v>80</v>
      </c>
      <c r="D212">
        <v>79.915664672999995</v>
      </c>
      <c r="E212">
        <v>50</v>
      </c>
      <c r="F212">
        <v>14.998764037999999</v>
      </c>
      <c r="G212">
        <v>1359.1986084</v>
      </c>
      <c r="H212">
        <v>1352.6683350000001</v>
      </c>
      <c r="I212">
        <v>1297.9154053</v>
      </c>
      <c r="J212">
        <v>1282.1243896000001</v>
      </c>
      <c r="K212">
        <v>2400</v>
      </c>
      <c r="L212">
        <v>0</v>
      </c>
      <c r="M212">
        <v>0</v>
      </c>
      <c r="N212">
        <v>2400</v>
      </c>
    </row>
    <row r="213" spans="1:14" x14ac:dyDescent="0.25">
      <c r="A213">
        <v>25.115705999999999</v>
      </c>
      <c r="B213" s="1">
        <f>DATE(2010,5,26) + TIME(2,46,36)</f>
        <v>40324.115694444445</v>
      </c>
      <c r="C213">
        <v>80</v>
      </c>
      <c r="D213">
        <v>79.915664672999995</v>
      </c>
      <c r="E213">
        <v>50</v>
      </c>
      <c r="F213">
        <v>14.998770714000001</v>
      </c>
      <c r="G213">
        <v>1359.1602783000001</v>
      </c>
      <c r="H213">
        <v>1352.6341553</v>
      </c>
      <c r="I213">
        <v>1297.9174805</v>
      </c>
      <c r="J213">
        <v>1282.1262207</v>
      </c>
      <c r="K213">
        <v>2400</v>
      </c>
      <c r="L213">
        <v>0</v>
      </c>
      <c r="M213">
        <v>0</v>
      </c>
      <c r="N213">
        <v>2400</v>
      </c>
    </row>
    <row r="214" spans="1:14" x14ac:dyDescent="0.25">
      <c r="A214">
        <v>25.487503</v>
      </c>
      <c r="B214" s="1">
        <f>DATE(2010,5,26) + TIME(11,42,0)</f>
        <v>40324.487500000003</v>
      </c>
      <c r="C214">
        <v>80</v>
      </c>
      <c r="D214">
        <v>79.915664672999995</v>
      </c>
      <c r="E214">
        <v>50</v>
      </c>
      <c r="F214">
        <v>14.998777390000001</v>
      </c>
      <c r="G214">
        <v>1359.1219481999999</v>
      </c>
      <c r="H214">
        <v>1352.5998535000001</v>
      </c>
      <c r="I214">
        <v>1297.9195557</v>
      </c>
      <c r="J214">
        <v>1282.1281738</v>
      </c>
      <c r="K214">
        <v>2400</v>
      </c>
      <c r="L214">
        <v>0</v>
      </c>
      <c r="M214">
        <v>0</v>
      </c>
      <c r="N214">
        <v>2400</v>
      </c>
    </row>
    <row r="215" spans="1:14" x14ac:dyDescent="0.25">
      <c r="A215">
        <v>25.864981</v>
      </c>
      <c r="B215" s="1">
        <f>DATE(2010,5,26) + TIME(20,45,34)</f>
        <v>40324.864976851852</v>
      </c>
      <c r="C215">
        <v>80</v>
      </c>
      <c r="D215">
        <v>79.915672302000004</v>
      </c>
      <c r="E215">
        <v>50</v>
      </c>
      <c r="F215">
        <v>14.998784065000001</v>
      </c>
      <c r="G215">
        <v>1359.0832519999999</v>
      </c>
      <c r="H215">
        <v>1352.5654297000001</v>
      </c>
      <c r="I215">
        <v>1297.9217529</v>
      </c>
      <c r="J215">
        <v>1282.1300048999999</v>
      </c>
      <c r="K215">
        <v>2400</v>
      </c>
      <c r="L215">
        <v>0</v>
      </c>
      <c r="M215">
        <v>0</v>
      </c>
      <c r="N215">
        <v>2400</v>
      </c>
    </row>
    <row r="216" spans="1:14" x14ac:dyDescent="0.25">
      <c r="A216">
        <v>26.245667999999998</v>
      </c>
      <c r="B216" s="1">
        <f>DATE(2010,5,27) + TIME(5,53,45)</f>
        <v>40325.245659722219</v>
      </c>
      <c r="C216">
        <v>80</v>
      </c>
      <c r="D216">
        <v>79.915672302000004</v>
      </c>
      <c r="E216">
        <v>50</v>
      </c>
      <c r="F216">
        <v>14.998791695</v>
      </c>
      <c r="G216">
        <v>1359.0445557</v>
      </c>
      <c r="H216">
        <v>1352.5310059000001</v>
      </c>
      <c r="I216">
        <v>1297.9238281</v>
      </c>
      <c r="J216">
        <v>1282.1320800999999</v>
      </c>
      <c r="K216">
        <v>2400</v>
      </c>
      <c r="L216">
        <v>0</v>
      </c>
      <c r="M216">
        <v>0</v>
      </c>
      <c r="N216">
        <v>2400</v>
      </c>
    </row>
    <row r="217" spans="1:14" x14ac:dyDescent="0.25">
      <c r="A217">
        <v>26.630186999999999</v>
      </c>
      <c r="B217" s="1">
        <f>DATE(2010,5,27) + TIME(15,7,28)</f>
        <v>40325.630185185182</v>
      </c>
      <c r="C217">
        <v>80</v>
      </c>
      <c r="D217">
        <v>79.915679932000003</v>
      </c>
      <c r="E217">
        <v>50</v>
      </c>
      <c r="F217">
        <v>14.998798369999999</v>
      </c>
      <c r="G217">
        <v>1359.0061035000001</v>
      </c>
      <c r="H217">
        <v>1352.4968262</v>
      </c>
      <c r="I217">
        <v>1297.9260254000001</v>
      </c>
      <c r="J217">
        <v>1282.1340332</v>
      </c>
      <c r="K217">
        <v>2400</v>
      </c>
      <c r="L217">
        <v>0</v>
      </c>
      <c r="M217">
        <v>0</v>
      </c>
      <c r="N217">
        <v>2400</v>
      </c>
    </row>
    <row r="218" spans="1:14" x14ac:dyDescent="0.25">
      <c r="A218">
        <v>27.019159999999999</v>
      </c>
      <c r="B218" s="1">
        <f>DATE(2010,5,28) + TIME(0,27,35)</f>
        <v>40326.019155092596</v>
      </c>
      <c r="C218">
        <v>80</v>
      </c>
      <c r="D218">
        <v>79.915679932000003</v>
      </c>
      <c r="E218">
        <v>50</v>
      </c>
      <c r="F218">
        <v>14.998805045999999</v>
      </c>
      <c r="G218">
        <v>1358.9677733999999</v>
      </c>
      <c r="H218">
        <v>1352.4627685999999</v>
      </c>
      <c r="I218">
        <v>1297.9283447</v>
      </c>
      <c r="J218">
        <v>1282.1359863</v>
      </c>
      <c r="K218">
        <v>2400</v>
      </c>
      <c r="L218">
        <v>0</v>
      </c>
      <c r="M218">
        <v>0</v>
      </c>
      <c r="N218">
        <v>2400</v>
      </c>
    </row>
    <row r="219" spans="1:14" x14ac:dyDescent="0.25">
      <c r="A219">
        <v>27.409238999999999</v>
      </c>
      <c r="B219" s="1">
        <f>DATE(2010,5,28) + TIME(9,49,18)</f>
        <v>40326.409236111111</v>
      </c>
      <c r="C219">
        <v>80</v>
      </c>
      <c r="D219">
        <v>79.915679932000003</v>
      </c>
      <c r="E219">
        <v>50</v>
      </c>
      <c r="F219">
        <v>14.998811721999999</v>
      </c>
      <c r="G219">
        <v>1358.9295654</v>
      </c>
      <c r="H219">
        <v>1352.4288329999999</v>
      </c>
      <c r="I219">
        <v>1297.9305420000001</v>
      </c>
      <c r="J219">
        <v>1282.1380615</v>
      </c>
      <c r="K219">
        <v>2400</v>
      </c>
      <c r="L219">
        <v>0</v>
      </c>
      <c r="M219">
        <v>0</v>
      </c>
      <c r="N219">
        <v>2400</v>
      </c>
    </row>
    <row r="220" spans="1:14" x14ac:dyDescent="0.25">
      <c r="A220">
        <v>27.799378000000001</v>
      </c>
      <c r="B220" s="1">
        <f>DATE(2010,5,28) + TIME(19,11,6)</f>
        <v>40326.799375000002</v>
      </c>
      <c r="C220">
        <v>80</v>
      </c>
      <c r="D220">
        <v>79.915687560999999</v>
      </c>
      <c r="E220">
        <v>50</v>
      </c>
      <c r="F220">
        <v>14.998818397999999</v>
      </c>
      <c r="G220">
        <v>1358.8917236</v>
      </c>
      <c r="H220">
        <v>1352.3952637</v>
      </c>
      <c r="I220">
        <v>1297.9327393000001</v>
      </c>
      <c r="J220">
        <v>1282.1401367000001</v>
      </c>
      <c r="K220">
        <v>2400</v>
      </c>
      <c r="L220">
        <v>0</v>
      </c>
      <c r="M220">
        <v>0</v>
      </c>
      <c r="N220">
        <v>2400</v>
      </c>
    </row>
    <row r="221" spans="1:14" x14ac:dyDescent="0.25">
      <c r="A221">
        <v>28.190390000000001</v>
      </c>
      <c r="B221" s="1">
        <f>DATE(2010,5,29) + TIME(4,34,9)</f>
        <v>40327.190381944441</v>
      </c>
      <c r="C221">
        <v>80</v>
      </c>
      <c r="D221">
        <v>79.915687560999999</v>
      </c>
      <c r="E221">
        <v>50</v>
      </c>
      <c r="F221">
        <v>14.998825073000001</v>
      </c>
      <c r="G221">
        <v>1358.8543701000001</v>
      </c>
      <c r="H221">
        <v>1352.3621826000001</v>
      </c>
      <c r="I221">
        <v>1297.9350586</v>
      </c>
      <c r="J221">
        <v>1282.1420897999999</v>
      </c>
      <c r="K221">
        <v>2400</v>
      </c>
      <c r="L221">
        <v>0</v>
      </c>
      <c r="M221">
        <v>0</v>
      </c>
      <c r="N221">
        <v>2400</v>
      </c>
    </row>
    <row r="222" spans="1:14" x14ac:dyDescent="0.25">
      <c r="A222">
        <v>28.583000999999999</v>
      </c>
      <c r="B222" s="1">
        <f>DATE(2010,5,29) + TIME(13,59,31)</f>
        <v>40327.582997685182</v>
      </c>
      <c r="C222">
        <v>80</v>
      </c>
      <c r="D222">
        <v>79.915695189999994</v>
      </c>
      <c r="E222">
        <v>50</v>
      </c>
      <c r="F222">
        <v>14.998831749000001</v>
      </c>
      <c r="G222">
        <v>1358.8175048999999</v>
      </c>
      <c r="H222">
        <v>1352.3295897999999</v>
      </c>
      <c r="I222">
        <v>1297.9373779</v>
      </c>
      <c r="J222">
        <v>1282.1441649999999</v>
      </c>
      <c r="K222">
        <v>2400</v>
      </c>
      <c r="L222">
        <v>0</v>
      </c>
      <c r="M222">
        <v>0</v>
      </c>
      <c r="N222">
        <v>2400</v>
      </c>
    </row>
    <row r="223" spans="1:14" x14ac:dyDescent="0.25">
      <c r="A223">
        <v>28.977931000000002</v>
      </c>
      <c r="B223" s="1">
        <f>DATE(2010,5,29) + TIME(23,28,13)</f>
        <v>40327.97792824074</v>
      </c>
      <c r="C223">
        <v>80</v>
      </c>
      <c r="D223">
        <v>79.915702820000007</v>
      </c>
      <c r="E223">
        <v>50</v>
      </c>
      <c r="F223">
        <v>14.998838425000001</v>
      </c>
      <c r="G223">
        <v>1358.7808838000001</v>
      </c>
      <c r="H223">
        <v>1352.2972411999999</v>
      </c>
      <c r="I223">
        <v>1297.9395752</v>
      </c>
      <c r="J223">
        <v>1282.1462402</v>
      </c>
      <c r="K223">
        <v>2400</v>
      </c>
      <c r="L223">
        <v>0</v>
      </c>
      <c r="M223">
        <v>0</v>
      </c>
      <c r="N223">
        <v>2400</v>
      </c>
    </row>
    <row r="224" spans="1:14" x14ac:dyDescent="0.25">
      <c r="A224">
        <v>29.375900000000001</v>
      </c>
      <c r="B224" s="1">
        <f>DATE(2010,5,30) + TIME(9,1,17)</f>
        <v>40328.375891203701</v>
      </c>
      <c r="C224">
        <v>80</v>
      </c>
      <c r="D224">
        <v>79.915702820000007</v>
      </c>
      <c r="E224">
        <v>50</v>
      </c>
      <c r="F224">
        <v>14.9988451</v>
      </c>
      <c r="G224">
        <v>1358.7445068</v>
      </c>
      <c r="H224">
        <v>1352.2651367000001</v>
      </c>
      <c r="I224">
        <v>1297.9418945</v>
      </c>
      <c r="J224">
        <v>1282.1483154</v>
      </c>
      <c r="K224">
        <v>2400</v>
      </c>
      <c r="L224">
        <v>0</v>
      </c>
      <c r="M224">
        <v>0</v>
      </c>
      <c r="N224">
        <v>2400</v>
      </c>
    </row>
    <row r="225" spans="1:14" x14ac:dyDescent="0.25">
      <c r="A225">
        <v>29.777625</v>
      </c>
      <c r="B225" s="1">
        <f>DATE(2010,5,30) + TIME(18,39,46)</f>
        <v>40328.777615740742</v>
      </c>
      <c r="C225">
        <v>80</v>
      </c>
      <c r="D225">
        <v>79.915710449000002</v>
      </c>
      <c r="E225">
        <v>50</v>
      </c>
      <c r="F225">
        <v>14.998851776</v>
      </c>
      <c r="G225">
        <v>1358.708374</v>
      </c>
      <c r="H225">
        <v>1352.2331543</v>
      </c>
      <c r="I225">
        <v>1297.9443358999999</v>
      </c>
      <c r="J225">
        <v>1282.1505127</v>
      </c>
      <c r="K225">
        <v>2400</v>
      </c>
      <c r="L225">
        <v>0</v>
      </c>
      <c r="M225">
        <v>0</v>
      </c>
      <c r="N225">
        <v>2400</v>
      </c>
    </row>
    <row r="226" spans="1:14" x14ac:dyDescent="0.25">
      <c r="A226">
        <v>30.183841999999999</v>
      </c>
      <c r="B226" s="1">
        <f>DATE(2010,5,31) + TIME(4,24,43)</f>
        <v>40329.183831018519</v>
      </c>
      <c r="C226">
        <v>80</v>
      </c>
      <c r="D226">
        <v>79.915718079000001</v>
      </c>
      <c r="E226">
        <v>50</v>
      </c>
      <c r="F226">
        <v>14.998858452</v>
      </c>
      <c r="G226">
        <v>1358.6723632999999</v>
      </c>
      <c r="H226">
        <v>1352.2014160000001</v>
      </c>
      <c r="I226">
        <v>1297.9466553</v>
      </c>
      <c r="J226">
        <v>1282.1525879000001</v>
      </c>
      <c r="K226">
        <v>2400</v>
      </c>
      <c r="L226">
        <v>0</v>
      </c>
      <c r="M226">
        <v>0</v>
      </c>
      <c r="N226">
        <v>2400</v>
      </c>
    </row>
    <row r="227" spans="1:14" x14ac:dyDescent="0.25">
      <c r="A227">
        <v>30.595324000000002</v>
      </c>
      <c r="B227" s="1">
        <f>DATE(2010,5,31) + TIME(14,17,16)</f>
        <v>40329.595324074071</v>
      </c>
      <c r="C227">
        <v>80</v>
      </c>
      <c r="D227">
        <v>79.915718079000001</v>
      </c>
      <c r="E227">
        <v>50</v>
      </c>
      <c r="F227">
        <v>14.998864173999999</v>
      </c>
      <c r="G227">
        <v>1358.6364745999999</v>
      </c>
      <c r="H227">
        <v>1352.1696777</v>
      </c>
      <c r="I227">
        <v>1297.9490966999999</v>
      </c>
      <c r="J227">
        <v>1282.1547852000001</v>
      </c>
      <c r="K227">
        <v>2400</v>
      </c>
      <c r="L227">
        <v>0</v>
      </c>
      <c r="M227">
        <v>0</v>
      </c>
      <c r="N227">
        <v>2400</v>
      </c>
    </row>
    <row r="228" spans="1:14" x14ac:dyDescent="0.25">
      <c r="A228">
        <v>31</v>
      </c>
      <c r="B228" s="1">
        <f>DATE(2010,6,1) + TIME(0,0,0)</f>
        <v>40330</v>
      </c>
      <c r="C228">
        <v>80</v>
      </c>
      <c r="D228">
        <v>79.915725707999997</v>
      </c>
      <c r="E228">
        <v>50</v>
      </c>
      <c r="F228">
        <v>14.998870849999999</v>
      </c>
      <c r="G228">
        <v>1358.6004639</v>
      </c>
      <c r="H228">
        <v>1352.1380615</v>
      </c>
      <c r="I228">
        <v>1297.9514160000001</v>
      </c>
      <c r="J228">
        <v>1282.1569824000001</v>
      </c>
      <c r="K228">
        <v>2400</v>
      </c>
      <c r="L228">
        <v>0</v>
      </c>
      <c r="M228">
        <v>0</v>
      </c>
      <c r="N228">
        <v>2400</v>
      </c>
    </row>
    <row r="229" spans="1:14" x14ac:dyDescent="0.25">
      <c r="A229">
        <v>31.417552000000001</v>
      </c>
      <c r="B229" s="1">
        <f>DATE(2010,6,1) + TIME(10,1,16)</f>
        <v>40330.417546296296</v>
      </c>
      <c r="C229">
        <v>80</v>
      </c>
      <c r="D229">
        <v>79.915733337000006</v>
      </c>
      <c r="E229">
        <v>50</v>
      </c>
      <c r="F229">
        <v>14.998877524999999</v>
      </c>
      <c r="G229">
        <v>1358.5655518000001</v>
      </c>
      <c r="H229">
        <v>1352.1072998</v>
      </c>
      <c r="I229">
        <v>1297.9538574000001</v>
      </c>
      <c r="J229">
        <v>1282.1591797000001</v>
      </c>
      <c r="K229">
        <v>2400</v>
      </c>
      <c r="L229">
        <v>0</v>
      </c>
      <c r="M229">
        <v>0</v>
      </c>
      <c r="N229">
        <v>2400</v>
      </c>
    </row>
    <row r="230" spans="1:14" x14ac:dyDescent="0.25">
      <c r="A230">
        <v>31.849799000000001</v>
      </c>
      <c r="B230" s="1">
        <f>DATE(2010,6,1) + TIME(20,23,42)</f>
        <v>40330.849791666667</v>
      </c>
      <c r="C230">
        <v>80</v>
      </c>
      <c r="D230">
        <v>79.915740967000005</v>
      </c>
      <c r="E230">
        <v>50</v>
      </c>
      <c r="F230">
        <v>14.998884200999999</v>
      </c>
      <c r="G230">
        <v>1358.5299072</v>
      </c>
      <c r="H230">
        <v>1352.0760498</v>
      </c>
      <c r="I230">
        <v>1297.9564209</v>
      </c>
      <c r="J230">
        <v>1282.1613769999999</v>
      </c>
      <c r="K230">
        <v>2400</v>
      </c>
      <c r="L230">
        <v>0</v>
      </c>
      <c r="M230">
        <v>0</v>
      </c>
      <c r="N230">
        <v>2400</v>
      </c>
    </row>
    <row r="231" spans="1:14" x14ac:dyDescent="0.25">
      <c r="A231">
        <v>32.288271000000002</v>
      </c>
      <c r="B231" s="1">
        <f>DATE(2010,6,2) + TIME(6,55,6)</f>
        <v>40331.288263888891</v>
      </c>
      <c r="C231">
        <v>80</v>
      </c>
      <c r="D231">
        <v>79.915748596</v>
      </c>
      <c r="E231">
        <v>50</v>
      </c>
      <c r="F231">
        <v>14.998890876999999</v>
      </c>
      <c r="G231">
        <v>1358.4935303</v>
      </c>
      <c r="H231">
        <v>1352.0441894999999</v>
      </c>
      <c r="I231">
        <v>1297.9589844</v>
      </c>
      <c r="J231">
        <v>1282.1636963000001</v>
      </c>
      <c r="K231">
        <v>2400</v>
      </c>
      <c r="L231">
        <v>0</v>
      </c>
      <c r="M231">
        <v>0</v>
      </c>
      <c r="N231">
        <v>2400</v>
      </c>
    </row>
    <row r="232" spans="1:14" x14ac:dyDescent="0.25">
      <c r="A232">
        <v>32.729314000000002</v>
      </c>
      <c r="B232" s="1">
        <f>DATE(2010,6,2) + TIME(17,30,12)</f>
        <v>40331.729305555556</v>
      </c>
      <c r="C232">
        <v>80</v>
      </c>
      <c r="D232">
        <v>79.915756225999999</v>
      </c>
      <c r="E232">
        <v>50</v>
      </c>
      <c r="F232">
        <v>14.998896599</v>
      </c>
      <c r="G232">
        <v>1358.4571533000001</v>
      </c>
      <c r="H232">
        <v>1352.012207</v>
      </c>
      <c r="I232">
        <v>1297.9615478999999</v>
      </c>
      <c r="J232">
        <v>1282.1661377</v>
      </c>
      <c r="K232">
        <v>2400</v>
      </c>
      <c r="L232">
        <v>0</v>
      </c>
      <c r="M232">
        <v>0</v>
      </c>
      <c r="N232">
        <v>2400</v>
      </c>
    </row>
    <row r="233" spans="1:14" x14ac:dyDescent="0.25">
      <c r="A233">
        <v>33.173647000000003</v>
      </c>
      <c r="B233" s="1">
        <f>DATE(2010,6,3) + TIME(4,10,3)</f>
        <v>40332.173645833333</v>
      </c>
      <c r="C233">
        <v>80</v>
      </c>
      <c r="D233">
        <v>79.915771484000004</v>
      </c>
      <c r="E233">
        <v>50</v>
      </c>
      <c r="F233">
        <v>14.998903275</v>
      </c>
      <c r="G233">
        <v>1358.4210204999999</v>
      </c>
      <c r="H233">
        <v>1351.9804687999999</v>
      </c>
      <c r="I233">
        <v>1297.9642334</v>
      </c>
      <c r="J233">
        <v>1282.168457</v>
      </c>
      <c r="K233">
        <v>2400</v>
      </c>
      <c r="L233">
        <v>0</v>
      </c>
      <c r="M233">
        <v>0</v>
      </c>
      <c r="N233">
        <v>2400</v>
      </c>
    </row>
    <row r="234" spans="1:14" x14ac:dyDescent="0.25">
      <c r="A234">
        <v>33.621983</v>
      </c>
      <c r="B234" s="1">
        <f>DATE(2010,6,3) + TIME(14,55,39)</f>
        <v>40332.621979166666</v>
      </c>
      <c r="C234">
        <v>80</v>
      </c>
      <c r="D234">
        <v>79.915779114000003</v>
      </c>
      <c r="E234">
        <v>50</v>
      </c>
      <c r="F234">
        <v>14.99890995</v>
      </c>
      <c r="G234">
        <v>1358.3850098</v>
      </c>
      <c r="H234">
        <v>1351.9489745999999</v>
      </c>
      <c r="I234">
        <v>1297.9669189000001</v>
      </c>
      <c r="J234">
        <v>1282.1708983999999</v>
      </c>
      <c r="K234">
        <v>2400</v>
      </c>
      <c r="L234">
        <v>0</v>
      </c>
      <c r="M234">
        <v>0</v>
      </c>
      <c r="N234">
        <v>2400</v>
      </c>
    </row>
    <row r="235" spans="1:14" x14ac:dyDescent="0.25">
      <c r="A235">
        <v>34.072437000000001</v>
      </c>
      <c r="B235" s="1">
        <f>DATE(2010,6,4) + TIME(1,44,18)</f>
        <v>40333.072430555556</v>
      </c>
      <c r="C235">
        <v>80</v>
      </c>
      <c r="D235">
        <v>79.915786742999998</v>
      </c>
      <c r="E235">
        <v>50</v>
      </c>
      <c r="F235">
        <v>14.998916626</v>
      </c>
      <c r="G235">
        <v>1358.3491211</v>
      </c>
      <c r="H235">
        <v>1351.9174805</v>
      </c>
      <c r="I235">
        <v>1297.9696045000001</v>
      </c>
      <c r="J235">
        <v>1282.1733397999999</v>
      </c>
      <c r="K235">
        <v>2400</v>
      </c>
      <c r="L235">
        <v>0</v>
      </c>
      <c r="M235">
        <v>0</v>
      </c>
      <c r="N235">
        <v>2400</v>
      </c>
    </row>
    <row r="236" spans="1:14" x14ac:dyDescent="0.25">
      <c r="A236">
        <v>34.523086999999997</v>
      </c>
      <c r="B236" s="1">
        <f>DATE(2010,6,4) + TIME(12,33,14)</f>
        <v>40333.523078703707</v>
      </c>
      <c r="C236">
        <v>80</v>
      </c>
      <c r="D236">
        <v>79.915794372999997</v>
      </c>
      <c r="E236">
        <v>50</v>
      </c>
      <c r="F236">
        <v>14.998923302</v>
      </c>
      <c r="G236">
        <v>1358.3134766000001</v>
      </c>
      <c r="H236">
        <v>1351.8863524999999</v>
      </c>
      <c r="I236">
        <v>1297.9724120999999</v>
      </c>
      <c r="J236">
        <v>1282.1757812000001</v>
      </c>
      <c r="K236">
        <v>2400</v>
      </c>
      <c r="L236">
        <v>0</v>
      </c>
      <c r="M236">
        <v>0</v>
      </c>
      <c r="N236">
        <v>2400</v>
      </c>
    </row>
    <row r="237" spans="1:14" x14ac:dyDescent="0.25">
      <c r="A237">
        <v>34.974868999999998</v>
      </c>
      <c r="B237" s="1">
        <f>DATE(2010,6,4) + TIME(23,23,48)</f>
        <v>40333.974861111114</v>
      </c>
      <c r="C237">
        <v>80</v>
      </c>
      <c r="D237">
        <v>79.915809631000002</v>
      </c>
      <c r="E237">
        <v>50</v>
      </c>
      <c r="F237">
        <v>14.998929024000001</v>
      </c>
      <c r="G237">
        <v>1358.2783202999999</v>
      </c>
      <c r="H237">
        <v>1351.8557129000001</v>
      </c>
      <c r="I237">
        <v>1297.9750977000001</v>
      </c>
      <c r="J237">
        <v>1282.1783447</v>
      </c>
      <c r="K237">
        <v>2400</v>
      </c>
      <c r="L237">
        <v>0</v>
      </c>
      <c r="M237">
        <v>0</v>
      </c>
      <c r="N237">
        <v>2400</v>
      </c>
    </row>
    <row r="238" spans="1:14" x14ac:dyDescent="0.25">
      <c r="A238">
        <v>35.428652</v>
      </c>
      <c r="B238" s="1">
        <f>DATE(2010,6,5) + TIME(10,17,15)</f>
        <v>40334.42864583333</v>
      </c>
      <c r="C238">
        <v>80</v>
      </c>
      <c r="D238">
        <v>79.915817261000001</v>
      </c>
      <c r="E238">
        <v>50</v>
      </c>
      <c r="F238">
        <v>14.998935699</v>
      </c>
      <c r="G238">
        <v>1358.2435303</v>
      </c>
      <c r="H238">
        <v>1351.8251952999999</v>
      </c>
      <c r="I238">
        <v>1297.9779053</v>
      </c>
      <c r="J238">
        <v>1282.1807861</v>
      </c>
      <c r="K238">
        <v>2400</v>
      </c>
      <c r="L238">
        <v>0</v>
      </c>
      <c r="M238">
        <v>0</v>
      </c>
      <c r="N238">
        <v>2400</v>
      </c>
    </row>
    <row r="239" spans="1:14" x14ac:dyDescent="0.25">
      <c r="A239">
        <v>35.885311999999999</v>
      </c>
      <c r="B239" s="1">
        <f>DATE(2010,6,5) + TIME(21,14,50)</f>
        <v>40334.885300925926</v>
      </c>
      <c r="C239">
        <v>80</v>
      </c>
      <c r="D239">
        <v>79.915832519999995</v>
      </c>
      <c r="E239">
        <v>50</v>
      </c>
      <c r="F239">
        <v>14.998941422</v>
      </c>
      <c r="G239">
        <v>1358.2089844</v>
      </c>
      <c r="H239">
        <v>1351.7950439000001</v>
      </c>
      <c r="I239">
        <v>1297.9807129000001</v>
      </c>
      <c r="J239">
        <v>1282.1833495999999</v>
      </c>
      <c r="K239">
        <v>2400</v>
      </c>
      <c r="L239">
        <v>0</v>
      </c>
      <c r="M239">
        <v>0</v>
      </c>
      <c r="N239">
        <v>2400</v>
      </c>
    </row>
    <row r="240" spans="1:14" x14ac:dyDescent="0.25">
      <c r="A240">
        <v>36.345717</v>
      </c>
      <c r="B240" s="1">
        <f>DATE(2010,6,6) + TIME(8,17,49)</f>
        <v>40335.345706018517</v>
      </c>
      <c r="C240">
        <v>80</v>
      </c>
      <c r="D240">
        <v>79.915840149000005</v>
      </c>
      <c r="E240">
        <v>50</v>
      </c>
      <c r="F240">
        <v>14.998948097</v>
      </c>
      <c r="G240">
        <v>1358.1746826000001</v>
      </c>
      <c r="H240">
        <v>1351.7651367000001</v>
      </c>
      <c r="I240">
        <v>1297.9835204999999</v>
      </c>
      <c r="J240">
        <v>1282.1857910000001</v>
      </c>
      <c r="K240">
        <v>2400</v>
      </c>
      <c r="L240">
        <v>0</v>
      </c>
      <c r="M240">
        <v>0</v>
      </c>
      <c r="N240">
        <v>2400</v>
      </c>
    </row>
    <row r="241" spans="1:14" x14ac:dyDescent="0.25">
      <c r="A241">
        <v>36.810746999999999</v>
      </c>
      <c r="B241" s="1">
        <f>DATE(2010,6,6) + TIME(19,27,28)</f>
        <v>40335.810740740744</v>
      </c>
      <c r="C241">
        <v>80</v>
      </c>
      <c r="D241">
        <v>79.915855407999999</v>
      </c>
      <c r="E241">
        <v>50</v>
      </c>
      <c r="F241">
        <v>14.998954772999999</v>
      </c>
      <c r="G241">
        <v>1358.1403809000001</v>
      </c>
      <c r="H241">
        <v>1351.7352295000001</v>
      </c>
      <c r="I241">
        <v>1297.9863281</v>
      </c>
      <c r="J241">
        <v>1282.1883545000001</v>
      </c>
      <c r="K241">
        <v>2400</v>
      </c>
      <c r="L241">
        <v>0</v>
      </c>
      <c r="M241">
        <v>0</v>
      </c>
      <c r="N241">
        <v>2400</v>
      </c>
    </row>
    <row r="242" spans="1:14" x14ac:dyDescent="0.25">
      <c r="A242">
        <v>37.281298999999997</v>
      </c>
      <c r="B242" s="1">
        <f>DATE(2010,6,7) + TIME(6,45,4)</f>
        <v>40336.2812962963</v>
      </c>
      <c r="C242">
        <v>80</v>
      </c>
      <c r="D242">
        <v>79.915863036999994</v>
      </c>
      <c r="E242">
        <v>50</v>
      </c>
      <c r="F242">
        <v>14.998960495</v>
      </c>
      <c r="G242">
        <v>1358.1062012</v>
      </c>
      <c r="H242">
        <v>1351.7055664</v>
      </c>
      <c r="I242">
        <v>1297.9892577999999</v>
      </c>
      <c r="J242">
        <v>1282.1910399999999</v>
      </c>
      <c r="K242">
        <v>2400</v>
      </c>
      <c r="L242">
        <v>0</v>
      </c>
      <c r="M242">
        <v>0</v>
      </c>
      <c r="N242">
        <v>2400</v>
      </c>
    </row>
    <row r="243" spans="1:14" x14ac:dyDescent="0.25">
      <c r="A243">
        <v>37.758310000000002</v>
      </c>
      <c r="B243" s="1">
        <f>DATE(2010,6,7) + TIME(18,11,58)</f>
        <v>40336.758310185185</v>
      </c>
      <c r="C243">
        <v>80</v>
      </c>
      <c r="D243">
        <v>79.915878296000002</v>
      </c>
      <c r="E243">
        <v>50</v>
      </c>
      <c r="F243">
        <v>14.998967171</v>
      </c>
      <c r="G243">
        <v>1358.0721435999999</v>
      </c>
      <c r="H243">
        <v>1351.6757812000001</v>
      </c>
      <c r="I243">
        <v>1297.9921875</v>
      </c>
      <c r="J243">
        <v>1282.1936035000001</v>
      </c>
      <c r="K243">
        <v>2400</v>
      </c>
      <c r="L243">
        <v>0</v>
      </c>
      <c r="M243">
        <v>0</v>
      </c>
      <c r="N243">
        <v>2400</v>
      </c>
    </row>
    <row r="244" spans="1:14" x14ac:dyDescent="0.25">
      <c r="A244">
        <v>38.242759999999997</v>
      </c>
      <c r="B244" s="1">
        <f>DATE(2010,6,8) + TIME(5,49,34)</f>
        <v>40337.242754629631</v>
      </c>
      <c r="C244">
        <v>80</v>
      </c>
      <c r="D244">
        <v>79.915893554999997</v>
      </c>
      <c r="E244">
        <v>50</v>
      </c>
      <c r="F244">
        <v>14.998972892999999</v>
      </c>
      <c r="G244">
        <v>1358.0378418</v>
      </c>
      <c r="H244">
        <v>1351.6459961</v>
      </c>
      <c r="I244">
        <v>1297.9952393000001</v>
      </c>
      <c r="J244">
        <v>1282.1962891000001</v>
      </c>
      <c r="K244">
        <v>2400</v>
      </c>
      <c r="L244">
        <v>0</v>
      </c>
      <c r="M244">
        <v>0</v>
      </c>
      <c r="N244">
        <v>2400</v>
      </c>
    </row>
    <row r="245" spans="1:14" x14ac:dyDescent="0.25">
      <c r="A245">
        <v>38.735726999999997</v>
      </c>
      <c r="B245" s="1">
        <f>DATE(2010,6,8) + TIME(17,39,26)</f>
        <v>40337.735717592594</v>
      </c>
      <c r="C245">
        <v>80</v>
      </c>
      <c r="D245">
        <v>79.915908813000001</v>
      </c>
      <c r="E245">
        <v>50</v>
      </c>
      <c r="F245">
        <v>14.998979567999999</v>
      </c>
      <c r="G245">
        <v>1358.0035399999999</v>
      </c>
      <c r="H245">
        <v>1351.6162108999999</v>
      </c>
      <c r="I245">
        <v>1297.9982910000001</v>
      </c>
      <c r="J245">
        <v>1282.1989745999999</v>
      </c>
      <c r="K245">
        <v>2400</v>
      </c>
      <c r="L245">
        <v>0</v>
      </c>
      <c r="M245">
        <v>0</v>
      </c>
      <c r="N245">
        <v>2400</v>
      </c>
    </row>
    <row r="246" spans="1:14" x14ac:dyDescent="0.25">
      <c r="A246">
        <v>39.238483000000002</v>
      </c>
      <c r="B246" s="1">
        <f>DATE(2010,6,9) + TIME(5,43,24)</f>
        <v>40338.23847222222</v>
      </c>
      <c r="C246">
        <v>80</v>
      </c>
      <c r="D246">
        <v>79.915924071999996</v>
      </c>
      <c r="E246">
        <v>50</v>
      </c>
      <c r="F246">
        <v>14.998985291</v>
      </c>
      <c r="G246">
        <v>1357.9689940999999</v>
      </c>
      <c r="H246">
        <v>1351.5861815999999</v>
      </c>
      <c r="I246">
        <v>1298.0013428</v>
      </c>
      <c r="J246">
        <v>1282.2017822</v>
      </c>
      <c r="K246">
        <v>2400</v>
      </c>
      <c r="L246">
        <v>0</v>
      </c>
      <c r="M246">
        <v>0</v>
      </c>
      <c r="N246">
        <v>2400</v>
      </c>
    </row>
    <row r="247" spans="1:14" x14ac:dyDescent="0.25">
      <c r="A247">
        <v>39.742842000000003</v>
      </c>
      <c r="B247" s="1">
        <f>DATE(2010,6,9) + TIME(17,49,41)</f>
        <v>40338.742835648147</v>
      </c>
      <c r="C247">
        <v>80</v>
      </c>
      <c r="D247">
        <v>79.915939331000004</v>
      </c>
      <c r="E247">
        <v>50</v>
      </c>
      <c r="F247">
        <v>14.998991966</v>
      </c>
      <c r="G247">
        <v>1357.9342041</v>
      </c>
      <c r="H247">
        <v>1351.5560303</v>
      </c>
      <c r="I247">
        <v>1298.0045166</v>
      </c>
      <c r="J247">
        <v>1282.2047118999999</v>
      </c>
      <c r="K247">
        <v>2400</v>
      </c>
      <c r="L247">
        <v>0</v>
      </c>
      <c r="M247">
        <v>0</v>
      </c>
      <c r="N247">
        <v>2400</v>
      </c>
    </row>
    <row r="248" spans="1:14" x14ac:dyDescent="0.25">
      <c r="A248">
        <v>40.249594999999999</v>
      </c>
      <c r="B248" s="1">
        <f>DATE(2010,6,10) + TIME(5,59,25)</f>
        <v>40339.249594907407</v>
      </c>
      <c r="C248">
        <v>80</v>
      </c>
      <c r="D248">
        <v>79.915954589999998</v>
      </c>
      <c r="E248">
        <v>50</v>
      </c>
      <c r="F248">
        <v>14.998998642</v>
      </c>
      <c r="G248">
        <v>1357.8997803</v>
      </c>
      <c r="H248">
        <v>1351.526001</v>
      </c>
      <c r="I248">
        <v>1298.0076904</v>
      </c>
      <c r="J248">
        <v>1282.2075195</v>
      </c>
      <c r="K248">
        <v>2400</v>
      </c>
      <c r="L248">
        <v>0</v>
      </c>
      <c r="M248">
        <v>0</v>
      </c>
      <c r="N248">
        <v>2400</v>
      </c>
    </row>
    <row r="249" spans="1:14" x14ac:dyDescent="0.25">
      <c r="A249">
        <v>40.759551999999999</v>
      </c>
      <c r="B249" s="1">
        <f>DATE(2010,6,10) + TIME(18,13,45)</f>
        <v>40339.759548611109</v>
      </c>
      <c r="C249">
        <v>80</v>
      </c>
      <c r="D249">
        <v>79.915969849000007</v>
      </c>
      <c r="E249">
        <v>50</v>
      </c>
      <c r="F249">
        <v>14.999004363999999</v>
      </c>
      <c r="G249">
        <v>1357.8654785000001</v>
      </c>
      <c r="H249">
        <v>1351.4963379000001</v>
      </c>
      <c r="I249">
        <v>1298.0109863</v>
      </c>
      <c r="J249">
        <v>1282.2104492000001</v>
      </c>
      <c r="K249">
        <v>2400</v>
      </c>
      <c r="L249">
        <v>0</v>
      </c>
      <c r="M249">
        <v>0</v>
      </c>
      <c r="N249">
        <v>2400</v>
      </c>
    </row>
    <row r="250" spans="1:14" x14ac:dyDescent="0.25">
      <c r="A250">
        <v>41.270094</v>
      </c>
      <c r="B250" s="1">
        <f>DATE(2010,6,11) + TIME(6,28,56)</f>
        <v>40340.270092592589</v>
      </c>
      <c r="C250">
        <v>80</v>
      </c>
      <c r="D250">
        <v>79.915985106999997</v>
      </c>
      <c r="E250">
        <v>50</v>
      </c>
      <c r="F250">
        <v>14.999011039999999</v>
      </c>
      <c r="G250">
        <v>1357.8314209</v>
      </c>
      <c r="H250">
        <v>1351.4667969</v>
      </c>
      <c r="I250">
        <v>1298.0142822</v>
      </c>
      <c r="J250">
        <v>1282.2133789</v>
      </c>
      <c r="K250">
        <v>2400</v>
      </c>
      <c r="L250">
        <v>0</v>
      </c>
      <c r="M250">
        <v>0</v>
      </c>
      <c r="N250">
        <v>2400</v>
      </c>
    </row>
    <row r="251" spans="1:14" x14ac:dyDescent="0.25">
      <c r="A251">
        <v>41.781174</v>
      </c>
      <c r="B251" s="1">
        <f>DATE(2010,6,11) + TIME(18,44,53)</f>
        <v>40340.781168981484</v>
      </c>
      <c r="C251">
        <v>80</v>
      </c>
      <c r="D251">
        <v>79.916007996000005</v>
      </c>
      <c r="E251">
        <v>50</v>
      </c>
      <c r="F251">
        <v>14.999016762</v>
      </c>
      <c r="G251">
        <v>1357.7977295000001</v>
      </c>
      <c r="H251">
        <v>1351.4376221</v>
      </c>
      <c r="I251">
        <v>1298.0175781</v>
      </c>
      <c r="J251">
        <v>1282.2163086</v>
      </c>
      <c r="K251">
        <v>2400</v>
      </c>
      <c r="L251">
        <v>0</v>
      </c>
      <c r="M251">
        <v>0</v>
      </c>
      <c r="N251">
        <v>2400</v>
      </c>
    </row>
    <row r="252" spans="1:14" x14ac:dyDescent="0.25">
      <c r="A252">
        <v>42.293840000000003</v>
      </c>
      <c r="B252" s="1">
        <f>DATE(2010,6,12) + TIME(7,3,7)</f>
        <v>40341.29383101852</v>
      </c>
      <c r="C252">
        <v>80</v>
      </c>
      <c r="D252">
        <v>79.916023253999995</v>
      </c>
      <c r="E252">
        <v>50</v>
      </c>
      <c r="F252">
        <v>14.999023438</v>
      </c>
      <c r="G252">
        <v>1357.7642822</v>
      </c>
      <c r="H252">
        <v>1351.4086914</v>
      </c>
      <c r="I252">
        <v>1298.020874</v>
      </c>
      <c r="J252">
        <v>1282.2192382999999</v>
      </c>
      <c r="K252">
        <v>2400</v>
      </c>
      <c r="L252">
        <v>0</v>
      </c>
      <c r="M252">
        <v>0</v>
      </c>
      <c r="N252">
        <v>2400</v>
      </c>
    </row>
    <row r="253" spans="1:14" x14ac:dyDescent="0.25">
      <c r="A253">
        <v>42.809083000000001</v>
      </c>
      <c r="B253" s="1">
        <f>DATE(2010,6,12) + TIME(19,25,4)</f>
        <v>40341.809074074074</v>
      </c>
      <c r="C253">
        <v>80</v>
      </c>
      <c r="D253">
        <v>79.916038513000004</v>
      </c>
      <c r="E253">
        <v>50</v>
      </c>
      <c r="F253">
        <v>14.999029159999999</v>
      </c>
      <c r="G253">
        <v>1357.7312012</v>
      </c>
      <c r="H253">
        <v>1351.3801269999999</v>
      </c>
      <c r="I253">
        <v>1298.0241699000001</v>
      </c>
      <c r="J253">
        <v>1282.222168</v>
      </c>
      <c r="K253">
        <v>2400</v>
      </c>
      <c r="L253">
        <v>0</v>
      </c>
      <c r="M253">
        <v>0</v>
      </c>
      <c r="N253">
        <v>2400</v>
      </c>
    </row>
    <row r="254" spans="1:14" x14ac:dyDescent="0.25">
      <c r="A254">
        <v>43.327914999999997</v>
      </c>
      <c r="B254" s="1">
        <f>DATE(2010,6,13) + TIME(7,52,11)</f>
        <v>40342.327905092592</v>
      </c>
      <c r="C254">
        <v>80</v>
      </c>
      <c r="D254">
        <v>79.916061400999993</v>
      </c>
      <c r="E254">
        <v>50</v>
      </c>
      <c r="F254">
        <v>14.999034882</v>
      </c>
      <c r="G254">
        <v>1357.6983643000001</v>
      </c>
      <c r="H254">
        <v>1351.3516846</v>
      </c>
      <c r="I254">
        <v>1298.0275879000001</v>
      </c>
      <c r="J254">
        <v>1282.2252197</v>
      </c>
      <c r="K254">
        <v>2400</v>
      </c>
      <c r="L254">
        <v>0</v>
      </c>
      <c r="M254">
        <v>0</v>
      </c>
      <c r="N254">
        <v>2400</v>
      </c>
    </row>
    <row r="255" spans="1:14" x14ac:dyDescent="0.25">
      <c r="A255">
        <v>43.851370000000003</v>
      </c>
      <c r="B255" s="1">
        <f>DATE(2010,6,13) + TIME(20,25,58)</f>
        <v>40342.851365740738</v>
      </c>
      <c r="C255">
        <v>80</v>
      </c>
      <c r="D255">
        <v>79.916076660000002</v>
      </c>
      <c r="E255">
        <v>50</v>
      </c>
      <c r="F255">
        <v>14.999041557</v>
      </c>
      <c r="G255">
        <v>1357.6656493999999</v>
      </c>
      <c r="H255">
        <v>1351.3233643000001</v>
      </c>
      <c r="I255">
        <v>1298.0308838000001</v>
      </c>
      <c r="J255">
        <v>1282.2282714999999</v>
      </c>
      <c r="K255">
        <v>2400</v>
      </c>
      <c r="L255">
        <v>0</v>
      </c>
      <c r="M255">
        <v>0</v>
      </c>
      <c r="N255">
        <v>2400</v>
      </c>
    </row>
    <row r="256" spans="1:14" x14ac:dyDescent="0.25">
      <c r="A256">
        <v>44.380513999999998</v>
      </c>
      <c r="B256" s="1">
        <f>DATE(2010,6,14) + TIME(9,7,56)</f>
        <v>40343.380509259259</v>
      </c>
      <c r="C256">
        <v>80</v>
      </c>
      <c r="D256">
        <v>79.916099548000005</v>
      </c>
      <c r="E256">
        <v>50</v>
      </c>
      <c r="F256">
        <v>14.999047278999999</v>
      </c>
      <c r="G256">
        <v>1357.6329346</v>
      </c>
      <c r="H256">
        <v>1351.2951660000001</v>
      </c>
      <c r="I256">
        <v>1298.0344238</v>
      </c>
      <c r="J256">
        <v>1282.2313231999999</v>
      </c>
      <c r="K256">
        <v>2400</v>
      </c>
      <c r="L256">
        <v>0</v>
      </c>
      <c r="M256">
        <v>0</v>
      </c>
      <c r="N256">
        <v>2400</v>
      </c>
    </row>
    <row r="257" spans="1:14" x14ac:dyDescent="0.25">
      <c r="A257">
        <v>44.916440000000001</v>
      </c>
      <c r="B257" s="1">
        <f>DATE(2010,6,14) + TIME(21,59,40)</f>
        <v>40343.916435185187</v>
      </c>
      <c r="C257">
        <v>80</v>
      </c>
      <c r="D257">
        <v>79.916122436999999</v>
      </c>
      <c r="E257">
        <v>50</v>
      </c>
      <c r="F257">
        <v>14.999053001</v>
      </c>
      <c r="G257">
        <v>1357.6003418</v>
      </c>
      <c r="H257">
        <v>1351.2669678</v>
      </c>
      <c r="I257">
        <v>1298.0378418</v>
      </c>
      <c r="J257">
        <v>1282.234375</v>
      </c>
      <c r="K257">
        <v>2400</v>
      </c>
      <c r="L257">
        <v>0</v>
      </c>
      <c r="M257">
        <v>0</v>
      </c>
      <c r="N257">
        <v>2400</v>
      </c>
    </row>
    <row r="258" spans="1:14" x14ac:dyDescent="0.25">
      <c r="A258">
        <v>45.460242999999998</v>
      </c>
      <c r="B258" s="1">
        <f>DATE(2010,6,15) + TIME(11,2,45)</f>
        <v>40344.460243055553</v>
      </c>
      <c r="C258">
        <v>80</v>
      </c>
      <c r="D258">
        <v>79.916137695000003</v>
      </c>
      <c r="E258">
        <v>50</v>
      </c>
      <c r="F258">
        <v>14.999059677</v>
      </c>
      <c r="G258">
        <v>1357.5676269999999</v>
      </c>
      <c r="H258">
        <v>1351.2387695</v>
      </c>
      <c r="I258">
        <v>1298.0413818</v>
      </c>
      <c r="J258">
        <v>1282.2375488</v>
      </c>
      <c r="K258">
        <v>2400</v>
      </c>
      <c r="L258">
        <v>0</v>
      </c>
      <c r="M258">
        <v>0</v>
      </c>
      <c r="N258">
        <v>2400</v>
      </c>
    </row>
    <row r="259" spans="1:14" x14ac:dyDescent="0.25">
      <c r="A259">
        <v>46.012787000000003</v>
      </c>
      <c r="B259" s="1">
        <f>DATE(2010,6,16) + TIME(0,18,24)</f>
        <v>40345.012777777774</v>
      </c>
      <c r="C259">
        <v>80</v>
      </c>
      <c r="D259">
        <v>79.916160583000007</v>
      </c>
      <c r="E259">
        <v>50</v>
      </c>
      <c r="F259">
        <v>14.999065398999999</v>
      </c>
      <c r="G259">
        <v>1357.5347899999999</v>
      </c>
      <c r="H259">
        <v>1351.2104492000001</v>
      </c>
      <c r="I259">
        <v>1298.0450439000001</v>
      </c>
      <c r="J259">
        <v>1282.2408447</v>
      </c>
      <c r="K259">
        <v>2400</v>
      </c>
      <c r="L259">
        <v>0</v>
      </c>
      <c r="M259">
        <v>0</v>
      </c>
      <c r="N259">
        <v>2400</v>
      </c>
    </row>
    <row r="260" spans="1:14" x14ac:dyDescent="0.25">
      <c r="A260">
        <v>46.575321000000002</v>
      </c>
      <c r="B260" s="1">
        <f>DATE(2010,6,16) + TIME(13,48,27)</f>
        <v>40345.575312499997</v>
      </c>
      <c r="C260">
        <v>80</v>
      </c>
      <c r="D260">
        <v>79.916183472</v>
      </c>
      <c r="E260">
        <v>50</v>
      </c>
      <c r="F260">
        <v>14.999072075000001</v>
      </c>
      <c r="G260">
        <v>1357.5018310999999</v>
      </c>
      <c r="H260">
        <v>1351.1820068</v>
      </c>
      <c r="I260">
        <v>1298.0488281</v>
      </c>
      <c r="J260">
        <v>1282.2441406</v>
      </c>
      <c r="K260">
        <v>2400</v>
      </c>
      <c r="L260">
        <v>0</v>
      </c>
      <c r="M260">
        <v>0</v>
      </c>
      <c r="N260">
        <v>2400</v>
      </c>
    </row>
    <row r="261" spans="1:14" x14ac:dyDescent="0.25">
      <c r="A261">
        <v>47.145493000000002</v>
      </c>
      <c r="B261" s="1">
        <f>DATE(2010,6,17) + TIME(3,29,30)</f>
        <v>40346.145486111112</v>
      </c>
      <c r="C261">
        <v>80</v>
      </c>
      <c r="D261">
        <v>79.916213988999999</v>
      </c>
      <c r="E261">
        <v>50</v>
      </c>
      <c r="F261">
        <v>14.999077797</v>
      </c>
      <c r="G261">
        <v>1357.4686279</v>
      </c>
      <c r="H261">
        <v>1351.1533202999999</v>
      </c>
      <c r="I261">
        <v>1298.0526123</v>
      </c>
      <c r="J261">
        <v>1282.2474365</v>
      </c>
      <c r="K261">
        <v>2400</v>
      </c>
      <c r="L261">
        <v>0</v>
      </c>
      <c r="M261">
        <v>0</v>
      </c>
      <c r="N261">
        <v>2400</v>
      </c>
    </row>
    <row r="262" spans="1:14" x14ac:dyDescent="0.25">
      <c r="A262">
        <v>47.430639999999997</v>
      </c>
      <c r="B262" s="1">
        <f>DATE(2010,6,17) + TIME(10,20,7)</f>
        <v>40346.430636574078</v>
      </c>
      <c r="C262">
        <v>80</v>
      </c>
      <c r="D262">
        <v>79.916213988999999</v>
      </c>
      <c r="E262">
        <v>50</v>
      </c>
      <c r="F262">
        <v>14.999081611999999</v>
      </c>
      <c r="G262">
        <v>1357.4349365</v>
      </c>
      <c r="H262">
        <v>1351.1242675999999</v>
      </c>
      <c r="I262">
        <v>1298.0562743999999</v>
      </c>
      <c r="J262">
        <v>1282.2507324000001</v>
      </c>
      <c r="K262">
        <v>2400</v>
      </c>
      <c r="L262">
        <v>0</v>
      </c>
      <c r="M262">
        <v>0</v>
      </c>
      <c r="N262">
        <v>2400</v>
      </c>
    </row>
    <row r="263" spans="1:14" x14ac:dyDescent="0.25">
      <c r="A263">
        <v>47.715788000000003</v>
      </c>
      <c r="B263" s="1">
        <f>DATE(2010,6,17) + TIME(17,10,44)</f>
        <v>40346.715787037036</v>
      </c>
      <c r="C263">
        <v>80</v>
      </c>
      <c r="D263">
        <v>79.916221618999998</v>
      </c>
      <c r="E263">
        <v>50</v>
      </c>
      <c r="F263">
        <v>14.999085426000001</v>
      </c>
      <c r="G263">
        <v>1357.4183350000001</v>
      </c>
      <c r="H263">
        <v>1351.1098632999999</v>
      </c>
      <c r="I263">
        <v>1298.0582274999999</v>
      </c>
      <c r="J263">
        <v>1282.2525635</v>
      </c>
      <c r="K263">
        <v>2400</v>
      </c>
      <c r="L263">
        <v>0</v>
      </c>
      <c r="M263">
        <v>0</v>
      </c>
      <c r="N263">
        <v>2400</v>
      </c>
    </row>
    <row r="264" spans="1:14" x14ac:dyDescent="0.25">
      <c r="A264">
        <v>48.000936000000003</v>
      </c>
      <c r="B264" s="1">
        <f>DATE(2010,6,18) + TIME(0,1,20)</f>
        <v>40347.000925925924</v>
      </c>
      <c r="C264">
        <v>80</v>
      </c>
      <c r="D264">
        <v>79.916229247999993</v>
      </c>
      <c r="E264">
        <v>50</v>
      </c>
      <c r="F264">
        <v>14.999089241</v>
      </c>
      <c r="G264">
        <v>1357.4018555</v>
      </c>
      <c r="H264">
        <v>1351.0957031</v>
      </c>
      <c r="I264">
        <v>1298.0601807</v>
      </c>
      <c r="J264">
        <v>1282.2542725000001</v>
      </c>
      <c r="K264">
        <v>2400</v>
      </c>
      <c r="L264">
        <v>0</v>
      </c>
      <c r="M264">
        <v>0</v>
      </c>
      <c r="N264">
        <v>2400</v>
      </c>
    </row>
    <row r="265" spans="1:14" x14ac:dyDescent="0.25">
      <c r="A265">
        <v>48.286082999999998</v>
      </c>
      <c r="B265" s="1">
        <f>DATE(2010,6,18) + TIME(6,51,57)</f>
        <v>40347.286076388889</v>
      </c>
      <c r="C265">
        <v>80</v>
      </c>
      <c r="D265">
        <v>79.916236877000003</v>
      </c>
      <c r="E265">
        <v>50</v>
      </c>
      <c r="F265">
        <v>14.999092102000001</v>
      </c>
      <c r="G265">
        <v>1357.3854980000001</v>
      </c>
      <c r="H265">
        <v>1351.0816649999999</v>
      </c>
      <c r="I265">
        <v>1298.0621338000001</v>
      </c>
      <c r="J265">
        <v>1282.2559814000001</v>
      </c>
      <c r="K265">
        <v>2400</v>
      </c>
      <c r="L265">
        <v>0</v>
      </c>
      <c r="M265">
        <v>0</v>
      </c>
      <c r="N265">
        <v>2400</v>
      </c>
    </row>
    <row r="266" spans="1:14" x14ac:dyDescent="0.25">
      <c r="A266">
        <v>48.571230999999997</v>
      </c>
      <c r="B266" s="1">
        <f>DATE(2010,6,18) + TIME(13,42,34)</f>
        <v>40347.571226851855</v>
      </c>
      <c r="C266">
        <v>80</v>
      </c>
      <c r="D266">
        <v>79.916244507000002</v>
      </c>
      <c r="E266">
        <v>50</v>
      </c>
      <c r="F266">
        <v>14.999095917</v>
      </c>
      <c r="G266">
        <v>1357.3692627</v>
      </c>
      <c r="H266">
        <v>1351.0676269999999</v>
      </c>
      <c r="I266">
        <v>1298.0640868999999</v>
      </c>
      <c r="J266">
        <v>1282.2576904</v>
      </c>
      <c r="K266">
        <v>2400</v>
      </c>
      <c r="L266">
        <v>0</v>
      </c>
      <c r="M266">
        <v>0</v>
      </c>
      <c r="N266">
        <v>2400</v>
      </c>
    </row>
    <row r="267" spans="1:14" x14ac:dyDescent="0.25">
      <c r="A267">
        <v>48.856378999999997</v>
      </c>
      <c r="B267" s="1">
        <f>DATE(2010,6,18) + TIME(20,33,11)</f>
        <v>40347.856377314813</v>
      </c>
      <c r="C267">
        <v>80</v>
      </c>
      <c r="D267">
        <v>79.916259765999996</v>
      </c>
      <c r="E267">
        <v>50</v>
      </c>
      <c r="F267">
        <v>14.999098778</v>
      </c>
      <c r="G267">
        <v>1357.3531493999999</v>
      </c>
      <c r="H267">
        <v>1351.0537108999999</v>
      </c>
      <c r="I267">
        <v>1298.0660399999999</v>
      </c>
      <c r="J267">
        <v>1282.2593993999999</v>
      </c>
      <c r="K267">
        <v>2400</v>
      </c>
      <c r="L267">
        <v>0</v>
      </c>
      <c r="M267">
        <v>0</v>
      </c>
      <c r="N267">
        <v>2400</v>
      </c>
    </row>
    <row r="268" spans="1:14" x14ac:dyDescent="0.25">
      <c r="A268">
        <v>49.141527000000004</v>
      </c>
      <c r="B268" s="1">
        <f>DATE(2010,6,19) + TIME(3,23,47)</f>
        <v>40348.141516203701</v>
      </c>
      <c r="C268">
        <v>80</v>
      </c>
      <c r="D268">
        <v>79.916267395000006</v>
      </c>
      <c r="E268">
        <v>50</v>
      </c>
      <c r="F268">
        <v>14.999101638999999</v>
      </c>
      <c r="G268">
        <v>1357.3370361</v>
      </c>
      <c r="H268">
        <v>1351.0399170000001</v>
      </c>
      <c r="I268">
        <v>1298.0679932</v>
      </c>
      <c r="J268">
        <v>1282.2612305</v>
      </c>
      <c r="K268">
        <v>2400</v>
      </c>
      <c r="L268">
        <v>0</v>
      </c>
      <c r="M268">
        <v>0</v>
      </c>
      <c r="N268">
        <v>2400</v>
      </c>
    </row>
    <row r="269" spans="1:14" x14ac:dyDescent="0.25">
      <c r="A269">
        <v>49.426673999999998</v>
      </c>
      <c r="B269" s="1">
        <f>DATE(2010,6,19) + TIME(10,14,24)</f>
        <v>40348.426666666666</v>
      </c>
      <c r="C269">
        <v>80</v>
      </c>
      <c r="D269">
        <v>79.916282654</v>
      </c>
      <c r="E269">
        <v>50</v>
      </c>
      <c r="F269">
        <v>14.9991045</v>
      </c>
      <c r="G269">
        <v>1357.3210449000001</v>
      </c>
      <c r="H269">
        <v>1351.0261230000001</v>
      </c>
      <c r="I269">
        <v>1298.0699463000001</v>
      </c>
      <c r="J269">
        <v>1282.2629394999999</v>
      </c>
      <c r="K269">
        <v>2400</v>
      </c>
      <c r="L269">
        <v>0</v>
      </c>
      <c r="M269">
        <v>0</v>
      </c>
      <c r="N269">
        <v>2400</v>
      </c>
    </row>
    <row r="270" spans="1:14" x14ac:dyDescent="0.25">
      <c r="A270">
        <v>49.996969999999997</v>
      </c>
      <c r="B270" s="1">
        <f>DATE(2010,6,19) + TIME(23,55,38)</f>
        <v>40348.996967592589</v>
      </c>
      <c r="C270">
        <v>80</v>
      </c>
      <c r="D270">
        <v>79.916320800999998</v>
      </c>
      <c r="E270">
        <v>50</v>
      </c>
      <c r="F270">
        <v>14.999109268</v>
      </c>
      <c r="G270">
        <v>1357.3055420000001</v>
      </c>
      <c r="H270">
        <v>1351.0128173999999</v>
      </c>
      <c r="I270">
        <v>1298.0721435999999</v>
      </c>
      <c r="J270">
        <v>1282.2647704999999</v>
      </c>
      <c r="K270">
        <v>2400</v>
      </c>
      <c r="L270">
        <v>0</v>
      </c>
      <c r="M270">
        <v>0</v>
      </c>
      <c r="N270">
        <v>2400</v>
      </c>
    </row>
    <row r="271" spans="1:14" x14ac:dyDescent="0.25">
      <c r="A271">
        <v>50.567304999999998</v>
      </c>
      <c r="B271" s="1">
        <f>DATE(2010,6,20) + TIME(13,36,55)</f>
        <v>40349.567303240743</v>
      </c>
      <c r="C271">
        <v>80</v>
      </c>
      <c r="D271">
        <v>79.916351317999997</v>
      </c>
      <c r="E271">
        <v>50</v>
      </c>
      <c r="F271">
        <v>14.999114990000001</v>
      </c>
      <c r="G271">
        <v>1357.2741699000001</v>
      </c>
      <c r="H271">
        <v>1350.9858397999999</v>
      </c>
      <c r="I271">
        <v>1298.0760498</v>
      </c>
      <c r="J271">
        <v>1282.2683105000001</v>
      </c>
      <c r="K271">
        <v>2400</v>
      </c>
      <c r="L271">
        <v>0</v>
      </c>
      <c r="M271">
        <v>0</v>
      </c>
      <c r="N271">
        <v>2400</v>
      </c>
    </row>
    <row r="272" spans="1:14" x14ac:dyDescent="0.25">
      <c r="A272">
        <v>51.142270000000003</v>
      </c>
      <c r="B272" s="1">
        <f>DATE(2010,6,21) + TIME(3,24,52)</f>
        <v>40350.142268518517</v>
      </c>
      <c r="C272">
        <v>80</v>
      </c>
      <c r="D272">
        <v>79.916381835999999</v>
      </c>
      <c r="E272">
        <v>50</v>
      </c>
      <c r="F272">
        <v>14.999120712</v>
      </c>
      <c r="G272">
        <v>1357.2429199000001</v>
      </c>
      <c r="H272">
        <v>1350.9589844</v>
      </c>
      <c r="I272">
        <v>1298.0800781</v>
      </c>
      <c r="J272">
        <v>1282.2718506000001</v>
      </c>
      <c r="K272">
        <v>2400</v>
      </c>
      <c r="L272">
        <v>0</v>
      </c>
      <c r="M272">
        <v>0</v>
      </c>
      <c r="N272">
        <v>2400</v>
      </c>
    </row>
    <row r="273" spans="1:14" x14ac:dyDescent="0.25">
      <c r="A273">
        <v>51.722973000000003</v>
      </c>
      <c r="B273" s="1">
        <f>DATE(2010,6,21) + TIME(17,21,4)</f>
        <v>40350.722962962966</v>
      </c>
      <c r="C273">
        <v>80</v>
      </c>
      <c r="D273">
        <v>79.916412354000002</v>
      </c>
      <c r="E273">
        <v>50</v>
      </c>
      <c r="F273">
        <v>14.999125481</v>
      </c>
      <c r="G273">
        <v>1357.2117920000001</v>
      </c>
      <c r="H273">
        <v>1350.932251</v>
      </c>
      <c r="I273">
        <v>1298.0841064000001</v>
      </c>
      <c r="J273">
        <v>1282.2753906</v>
      </c>
      <c r="K273">
        <v>2400</v>
      </c>
      <c r="L273">
        <v>0</v>
      </c>
      <c r="M273">
        <v>0</v>
      </c>
      <c r="N273">
        <v>2400</v>
      </c>
    </row>
    <row r="274" spans="1:14" x14ac:dyDescent="0.25">
      <c r="A274">
        <v>52.310611999999999</v>
      </c>
      <c r="B274" s="1">
        <f>DATE(2010,6,22) + TIME(7,27,16)</f>
        <v>40351.310601851852</v>
      </c>
      <c r="C274">
        <v>80</v>
      </c>
      <c r="D274">
        <v>79.916442871000001</v>
      </c>
      <c r="E274">
        <v>50</v>
      </c>
      <c r="F274">
        <v>14.999131202999999</v>
      </c>
      <c r="G274">
        <v>1357.1806641000001</v>
      </c>
      <c r="H274">
        <v>1350.9055175999999</v>
      </c>
      <c r="I274">
        <v>1298.0881348</v>
      </c>
      <c r="J274">
        <v>1282.2790527</v>
      </c>
      <c r="K274">
        <v>2400</v>
      </c>
      <c r="L274">
        <v>0</v>
      </c>
      <c r="M274">
        <v>0</v>
      </c>
      <c r="N274">
        <v>2400</v>
      </c>
    </row>
    <row r="275" spans="1:14" x14ac:dyDescent="0.25">
      <c r="A275">
        <v>52.906444</v>
      </c>
      <c r="B275" s="1">
        <f>DATE(2010,6,22) + TIME(21,45,16)</f>
        <v>40351.906435185185</v>
      </c>
      <c r="C275">
        <v>80</v>
      </c>
      <c r="D275">
        <v>79.916473389000004</v>
      </c>
      <c r="E275">
        <v>50</v>
      </c>
      <c r="F275">
        <v>14.999136925</v>
      </c>
      <c r="G275">
        <v>1357.1495361</v>
      </c>
      <c r="H275">
        <v>1350.8787841999999</v>
      </c>
      <c r="I275">
        <v>1298.0922852000001</v>
      </c>
      <c r="J275">
        <v>1282.2827147999999</v>
      </c>
      <c r="K275">
        <v>2400</v>
      </c>
      <c r="L275">
        <v>0</v>
      </c>
      <c r="M275">
        <v>0</v>
      </c>
      <c r="N275">
        <v>2400</v>
      </c>
    </row>
    <row r="276" spans="1:14" x14ac:dyDescent="0.25">
      <c r="A276">
        <v>53.511786999999998</v>
      </c>
      <c r="B276" s="1">
        <f>DATE(2010,6,23) + TIME(12,16,58)</f>
        <v>40352.511782407404</v>
      </c>
      <c r="C276">
        <v>80</v>
      </c>
      <c r="D276">
        <v>79.916503906000003</v>
      </c>
      <c r="E276">
        <v>50</v>
      </c>
      <c r="F276">
        <v>14.9991436</v>
      </c>
      <c r="G276">
        <v>1357.1182861</v>
      </c>
      <c r="H276">
        <v>1350.8519286999999</v>
      </c>
      <c r="I276">
        <v>1298.0965576000001</v>
      </c>
      <c r="J276">
        <v>1282.286499</v>
      </c>
      <c r="K276">
        <v>2400</v>
      </c>
      <c r="L276">
        <v>0</v>
      </c>
      <c r="M276">
        <v>0</v>
      </c>
      <c r="N276">
        <v>2400</v>
      </c>
    </row>
    <row r="277" spans="1:14" x14ac:dyDescent="0.25">
      <c r="A277">
        <v>54.128011000000001</v>
      </c>
      <c r="B277" s="1">
        <f>DATE(2010,6,24) + TIME(3,4,20)</f>
        <v>40353.128009259257</v>
      </c>
      <c r="C277">
        <v>80</v>
      </c>
      <c r="D277">
        <v>79.916534424000005</v>
      </c>
      <c r="E277">
        <v>50</v>
      </c>
      <c r="F277">
        <v>14.999149322999999</v>
      </c>
      <c r="G277">
        <v>1357.0867920000001</v>
      </c>
      <c r="H277">
        <v>1350.8249512</v>
      </c>
      <c r="I277">
        <v>1298.1008300999999</v>
      </c>
      <c r="J277">
        <v>1282.2902832</v>
      </c>
      <c r="K277">
        <v>2400</v>
      </c>
      <c r="L277">
        <v>0</v>
      </c>
      <c r="M277">
        <v>0</v>
      </c>
      <c r="N277">
        <v>2400</v>
      </c>
    </row>
    <row r="278" spans="1:14" x14ac:dyDescent="0.25">
      <c r="A278">
        <v>54.756706000000001</v>
      </c>
      <c r="B278" s="1">
        <f>DATE(2010,6,24) + TIME(18,9,39)</f>
        <v>40353.756701388891</v>
      </c>
      <c r="C278">
        <v>80</v>
      </c>
      <c r="D278">
        <v>79.916564941000004</v>
      </c>
      <c r="E278">
        <v>50</v>
      </c>
      <c r="F278">
        <v>14.999155045</v>
      </c>
      <c r="G278">
        <v>1357.0550536999999</v>
      </c>
      <c r="H278">
        <v>1350.7977295000001</v>
      </c>
      <c r="I278">
        <v>1298.1053466999999</v>
      </c>
      <c r="J278">
        <v>1282.2941894999999</v>
      </c>
      <c r="K278">
        <v>2400</v>
      </c>
      <c r="L278">
        <v>0</v>
      </c>
      <c r="M278">
        <v>0</v>
      </c>
      <c r="N278">
        <v>2400</v>
      </c>
    </row>
    <row r="279" spans="1:14" x14ac:dyDescent="0.25">
      <c r="A279">
        <v>55.074004000000002</v>
      </c>
      <c r="B279" s="1">
        <f>DATE(2010,6,25) + TIME(1,46,33)</f>
        <v>40354.073993055557</v>
      </c>
      <c r="C279">
        <v>80</v>
      </c>
      <c r="D279">
        <v>79.916572571000003</v>
      </c>
      <c r="E279">
        <v>50</v>
      </c>
      <c r="F279">
        <v>14.999158859</v>
      </c>
      <c r="G279">
        <v>1357.0228271000001</v>
      </c>
      <c r="H279">
        <v>1350.7700195</v>
      </c>
      <c r="I279">
        <v>1298.1097411999999</v>
      </c>
      <c r="J279">
        <v>1282.2980957</v>
      </c>
      <c r="K279">
        <v>2400</v>
      </c>
      <c r="L279">
        <v>0</v>
      </c>
      <c r="M279">
        <v>0</v>
      </c>
      <c r="N279">
        <v>2400</v>
      </c>
    </row>
    <row r="280" spans="1:14" x14ac:dyDescent="0.25">
      <c r="A280">
        <v>55.391302000000003</v>
      </c>
      <c r="B280" s="1">
        <f>DATE(2010,6,25) + TIME(9,23,28)</f>
        <v>40354.391296296293</v>
      </c>
      <c r="C280">
        <v>80</v>
      </c>
      <c r="D280">
        <v>79.916580199999999</v>
      </c>
      <c r="E280">
        <v>50</v>
      </c>
      <c r="F280">
        <v>14.999162674000001</v>
      </c>
      <c r="G280">
        <v>1357.0065918</v>
      </c>
      <c r="H280">
        <v>1350.7561035000001</v>
      </c>
      <c r="I280">
        <v>1298.1120605000001</v>
      </c>
      <c r="J280">
        <v>1282.3000488</v>
      </c>
      <c r="K280">
        <v>2400</v>
      </c>
      <c r="L280">
        <v>0</v>
      </c>
      <c r="M280">
        <v>0</v>
      </c>
      <c r="N280">
        <v>2400</v>
      </c>
    </row>
    <row r="281" spans="1:14" x14ac:dyDescent="0.25">
      <c r="A281">
        <v>55.708601000000002</v>
      </c>
      <c r="B281" s="1">
        <f>DATE(2010,6,25) + TIME(17,0,23)</f>
        <v>40354.708599537036</v>
      </c>
      <c r="C281">
        <v>80</v>
      </c>
      <c r="D281">
        <v>79.916595459000007</v>
      </c>
      <c r="E281">
        <v>50</v>
      </c>
      <c r="F281">
        <v>14.999165534999999</v>
      </c>
      <c r="G281">
        <v>1356.9907227000001</v>
      </c>
      <c r="H281">
        <v>1350.7424315999999</v>
      </c>
      <c r="I281">
        <v>1298.1143798999999</v>
      </c>
      <c r="J281">
        <v>1282.302124</v>
      </c>
      <c r="K281">
        <v>2400</v>
      </c>
      <c r="L281">
        <v>0</v>
      </c>
      <c r="M281">
        <v>0</v>
      </c>
      <c r="N281">
        <v>2400</v>
      </c>
    </row>
    <row r="282" spans="1:14" x14ac:dyDescent="0.25">
      <c r="A282">
        <v>56.025899000000003</v>
      </c>
      <c r="B282" s="1">
        <f>DATE(2010,6,26) + TIME(0,37,17)</f>
        <v>40355.025891203702</v>
      </c>
      <c r="C282">
        <v>80</v>
      </c>
      <c r="D282">
        <v>79.916610718000001</v>
      </c>
      <c r="E282">
        <v>50</v>
      </c>
      <c r="F282">
        <v>14.999169350000001</v>
      </c>
      <c r="G282">
        <v>1356.9748535000001</v>
      </c>
      <c r="H282">
        <v>1350.7287598</v>
      </c>
      <c r="I282">
        <v>1298.1166992000001</v>
      </c>
      <c r="J282">
        <v>1282.3041992000001</v>
      </c>
      <c r="K282">
        <v>2400</v>
      </c>
      <c r="L282">
        <v>0</v>
      </c>
      <c r="M282">
        <v>0</v>
      </c>
      <c r="N282">
        <v>2400</v>
      </c>
    </row>
    <row r="283" spans="1:14" x14ac:dyDescent="0.25">
      <c r="A283">
        <v>56.343197000000004</v>
      </c>
      <c r="B283" s="1">
        <f>DATE(2010,6,26) + TIME(8,14,12)</f>
        <v>40355.343194444446</v>
      </c>
      <c r="C283">
        <v>80</v>
      </c>
      <c r="D283">
        <v>79.916618346999996</v>
      </c>
      <c r="E283">
        <v>50</v>
      </c>
      <c r="F283">
        <v>14.999172210999999</v>
      </c>
      <c r="G283">
        <v>1356.9591064000001</v>
      </c>
      <c r="H283">
        <v>1350.7152100000001</v>
      </c>
      <c r="I283">
        <v>1298.1190185999999</v>
      </c>
      <c r="J283">
        <v>1282.3062743999999</v>
      </c>
      <c r="K283">
        <v>2400</v>
      </c>
      <c r="L283">
        <v>0</v>
      </c>
      <c r="M283">
        <v>0</v>
      </c>
      <c r="N283">
        <v>2400</v>
      </c>
    </row>
    <row r="284" spans="1:14" x14ac:dyDescent="0.25">
      <c r="A284">
        <v>56.660496000000002</v>
      </c>
      <c r="B284" s="1">
        <f>DATE(2010,6,26) + TIME(15,51,6)</f>
        <v>40355.660486111112</v>
      </c>
      <c r="C284">
        <v>80</v>
      </c>
      <c r="D284">
        <v>79.916633606000005</v>
      </c>
      <c r="E284">
        <v>50</v>
      </c>
      <c r="F284">
        <v>14.999176025000001</v>
      </c>
      <c r="G284">
        <v>1356.9433594</v>
      </c>
      <c r="H284">
        <v>1350.7017822</v>
      </c>
      <c r="I284">
        <v>1298.1213379000001</v>
      </c>
      <c r="J284">
        <v>1282.3083495999999</v>
      </c>
      <c r="K284">
        <v>2400</v>
      </c>
      <c r="L284">
        <v>0</v>
      </c>
      <c r="M284">
        <v>0</v>
      </c>
      <c r="N284">
        <v>2400</v>
      </c>
    </row>
    <row r="285" spans="1:14" x14ac:dyDescent="0.25">
      <c r="A285">
        <v>56.977794000000003</v>
      </c>
      <c r="B285" s="1">
        <f>DATE(2010,6,26) + TIME(23,28,1)</f>
        <v>40355.977789351855</v>
      </c>
      <c r="C285">
        <v>80</v>
      </c>
      <c r="D285">
        <v>79.916656493999994</v>
      </c>
      <c r="E285">
        <v>50</v>
      </c>
      <c r="F285">
        <v>14.999178885999999</v>
      </c>
      <c r="G285">
        <v>1356.9277344</v>
      </c>
      <c r="H285">
        <v>1350.6883545000001</v>
      </c>
      <c r="I285">
        <v>1298.1237793</v>
      </c>
      <c r="J285">
        <v>1282.3104248</v>
      </c>
      <c r="K285">
        <v>2400</v>
      </c>
      <c r="L285">
        <v>0</v>
      </c>
      <c r="M285">
        <v>0</v>
      </c>
      <c r="N285">
        <v>2400</v>
      </c>
    </row>
    <row r="286" spans="1:14" x14ac:dyDescent="0.25">
      <c r="A286">
        <v>57.295093000000001</v>
      </c>
      <c r="B286" s="1">
        <f>DATE(2010,6,27) + TIME(7,4,55)</f>
        <v>40356.295081018521</v>
      </c>
      <c r="C286">
        <v>80</v>
      </c>
      <c r="D286">
        <v>79.916671753000003</v>
      </c>
      <c r="E286">
        <v>50</v>
      </c>
      <c r="F286">
        <v>14.999181747</v>
      </c>
      <c r="G286">
        <v>1356.9122314000001</v>
      </c>
      <c r="H286">
        <v>1350.6750488</v>
      </c>
      <c r="I286">
        <v>1298.1260986</v>
      </c>
      <c r="J286">
        <v>1282.3125</v>
      </c>
      <c r="K286">
        <v>2400</v>
      </c>
      <c r="L286">
        <v>0</v>
      </c>
      <c r="M286">
        <v>0</v>
      </c>
      <c r="N286">
        <v>2400</v>
      </c>
    </row>
    <row r="287" spans="1:14" x14ac:dyDescent="0.25">
      <c r="A287">
        <v>57.612391000000002</v>
      </c>
      <c r="B287" s="1">
        <f>DATE(2010,6,27) + TIME(14,41,50)</f>
        <v>40356.612384259257</v>
      </c>
      <c r="C287">
        <v>80</v>
      </c>
      <c r="D287">
        <v>79.916687011999997</v>
      </c>
      <c r="E287">
        <v>50</v>
      </c>
      <c r="F287">
        <v>14.999184608</v>
      </c>
      <c r="G287">
        <v>1356.8967285000001</v>
      </c>
      <c r="H287">
        <v>1350.6617432</v>
      </c>
      <c r="I287">
        <v>1298.128418</v>
      </c>
      <c r="J287">
        <v>1282.3145752</v>
      </c>
      <c r="K287">
        <v>2400</v>
      </c>
      <c r="L287">
        <v>0</v>
      </c>
      <c r="M287">
        <v>0</v>
      </c>
      <c r="N287">
        <v>2400</v>
      </c>
    </row>
    <row r="288" spans="1:14" x14ac:dyDescent="0.25">
      <c r="A288">
        <v>57.929689000000003</v>
      </c>
      <c r="B288" s="1">
        <f>DATE(2010,6,27) + TIME(22,18,45)</f>
        <v>40356.9296875</v>
      </c>
      <c r="C288">
        <v>80</v>
      </c>
      <c r="D288">
        <v>79.916702271000005</v>
      </c>
      <c r="E288">
        <v>50</v>
      </c>
      <c r="F288">
        <v>14.999187469000001</v>
      </c>
      <c r="G288">
        <v>1356.8813477000001</v>
      </c>
      <c r="H288">
        <v>1350.6485596</v>
      </c>
      <c r="I288">
        <v>1298.1308594</v>
      </c>
      <c r="J288">
        <v>1282.3166504000001</v>
      </c>
      <c r="K288">
        <v>2400</v>
      </c>
      <c r="L288">
        <v>0</v>
      </c>
      <c r="M288">
        <v>0</v>
      </c>
      <c r="N288">
        <v>2400</v>
      </c>
    </row>
    <row r="289" spans="1:14" x14ac:dyDescent="0.25">
      <c r="A289">
        <v>58.246988000000002</v>
      </c>
      <c r="B289" s="1">
        <f>DATE(2010,6,28) + TIME(5,55,39)</f>
        <v>40357.246979166666</v>
      </c>
      <c r="C289">
        <v>80</v>
      </c>
      <c r="D289">
        <v>79.916717528999996</v>
      </c>
      <c r="E289">
        <v>50</v>
      </c>
      <c r="F289">
        <v>14.999190330999999</v>
      </c>
      <c r="G289">
        <v>1356.8660889</v>
      </c>
      <c r="H289">
        <v>1350.635376</v>
      </c>
      <c r="I289">
        <v>1298.1331786999999</v>
      </c>
      <c r="J289">
        <v>1282.3187256000001</v>
      </c>
      <c r="K289">
        <v>2400</v>
      </c>
      <c r="L289">
        <v>0</v>
      </c>
      <c r="M289">
        <v>0</v>
      </c>
      <c r="N289">
        <v>2400</v>
      </c>
    </row>
    <row r="290" spans="1:14" x14ac:dyDescent="0.25">
      <c r="A290">
        <v>58.881583999999997</v>
      </c>
      <c r="B290" s="1">
        <f>DATE(2010,6,28) + TIME(21,9,28)</f>
        <v>40357.881574074076</v>
      </c>
      <c r="C290">
        <v>80</v>
      </c>
      <c r="D290">
        <v>79.916770935000002</v>
      </c>
      <c r="E290">
        <v>50</v>
      </c>
      <c r="F290">
        <v>14.999195099</v>
      </c>
      <c r="G290">
        <v>1356.8511963000001</v>
      </c>
      <c r="H290">
        <v>1350.6226807</v>
      </c>
      <c r="I290">
        <v>1298.1357422000001</v>
      </c>
      <c r="J290">
        <v>1282.3209228999999</v>
      </c>
      <c r="K290">
        <v>2400</v>
      </c>
      <c r="L290">
        <v>0</v>
      </c>
      <c r="M290">
        <v>0</v>
      </c>
      <c r="N290">
        <v>2400</v>
      </c>
    </row>
    <row r="291" spans="1:14" x14ac:dyDescent="0.25">
      <c r="A291">
        <v>59.517473000000003</v>
      </c>
      <c r="B291" s="1">
        <f>DATE(2010,6,29) + TIME(12,25,9)</f>
        <v>40358.517465277779</v>
      </c>
      <c r="C291">
        <v>80</v>
      </c>
      <c r="D291">
        <v>79.916809082</v>
      </c>
      <c r="E291">
        <v>50</v>
      </c>
      <c r="F291">
        <v>14.999199867</v>
      </c>
      <c r="G291">
        <v>1356.8210449000001</v>
      </c>
      <c r="H291">
        <v>1350.5969238</v>
      </c>
      <c r="I291">
        <v>1298.1405029</v>
      </c>
      <c r="J291">
        <v>1282.3250731999999</v>
      </c>
      <c r="K291">
        <v>2400</v>
      </c>
      <c r="L291">
        <v>0</v>
      </c>
      <c r="M291">
        <v>0</v>
      </c>
      <c r="N291">
        <v>2400</v>
      </c>
    </row>
    <row r="292" spans="1:14" x14ac:dyDescent="0.25">
      <c r="A292">
        <v>60.160196999999997</v>
      </c>
      <c r="B292" s="1">
        <f>DATE(2010,6,30) + TIME(3,50,40)</f>
        <v>40359.160185185188</v>
      </c>
      <c r="C292">
        <v>80</v>
      </c>
      <c r="D292">
        <v>79.916854857999994</v>
      </c>
      <c r="E292">
        <v>50</v>
      </c>
      <c r="F292">
        <v>14.999205589000001</v>
      </c>
      <c r="G292">
        <v>1356.7911377</v>
      </c>
      <c r="H292">
        <v>1350.5712891000001</v>
      </c>
      <c r="I292">
        <v>1298.1452637</v>
      </c>
      <c r="J292">
        <v>1282.3293457</v>
      </c>
      <c r="K292">
        <v>2400</v>
      </c>
      <c r="L292">
        <v>0</v>
      </c>
      <c r="M292">
        <v>0</v>
      </c>
      <c r="N292">
        <v>2400</v>
      </c>
    </row>
    <row r="293" spans="1:14" x14ac:dyDescent="0.25">
      <c r="A293">
        <v>60.811050999999999</v>
      </c>
      <c r="B293" s="1">
        <f>DATE(2010,6,30) + TIME(19,27,54)</f>
        <v>40359.811041666668</v>
      </c>
      <c r="C293">
        <v>80</v>
      </c>
      <c r="D293">
        <v>79.916893005000006</v>
      </c>
      <c r="E293">
        <v>50</v>
      </c>
      <c r="F293">
        <v>14.999211311</v>
      </c>
      <c r="G293">
        <v>1356.7611084</v>
      </c>
      <c r="H293">
        <v>1350.5455322</v>
      </c>
      <c r="I293">
        <v>1298.1501464999999</v>
      </c>
      <c r="J293">
        <v>1282.3336182</v>
      </c>
      <c r="K293">
        <v>2400</v>
      </c>
      <c r="L293">
        <v>0</v>
      </c>
      <c r="M293">
        <v>0</v>
      </c>
      <c r="N293">
        <v>2400</v>
      </c>
    </row>
    <row r="294" spans="1:14" x14ac:dyDescent="0.25">
      <c r="A294">
        <v>61</v>
      </c>
      <c r="B294" s="1">
        <f>DATE(2010,7,1) + TIME(0,0,0)</f>
        <v>40360</v>
      </c>
      <c r="C294">
        <v>80</v>
      </c>
      <c r="D294">
        <v>79.916893005000006</v>
      </c>
      <c r="E294">
        <v>50</v>
      </c>
      <c r="F294">
        <v>14.999213219</v>
      </c>
      <c r="G294">
        <v>1356.7307129000001</v>
      </c>
      <c r="H294">
        <v>1350.5195312000001</v>
      </c>
      <c r="I294">
        <v>1298.1549072</v>
      </c>
      <c r="J294">
        <v>1282.3377685999999</v>
      </c>
      <c r="K294">
        <v>2400</v>
      </c>
      <c r="L294">
        <v>0</v>
      </c>
      <c r="M294">
        <v>0</v>
      </c>
      <c r="N294">
        <v>2400</v>
      </c>
    </row>
    <row r="295" spans="1:14" x14ac:dyDescent="0.25">
      <c r="A295">
        <v>61.660426999999999</v>
      </c>
      <c r="B295" s="1">
        <f>DATE(2010,7,1) + TIME(15,51,0)</f>
        <v>40360.660416666666</v>
      </c>
      <c r="C295">
        <v>80</v>
      </c>
      <c r="D295">
        <v>79.916938782000003</v>
      </c>
      <c r="E295">
        <v>50</v>
      </c>
      <c r="F295">
        <v>14.999218941000001</v>
      </c>
      <c r="G295">
        <v>1356.722168</v>
      </c>
      <c r="H295">
        <v>1350.5123291</v>
      </c>
      <c r="I295">
        <v>1298.1566161999999</v>
      </c>
      <c r="J295">
        <v>1282.3392334</v>
      </c>
      <c r="K295">
        <v>2400</v>
      </c>
      <c r="L295">
        <v>0</v>
      </c>
      <c r="M295">
        <v>0</v>
      </c>
      <c r="N295">
        <v>2400</v>
      </c>
    </row>
    <row r="296" spans="1:14" x14ac:dyDescent="0.25">
      <c r="A296">
        <v>62.335563999999998</v>
      </c>
      <c r="B296" s="1">
        <f>DATE(2010,7,2) + TIME(8,3,12)</f>
        <v>40361.335555555554</v>
      </c>
      <c r="C296">
        <v>80</v>
      </c>
      <c r="D296">
        <v>79.916976929</v>
      </c>
      <c r="E296">
        <v>50</v>
      </c>
      <c r="F296">
        <v>14.999224663</v>
      </c>
      <c r="G296">
        <v>1356.6921387</v>
      </c>
      <c r="H296">
        <v>1350.4865723</v>
      </c>
      <c r="I296">
        <v>1298.1617432</v>
      </c>
      <c r="J296">
        <v>1282.34375</v>
      </c>
      <c r="K296">
        <v>2400</v>
      </c>
      <c r="L296">
        <v>0</v>
      </c>
      <c r="M296">
        <v>0</v>
      </c>
      <c r="N296">
        <v>2400</v>
      </c>
    </row>
    <row r="297" spans="1:14" x14ac:dyDescent="0.25">
      <c r="A297">
        <v>63.023862999999999</v>
      </c>
      <c r="B297" s="1">
        <f>DATE(2010,7,3) + TIME(0,34,21)</f>
        <v>40362.023854166669</v>
      </c>
      <c r="C297">
        <v>80</v>
      </c>
      <c r="D297">
        <v>79.917022704999994</v>
      </c>
      <c r="E297">
        <v>50</v>
      </c>
      <c r="F297">
        <v>14.999230385000001</v>
      </c>
      <c r="G297">
        <v>1356.6616211</v>
      </c>
      <c r="H297">
        <v>1350.4604492000001</v>
      </c>
      <c r="I297">
        <v>1298.1669922000001</v>
      </c>
      <c r="J297">
        <v>1282.3482666</v>
      </c>
      <c r="K297">
        <v>2400</v>
      </c>
      <c r="L297">
        <v>0</v>
      </c>
      <c r="M297">
        <v>0</v>
      </c>
      <c r="N297">
        <v>2400</v>
      </c>
    </row>
    <row r="298" spans="1:14" x14ac:dyDescent="0.25">
      <c r="A298">
        <v>63.372777999999997</v>
      </c>
      <c r="B298" s="1">
        <f>DATE(2010,7,3) + TIME(8,56,48)</f>
        <v>40362.372777777775</v>
      </c>
      <c r="C298">
        <v>80</v>
      </c>
      <c r="D298">
        <v>79.917030334000003</v>
      </c>
      <c r="E298">
        <v>50</v>
      </c>
      <c r="F298">
        <v>14.9992342</v>
      </c>
      <c r="G298">
        <v>1356.6304932</v>
      </c>
      <c r="H298">
        <v>1350.4337158000001</v>
      </c>
      <c r="I298">
        <v>1298.1722411999999</v>
      </c>
      <c r="J298">
        <v>1282.3529053</v>
      </c>
      <c r="K298">
        <v>2400</v>
      </c>
      <c r="L298">
        <v>0</v>
      </c>
      <c r="M298">
        <v>0</v>
      </c>
      <c r="N298">
        <v>2400</v>
      </c>
    </row>
    <row r="299" spans="1:14" x14ac:dyDescent="0.25">
      <c r="A299">
        <v>63.721693000000002</v>
      </c>
      <c r="B299" s="1">
        <f>DATE(2010,7,3) + TIME(17,19,14)</f>
        <v>40362.721689814818</v>
      </c>
      <c r="C299">
        <v>80</v>
      </c>
      <c r="D299">
        <v>79.917045592999997</v>
      </c>
      <c r="E299">
        <v>50</v>
      </c>
      <c r="F299">
        <v>14.999237061000001</v>
      </c>
      <c r="G299">
        <v>1356.6148682</v>
      </c>
      <c r="H299">
        <v>1350.4204102000001</v>
      </c>
      <c r="I299">
        <v>1298.1750488</v>
      </c>
      <c r="J299">
        <v>1282.3552245999999</v>
      </c>
      <c r="K299">
        <v>2400</v>
      </c>
      <c r="L299">
        <v>0</v>
      </c>
      <c r="M299">
        <v>0</v>
      </c>
      <c r="N299">
        <v>2400</v>
      </c>
    </row>
    <row r="300" spans="1:14" x14ac:dyDescent="0.25">
      <c r="A300">
        <v>64.070143999999999</v>
      </c>
      <c r="B300" s="1">
        <f>DATE(2010,7,4) + TIME(1,41,0)</f>
        <v>40363.070138888892</v>
      </c>
      <c r="C300">
        <v>80</v>
      </c>
      <c r="D300">
        <v>79.917060852000006</v>
      </c>
      <c r="E300">
        <v>50</v>
      </c>
      <c r="F300">
        <v>14.999240875</v>
      </c>
      <c r="G300">
        <v>1356.5993652</v>
      </c>
      <c r="H300">
        <v>1350.4071045000001</v>
      </c>
      <c r="I300">
        <v>1298.1777344</v>
      </c>
      <c r="J300">
        <v>1282.3576660000001</v>
      </c>
      <c r="K300">
        <v>2400</v>
      </c>
      <c r="L300">
        <v>0</v>
      </c>
      <c r="M300">
        <v>0</v>
      </c>
      <c r="N300">
        <v>2400</v>
      </c>
    </row>
    <row r="301" spans="1:14" x14ac:dyDescent="0.25">
      <c r="A301">
        <v>64.418340000000001</v>
      </c>
      <c r="B301" s="1">
        <f>DATE(2010,7,4) + TIME(10,2,24)</f>
        <v>40363.418333333335</v>
      </c>
      <c r="C301">
        <v>80</v>
      </c>
      <c r="D301">
        <v>79.917076111</v>
      </c>
      <c r="E301">
        <v>50</v>
      </c>
      <c r="F301">
        <v>14.999243736</v>
      </c>
      <c r="G301">
        <v>1356.5841064000001</v>
      </c>
      <c r="H301">
        <v>1350.3939209</v>
      </c>
      <c r="I301">
        <v>1298.1805420000001</v>
      </c>
      <c r="J301">
        <v>1282.3601074000001</v>
      </c>
      <c r="K301">
        <v>2400</v>
      </c>
      <c r="L301">
        <v>0</v>
      </c>
      <c r="M301">
        <v>0</v>
      </c>
      <c r="N301">
        <v>2400</v>
      </c>
    </row>
    <row r="302" spans="1:14" x14ac:dyDescent="0.25">
      <c r="A302">
        <v>64.766489000000007</v>
      </c>
      <c r="B302" s="1">
        <f>DATE(2010,7,4) + TIME(18,23,44)</f>
        <v>40363.766481481478</v>
      </c>
      <c r="C302">
        <v>80</v>
      </c>
      <c r="D302">
        <v>79.917098999000004</v>
      </c>
      <c r="E302">
        <v>50</v>
      </c>
      <c r="F302">
        <v>14.999247551</v>
      </c>
      <c r="G302">
        <v>1356.5688477000001</v>
      </c>
      <c r="H302">
        <v>1350.3808594</v>
      </c>
      <c r="I302">
        <v>1298.1833495999999</v>
      </c>
      <c r="J302">
        <v>1282.3625488</v>
      </c>
      <c r="K302">
        <v>2400</v>
      </c>
      <c r="L302">
        <v>0</v>
      </c>
      <c r="M302">
        <v>0</v>
      </c>
      <c r="N302">
        <v>2400</v>
      </c>
    </row>
    <row r="303" spans="1:14" x14ac:dyDescent="0.25">
      <c r="A303">
        <v>65.114637000000002</v>
      </c>
      <c r="B303" s="1">
        <f>DATE(2010,7,5) + TIME(2,45,4)</f>
        <v>40364.114629629628</v>
      </c>
      <c r="C303">
        <v>80</v>
      </c>
      <c r="D303">
        <v>79.917114257999998</v>
      </c>
      <c r="E303">
        <v>50</v>
      </c>
      <c r="F303">
        <v>14.999250412</v>
      </c>
      <c r="G303">
        <v>1356.5535889</v>
      </c>
      <c r="H303">
        <v>1350.3679199000001</v>
      </c>
      <c r="I303">
        <v>1298.1860352000001</v>
      </c>
      <c r="J303">
        <v>1282.3649902</v>
      </c>
      <c r="K303">
        <v>2400</v>
      </c>
      <c r="L303">
        <v>0</v>
      </c>
      <c r="M303">
        <v>0</v>
      </c>
      <c r="N303">
        <v>2400</v>
      </c>
    </row>
    <row r="304" spans="1:14" x14ac:dyDescent="0.25">
      <c r="A304">
        <v>65.462785999999994</v>
      </c>
      <c r="B304" s="1">
        <f>DATE(2010,7,5) + TIME(11,6,24)</f>
        <v>40364.462777777779</v>
      </c>
      <c r="C304">
        <v>80</v>
      </c>
      <c r="D304">
        <v>79.917137146000002</v>
      </c>
      <c r="E304">
        <v>50</v>
      </c>
      <c r="F304">
        <v>14.999253273000001</v>
      </c>
      <c r="G304">
        <v>1356.5385742000001</v>
      </c>
      <c r="H304">
        <v>1350.3549805</v>
      </c>
      <c r="I304">
        <v>1298.1888428</v>
      </c>
      <c r="J304">
        <v>1282.3673096</v>
      </c>
      <c r="K304">
        <v>2400</v>
      </c>
      <c r="L304">
        <v>0</v>
      </c>
      <c r="M304">
        <v>0</v>
      </c>
      <c r="N304">
        <v>2400</v>
      </c>
    </row>
    <row r="305" spans="1:14" x14ac:dyDescent="0.25">
      <c r="A305">
        <v>65.810934000000003</v>
      </c>
      <c r="B305" s="1">
        <f>DATE(2010,7,5) + TIME(19,27,44)</f>
        <v>40364.810925925929</v>
      </c>
      <c r="C305">
        <v>80</v>
      </c>
      <c r="D305">
        <v>79.917160034000005</v>
      </c>
      <c r="E305">
        <v>50</v>
      </c>
      <c r="F305">
        <v>14.999256133999999</v>
      </c>
      <c r="G305">
        <v>1356.5234375</v>
      </c>
      <c r="H305">
        <v>1350.3420410000001</v>
      </c>
      <c r="I305">
        <v>1298.1916504000001</v>
      </c>
      <c r="J305">
        <v>1282.369751</v>
      </c>
      <c r="K305">
        <v>2400</v>
      </c>
      <c r="L305">
        <v>0</v>
      </c>
      <c r="M305">
        <v>0</v>
      </c>
      <c r="N305">
        <v>2400</v>
      </c>
    </row>
    <row r="306" spans="1:14" x14ac:dyDescent="0.25">
      <c r="A306">
        <v>66.159082999999995</v>
      </c>
      <c r="B306" s="1">
        <f>DATE(2010,7,6) + TIME(3,49,4)</f>
        <v>40365.159074074072</v>
      </c>
      <c r="C306">
        <v>80</v>
      </c>
      <c r="D306">
        <v>79.917175293</v>
      </c>
      <c r="E306">
        <v>50</v>
      </c>
      <c r="F306">
        <v>14.999258995</v>
      </c>
      <c r="G306">
        <v>1356.5085449000001</v>
      </c>
      <c r="H306">
        <v>1350.3292236</v>
      </c>
      <c r="I306">
        <v>1298.1944579999999</v>
      </c>
      <c r="J306">
        <v>1282.3723144999999</v>
      </c>
      <c r="K306">
        <v>2400</v>
      </c>
      <c r="L306">
        <v>0</v>
      </c>
      <c r="M306">
        <v>0</v>
      </c>
      <c r="N306">
        <v>2400</v>
      </c>
    </row>
    <row r="307" spans="1:14" x14ac:dyDescent="0.25">
      <c r="A307">
        <v>66.507232000000002</v>
      </c>
      <c r="B307" s="1">
        <f>DATE(2010,7,6) + TIME(12,10,24)</f>
        <v>40365.507222222222</v>
      </c>
      <c r="C307">
        <v>80</v>
      </c>
      <c r="D307">
        <v>79.917198181000003</v>
      </c>
      <c r="E307">
        <v>50</v>
      </c>
      <c r="F307">
        <v>14.999261856</v>
      </c>
      <c r="G307">
        <v>1356.4936522999999</v>
      </c>
      <c r="H307">
        <v>1350.3165283000001</v>
      </c>
      <c r="I307">
        <v>1298.1972656</v>
      </c>
      <c r="J307">
        <v>1282.3747559000001</v>
      </c>
      <c r="K307">
        <v>2400</v>
      </c>
      <c r="L307">
        <v>0</v>
      </c>
      <c r="M307">
        <v>0</v>
      </c>
      <c r="N307">
        <v>2400</v>
      </c>
    </row>
    <row r="308" spans="1:14" x14ac:dyDescent="0.25">
      <c r="A308">
        <v>67.203529000000003</v>
      </c>
      <c r="B308" s="1">
        <f>DATE(2010,7,7) + TIME(4,53,4)</f>
        <v>40366.203518518516</v>
      </c>
      <c r="C308">
        <v>80</v>
      </c>
      <c r="D308">
        <v>79.917259216000005</v>
      </c>
      <c r="E308">
        <v>50</v>
      </c>
      <c r="F308">
        <v>14.999266624000001</v>
      </c>
      <c r="G308">
        <v>1356.479126</v>
      </c>
      <c r="H308">
        <v>1350.3040771000001</v>
      </c>
      <c r="I308">
        <v>1298.2003173999999</v>
      </c>
      <c r="J308">
        <v>1282.3773193</v>
      </c>
      <c r="K308">
        <v>2400</v>
      </c>
      <c r="L308">
        <v>0</v>
      </c>
      <c r="M308">
        <v>0</v>
      </c>
      <c r="N308">
        <v>2400</v>
      </c>
    </row>
    <row r="309" spans="1:14" x14ac:dyDescent="0.25">
      <c r="A309">
        <v>67.900963000000004</v>
      </c>
      <c r="B309" s="1">
        <f>DATE(2010,7,7) + TIME(21,37,23)</f>
        <v>40366.900960648149</v>
      </c>
      <c r="C309">
        <v>80</v>
      </c>
      <c r="D309">
        <v>79.917304993000002</v>
      </c>
      <c r="E309">
        <v>50</v>
      </c>
      <c r="F309">
        <v>14.999271393000001</v>
      </c>
      <c r="G309">
        <v>1356.449707</v>
      </c>
      <c r="H309">
        <v>1350.2790527</v>
      </c>
      <c r="I309">
        <v>1298.2059326000001</v>
      </c>
      <c r="J309">
        <v>1282.3822021000001</v>
      </c>
      <c r="K309">
        <v>2400</v>
      </c>
      <c r="L309">
        <v>0</v>
      </c>
      <c r="M309">
        <v>0</v>
      </c>
      <c r="N309">
        <v>2400</v>
      </c>
    </row>
    <row r="310" spans="1:14" x14ac:dyDescent="0.25">
      <c r="A310">
        <v>68.605485000000002</v>
      </c>
      <c r="B310" s="1">
        <f>DATE(2010,7,8) + TIME(14,31,53)</f>
        <v>40367.605474537035</v>
      </c>
      <c r="C310">
        <v>80</v>
      </c>
      <c r="D310">
        <v>79.917358398000005</v>
      </c>
      <c r="E310">
        <v>50</v>
      </c>
      <c r="F310">
        <v>14.999277115</v>
      </c>
      <c r="G310">
        <v>1356.4205322</v>
      </c>
      <c r="H310">
        <v>1350.2540283000001</v>
      </c>
      <c r="I310">
        <v>1298.2116699000001</v>
      </c>
      <c r="J310">
        <v>1282.387207</v>
      </c>
      <c r="K310">
        <v>2400</v>
      </c>
      <c r="L310">
        <v>0</v>
      </c>
      <c r="M310">
        <v>0</v>
      </c>
      <c r="N310">
        <v>2400</v>
      </c>
    </row>
    <row r="311" spans="1:14" x14ac:dyDescent="0.25">
      <c r="A311">
        <v>69.318544000000003</v>
      </c>
      <c r="B311" s="1">
        <f>DATE(2010,7,9) + TIME(7,38,42)</f>
        <v>40368.318541666667</v>
      </c>
      <c r="C311">
        <v>80</v>
      </c>
      <c r="D311">
        <v>79.917404175000001</v>
      </c>
      <c r="E311">
        <v>50</v>
      </c>
      <c r="F311">
        <v>14.999281883</v>
      </c>
      <c r="G311">
        <v>1356.3913574000001</v>
      </c>
      <c r="H311">
        <v>1350.229126</v>
      </c>
      <c r="I311">
        <v>1298.2175293</v>
      </c>
      <c r="J311">
        <v>1282.3922118999999</v>
      </c>
      <c r="K311">
        <v>2400</v>
      </c>
      <c r="L311">
        <v>0</v>
      </c>
      <c r="M311">
        <v>0</v>
      </c>
      <c r="N311">
        <v>2400</v>
      </c>
    </row>
    <row r="312" spans="1:14" x14ac:dyDescent="0.25">
      <c r="A312">
        <v>70.041687999999994</v>
      </c>
      <c r="B312" s="1">
        <f>DATE(2010,7,10) + TIME(1,0,1)</f>
        <v>40369.041678240741</v>
      </c>
      <c r="C312">
        <v>80</v>
      </c>
      <c r="D312">
        <v>79.917449950999995</v>
      </c>
      <c r="E312">
        <v>50</v>
      </c>
      <c r="F312">
        <v>14.999287604999999</v>
      </c>
      <c r="G312">
        <v>1356.3620605000001</v>
      </c>
      <c r="H312">
        <v>1350.2039795000001</v>
      </c>
      <c r="I312">
        <v>1298.2235106999999</v>
      </c>
      <c r="J312">
        <v>1282.3974608999999</v>
      </c>
      <c r="K312">
        <v>2400</v>
      </c>
      <c r="L312">
        <v>0</v>
      </c>
      <c r="M312">
        <v>0</v>
      </c>
      <c r="N312">
        <v>2400</v>
      </c>
    </row>
    <row r="313" spans="1:14" x14ac:dyDescent="0.25">
      <c r="A313">
        <v>70.776557999999994</v>
      </c>
      <c r="B313" s="1">
        <f>DATE(2010,7,10) + TIME(18,38,14)</f>
        <v>40369.776550925926</v>
      </c>
      <c r="C313">
        <v>80</v>
      </c>
      <c r="D313">
        <v>79.917495728000006</v>
      </c>
      <c r="E313">
        <v>50</v>
      </c>
      <c r="F313">
        <v>14.999293327</v>
      </c>
      <c r="G313">
        <v>1356.3325195</v>
      </c>
      <c r="H313">
        <v>1350.1788329999999</v>
      </c>
      <c r="I313">
        <v>1298.2294922000001</v>
      </c>
      <c r="J313">
        <v>1282.4027100000001</v>
      </c>
      <c r="K313">
        <v>2400</v>
      </c>
      <c r="L313">
        <v>0</v>
      </c>
      <c r="M313">
        <v>0</v>
      </c>
      <c r="N313">
        <v>2400</v>
      </c>
    </row>
    <row r="314" spans="1:14" x14ac:dyDescent="0.25">
      <c r="A314">
        <v>71.523781</v>
      </c>
      <c r="B314" s="1">
        <f>DATE(2010,7,11) + TIME(12,34,14)</f>
        <v>40370.523773148147</v>
      </c>
      <c r="C314">
        <v>80</v>
      </c>
      <c r="D314">
        <v>79.917541503999999</v>
      </c>
      <c r="E314">
        <v>50</v>
      </c>
      <c r="F314">
        <v>14.999300003</v>
      </c>
      <c r="G314">
        <v>1356.3028564000001</v>
      </c>
      <c r="H314">
        <v>1350.1534423999999</v>
      </c>
      <c r="I314">
        <v>1298.2357178</v>
      </c>
      <c r="J314">
        <v>1282.4080810999999</v>
      </c>
      <c r="K314">
        <v>2400</v>
      </c>
      <c r="L314">
        <v>0</v>
      </c>
      <c r="M314">
        <v>0</v>
      </c>
      <c r="N314">
        <v>2400</v>
      </c>
    </row>
    <row r="315" spans="1:14" x14ac:dyDescent="0.25">
      <c r="A315">
        <v>72.278578999999993</v>
      </c>
      <c r="B315" s="1">
        <f>DATE(2010,7,12) + TIME(6,41,9)</f>
        <v>40371.27857638889</v>
      </c>
      <c r="C315">
        <v>80</v>
      </c>
      <c r="D315">
        <v>79.917594910000005</v>
      </c>
      <c r="E315">
        <v>50</v>
      </c>
      <c r="F315">
        <v>14.999305724999999</v>
      </c>
      <c r="G315">
        <v>1356.2730713000001</v>
      </c>
      <c r="H315">
        <v>1350.1279297000001</v>
      </c>
      <c r="I315">
        <v>1298.2421875</v>
      </c>
      <c r="J315">
        <v>1282.4135742000001</v>
      </c>
      <c r="K315">
        <v>2400</v>
      </c>
      <c r="L315">
        <v>0</v>
      </c>
      <c r="M315">
        <v>0</v>
      </c>
      <c r="N315">
        <v>2400</v>
      </c>
    </row>
    <row r="316" spans="1:14" x14ac:dyDescent="0.25">
      <c r="A316">
        <v>72.656724999999994</v>
      </c>
      <c r="B316" s="1">
        <f>DATE(2010,7,12) + TIME(15,45,41)</f>
        <v>40371.656724537039</v>
      </c>
      <c r="C316">
        <v>80</v>
      </c>
      <c r="D316">
        <v>79.917602539000001</v>
      </c>
      <c r="E316">
        <v>50</v>
      </c>
      <c r="F316">
        <v>14.99930954</v>
      </c>
      <c r="G316">
        <v>1356.2427978999999</v>
      </c>
      <c r="H316">
        <v>1350.1020507999999</v>
      </c>
      <c r="I316">
        <v>1298.2485352000001</v>
      </c>
      <c r="J316">
        <v>1282.4189452999999</v>
      </c>
      <c r="K316">
        <v>2400</v>
      </c>
      <c r="L316">
        <v>0</v>
      </c>
      <c r="M316">
        <v>0</v>
      </c>
      <c r="N316">
        <v>2400</v>
      </c>
    </row>
    <row r="317" spans="1:14" x14ac:dyDescent="0.25">
      <c r="A317">
        <v>73.034870999999995</v>
      </c>
      <c r="B317" s="1">
        <f>DATE(2010,7,13) + TIME(0,50,12)</f>
        <v>40372.034861111111</v>
      </c>
      <c r="C317">
        <v>80</v>
      </c>
      <c r="D317">
        <v>79.917625427000004</v>
      </c>
      <c r="E317">
        <v>50</v>
      </c>
      <c r="F317">
        <v>14.999313354</v>
      </c>
      <c r="G317">
        <v>1356.2277832</v>
      </c>
      <c r="H317">
        <v>1350.0892334</v>
      </c>
      <c r="I317">
        <v>1298.2518310999999</v>
      </c>
      <c r="J317">
        <v>1282.421875</v>
      </c>
      <c r="K317">
        <v>2400</v>
      </c>
      <c r="L317">
        <v>0</v>
      </c>
      <c r="M317">
        <v>0</v>
      </c>
      <c r="N317">
        <v>2400</v>
      </c>
    </row>
    <row r="318" spans="1:14" x14ac:dyDescent="0.25">
      <c r="A318">
        <v>73.413016999999996</v>
      </c>
      <c r="B318" s="1">
        <f>DATE(2010,7,13) + TIME(9,54,44)</f>
        <v>40372.41300925926</v>
      </c>
      <c r="C318">
        <v>80</v>
      </c>
      <c r="D318">
        <v>79.917648314999994</v>
      </c>
      <c r="E318">
        <v>50</v>
      </c>
      <c r="F318">
        <v>14.999317168999999</v>
      </c>
      <c r="G318">
        <v>1356.2130127</v>
      </c>
      <c r="H318">
        <v>1350.0765381000001</v>
      </c>
      <c r="I318">
        <v>1298.2551269999999</v>
      </c>
      <c r="J318">
        <v>1282.4246826000001</v>
      </c>
      <c r="K318">
        <v>2400</v>
      </c>
      <c r="L318">
        <v>0</v>
      </c>
      <c r="M318">
        <v>0</v>
      </c>
      <c r="N318">
        <v>2400</v>
      </c>
    </row>
    <row r="319" spans="1:14" x14ac:dyDescent="0.25">
      <c r="A319">
        <v>73.791162999999997</v>
      </c>
      <c r="B319" s="1">
        <f>DATE(2010,7,13) + TIME(18,59,16)</f>
        <v>40372.79115740741</v>
      </c>
      <c r="C319">
        <v>80</v>
      </c>
      <c r="D319">
        <v>79.917671204000001</v>
      </c>
      <c r="E319">
        <v>50</v>
      </c>
      <c r="F319">
        <v>14.99932003</v>
      </c>
      <c r="G319">
        <v>1356.1982422000001</v>
      </c>
      <c r="H319">
        <v>1350.0638428</v>
      </c>
      <c r="I319">
        <v>1298.2584228999999</v>
      </c>
      <c r="J319">
        <v>1282.4274902</v>
      </c>
      <c r="K319">
        <v>2400</v>
      </c>
      <c r="L319">
        <v>0</v>
      </c>
      <c r="M319">
        <v>0</v>
      </c>
      <c r="N319">
        <v>2400</v>
      </c>
    </row>
    <row r="320" spans="1:14" x14ac:dyDescent="0.25">
      <c r="A320">
        <v>74.169308999999998</v>
      </c>
      <c r="B320" s="1">
        <f>DATE(2010,7,14) + TIME(4,3,48)</f>
        <v>40373.169305555559</v>
      </c>
      <c r="C320">
        <v>80</v>
      </c>
      <c r="D320">
        <v>79.917694092000005</v>
      </c>
      <c r="E320">
        <v>50</v>
      </c>
      <c r="F320">
        <v>14.999322891</v>
      </c>
      <c r="G320">
        <v>1356.1835937999999</v>
      </c>
      <c r="H320">
        <v>1350.0512695</v>
      </c>
      <c r="I320">
        <v>1298.2617187999999</v>
      </c>
      <c r="J320">
        <v>1282.4304199000001</v>
      </c>
      <c r="K320">
        <v>2400</v>
      </c>
      <c r="L320">
        <v>0</v>
      </c>
      <c r="M320">
        <v>0</v>
      </c>
      <c r="N320">
        <v>2400</v>
      </c>
    </row>
    <row r="321" spans="1:14" x14ac:dyDescent="0.25">
      <c r="A321">
        <v>74.547454000000002</v>
      </c>
      <c r="B321" s="1">
        <f>DATE(2010,7,14) + TIME(13,8,20)</f>
        <v>40373.547453703701</v>
      </c>
      <c r="C321">
        <v>80</v>
      </c>
      <c r="D321">
        <v>79.917716979999994</v>
      </c>
      <c r="E321">
        <v>50</v>
      </c>
      <c r="F321">
        <v>14.999326706</v>
      </c>
      <c r="G321">
        <v>1356.1689452999999</v>
      </c>
      <c r="H321">
        <v>1350.0388184000001</v>
      </c>
      <c r="I321">
        <v>1298.2650146000001</v>
      </c>
      <c r="J321">
        <v>1282.4332274999999</v>
      </c>
      <c r="K321">
        <v>2400</v>
      </c>
      <c r="L321">
        <v>0</v>
      </c>
      <c r="M321">
        <v>0</v>
      </c>
      <c r="N321">
        <v>2400</v>
      </c>
    </row>
    <row r="322" spans="1:14" x14ac:dyDescent="0.25">
      <c r="A322">
        <v>74.925600000000003</v>
      </c>
      <c r="B322" s="1">
        <f>DATE(2010,7,14) + TIME(22,12,51)</f>
        <v>40373.92559027778</v>
      </c>
      <c r="C322">
        <v>80</v>
      </c>
      <c r="D322">
        <v>79.917739867999998</v>
      </c>
      <c r="E322">
        <v>50</v>
      </c>
      <c r="F322">
        <v>14.999329567</v>
      </c>
      <c r="G322">
        <v>1356.1544189000001</v>
      </c>
      <c r="H322">
        <v>1350.0263672000001</v>
      </c>
      <c r="I322">
        <v>1298.2684326000001</v>
      </c>
      <c r="J322">
        <v>1282.4361572</v>
      </c>
      <c r="K322">
        <v>2400</v>
      </c>
      <c r="L322">
        <v>0</v>
      </c>
      <c r="M322">
        <v>0</v>
      </c>
      <c r="N322">
        <v>2400</v>
      </c>
    </row>
    <row r="323" spans="1:14" x14ac:dyDescent="0.25">
      <c r="A323">
        <v>75.303746000000004</v>
      </c>
      <c r="B323" s="1">
        <f>DATE(2010,7,15) + TIME(7,17,23)</f>
        <v>40374.303738425922</v>
      </c>
      <c r="C323">
        <v>80</v>
      </c>
      <c r="D323">
        <v>79.917762756000002</v>
      </c>
      <c r="E323">
        <v>50</v>
      </c>
      <c r="F323">
        <v>14.999332428000001</v>
      </c>
      <c r="G323">
        <v>1356.1398925999999</v>
      </c>
      <c r="H323">
        <v>1350.0139160000001</v>
      </c>
      <c r="I323">
        <v>1298.2717285000001</v>
      </c>
      <c r="J323">
        <v>1282.4390868999999</v>
      </c>
      <c r="K323">
        <v>2400</v>
      </c>
      <c r="L323">
        <v>0</v>
      </c>
      <c r="M323">
        <v>0</v>
      </c>
      <c r="N323">
        <v>2400</v>
      </c>
    </row>
    <row r="324" spans="1:14" x14ac:dyDescent="0.25">
      <c r="A324">
        <v>76.060038000000006</v>
      </c>
      <c r="B324" s="1">
        <f>DATE(2010,7,16) + TIME(1,26,27)</f>
        <v>40375.060034722221</v>
      </c>
      <c r="C324">
        <v>80</v>
      </c>
      <c r="D324">
        <v>79.917831421000002</v>
      </c>
      <c r="E324">
        <v>50</v>
      </c>
      <c r="F324">
        <v>14.999337196000001</v>
      </c>
      <c r="G324">
        <v>1356.1258545000001</v>
      </c>
      <c r="H324">
        <v>1350.0018310999999</v>
      </c>
      <c r="I324">
        <v>1298.2752685999999</v>
      </c>
      <c r="J324">
        <v>1282.4420166</v>
      </c>
      <c r="K324">
        <v>2400</v>
      </c>
      <c r="L324">
        <v>0</v>
      </c>
      <c r="M324">
        <v>0</v>
      </c>
      <c r="N324">
        <v>2400</v>
      </c>
    </row>
    <row r="325" spans="1:14" x14ac:dyDescent="0.25">
      <c r="A325">
        <v>76.816907999999998</v>
      </c>
      <c r="B325" s="1">
        <f>DATE(2010,7,16) + TIME(19,36,20)</f>
        <v>40375.81689814815</v>
      </c>
      <c r="C325">
        <v>80</v>
      </c>
      <c r="D325">
        <v>79.917884826999995</v>
      </c>
      <c r="E325">
        <v>50</v>
      </c>
      <c r="F325">
        <v>14.999341964999999</v>
      </c>
      <c r="G325">
        <v>1356.0972899999999</v>
      </c>
      <c r="H325">
        <v>1349.9774170000001</v>
      </c>
      <c r="I325">
        <v>1298.2819824000001</v>
      </c>
      <c r="J325">
        <v>1282.447876</v>
      </c>
      <c r="K325">
        <v>2400</v>
      </c>
      <c r="L325">
        <v>0</v>
      </c>
      <c r="M325">
        <v>0</v>
      </c>
      <c r="N325">
        <v>2400</v>
      </c>
    </row>
    <row r="326" spans="1:14" x14ac:dyDescent="0.25">
      <c r="A326">
        <v>77.581254999999999</v>
      </c>
      <c r="B326" s="1">
        <f>DATE(2010,7,17) + TIME(13,57,0)</f>
        <v>40376.581250000003</v>
      </c>
      <c r="C326">
        <v>80</v>
      </c>
      <c r="D326">
        <v>79.917945861999996</v>
      </c>
      <c r="E326">
        <v>50</v>
      </c>
      <c r="F326">
        <v>14.999347687</v>
      </c>
      <c r="G326">
        <v>1356.0688477000001</v>
      </c>
      <c r="H326">
        <v>1349.953125</v>
      </c>
      <c r="I326">
        <v>1298.2888184000001</v>
      </c>
      <c r="J326">
        <v>1282.4537353999999</v>
      </c>
      <c r="K326">
        <v>2400</v>
      </c>
      <c r="L326">
        <v>0</v>
      </c>
      <c r="M326">
        <v>0</v>
      </c>
      <c r="N326">
        <v>2400</v>
      </c>
    </row>
    <row r="327" spans="1:14" x14ac:dyDescent="0.25">
      <c r="A327">
        <v>78.354678000000007</v>
      </c>
      <c r="B327" s="1">
        <f>DATE(2010,7,18) + TIME(8,30,44)</f>
        <v>40377.354675925926</v>
      </c>
      <c r="C327">
        <v>80</v>
      </c>
      <c r="D327">
        <v>79.917999268000003</v>
      </c>
      <c r="E327">
        <v>50</v>
      </c>
      <c r="F327">
        <v>14.999354362</v>
      </c>
      <c r="G327">
        <v>1356.0404053</v>
      </c>
      <c r="H327">
        <v>1349.9288329999999</v>
      </c>
      <c r="I327">
        <v>1298.2957764</v>
      </c>
      <c r="J327">
        <v>1282.4597168</v>
      </c>
      <c r="K327">
        <v>2400</v>
      </c>
      <c r="L327">
        <v>0</v>
      </c>
      <c r="M327">
        <v>0</v>
      </c>
      <c r="N327">
        <v>2400</v>
      </c>
    </row>
    <row r="328" spans="1:14" x14ac:dyDescent="0.25">
      <c r="A328">
        <v>79.138873000000004</v>
      </c>
      <c r="B328" s="1">
        <f>DATE(2010,7,19) + TIME(3,19,58)</f>
        <v>40378.138865740744</v>
      </c>
      <c r="C328">
        <v>80</v>
      </c>
      <c r="D328">
        <v>79.918052673000005</v>
      </c>
      <c r="E328">
        <v>50</v>
      </c>
      <c r="F328">
        <v>14.999360084999999</v>
      </c>
      <c r="G328">
        <v>1356.0118408000001</v>
      </c>
      <c r="H328">
        <v>1349.9044189000001</v>
      </c>
      <c r="I328">
        <v>1298.3029785000001</v>
      </c>
      <c r="J328">
        <v>1282.4658202999999</v>
      </c>
      <c r="K328">
        <v>2400</v>
      </c>
      <c r="L328">
        <v>0</v>
      </c>
      <c r="M328">
        <v>0</v>
      </c>
      <c r="N328">
        <v>2400</v>
      </c>
    </row>
    <row r="329" spans="1:14" x14ac:dyDescent="0.25">
      <c r="A329">
        <v>79.933186000000006</v>
      </c>
      <c r="B329" s="1">
        <f>DATE(2010,7,19) + TIME(22,23,47)</f>
        <v>40378.933182870373</v>
      </c>
      <c r="C329">
        <v>80</v>
      </c>
      <c r="D329">
        <v>79.918106078999998</v>
      </c>
      <c r="E329">
        <v>50</v>
      </c>
      <c r="F329">
        <v>14.999366759999999</v>
      </c>
      <c r="G329">
        <v>1355.9831543</v>
      </c>
      <c r="H329">
        <v>1349.8798827999999</v>
      </c>
      <c r="I329">
        <v>1298.3101807</v>
      </c>
      <c r="J329">
        <v>1282.4719238</v>
      </c>
      <c r="K329">
        <v>2400</v>
      </c>
      <c r="L329">
        <v>0</v>
      </c>
      <c r="M329">
        <v>0</v>
      </c>
      <c r="N329">
        <v>2400</v>
      </c>
    </row>
    <row r="330" spans="1:14" x14ac:dyDescent="0.25">
      <c r="A330">
        <v>80.735512999999997</v>
      </c>
      <c r="B330" s="1">
        <f>DATE(2010,7,20) + TIME(17,39,8)</f>
        <v>40379.735509259262</v>
      </c>
      <c r="C330">
        <v>80</v>
      </c>
      <c r="D330">
        <v>79.918167113999999</v>
      </c>
      <c r="E330">
        <v>50</v>
      </c>
      <c r="F330">
        <v>14.999373436000001</v>
      </c>
      <c r="G330">
        <v>1355.9543457</v>
      </c>
      <c r="H330">
        <v>1349.8552245999999</v>
      </c>
      <c r="I330">
        <v>1298.3176269999999</v>
      </c>
      <c r="J330">
        <v>1282.4782714999999</v>
      </c>
      <c r="K330">
        <v>2400</v>
      </c>
      <c r="L330">
        <v>0</v>
      </c>
      <c r="M330">
        <v>0</v>
      </c>
      <c r="N330">
        <v>2400</v>
      </c>
    </row>
    <row r="331" spans="1:14" x14ac:dyDescent="0.25">
      <c r="A331">
        <v>81.545038000000005</v>
      </c>
      <c r="B331" s="1">
        <f>DATE(2010,7,21) + TIME(13,4,51)</f>
        <v>40380.545034722221</v>
      </c>
      <c r="C331">
        <v>80</v>
      </c>
      <c r="D331">
        <v>79.918220520000006</v>
      </c>
      <c r="E331">
        <v>50</v>
      </c>
      <c r="F331">
        <v>14.999380112000001</v>
      </c>
      <c r="G331">
        <v>1355.9255370999999</v>
      </c>
      <c r="H331">
        <v>1349.8305664</v>
      </c>
      <c r="I331">
        <v>1298.3251952999999</v>
      </c>
      <c r="J331">
        <v>1282.4847411999999</v>
      </c>
      <c r="K331">
        <v>2400</v>
      </c>
      <c r="L331">
        <v>0</v>
      </c>
      <c r="M331">
        <v>0</v>
      </c>
      <c r="N331">
        <v>2400</v>
      </c>
    </row>
    <row r="332" spans="1:14" x14ac:dyDescent="0.25">
      <c r="A332">
        <v>81.952635000000001</v>
      </c>
      <c r="B332" s="1">
        <f>DATE(2010,7,21) + TIME(22,51,47)</f>
        <v>40380.952627314815</v>
      </c>
      <c r="C332">
        <v>80</v>
      </c>
      <c r="D332">
        <v>79.918235779</v>
      </c>
      <c r="E332">
        <v>50</v>
      </c>
      <c r="F332">
        <v>14.999384879999999</v>
      </c>
      <c r="G332">
        <v>1355.8964844</v>
      </c>
      <c r="H332">
        <v>1349.8055420000001</v>
      </c>
      <c r="I332">
        <v>1298.3327637</v>
      </c>
      <c r="J332">
        <v>1282.4912108999999</v>
      </c>
      <c r="K332">
        <v>2400</v>
      </c>
      <c r="L332">
        <v>0</v>
      </c>
      <c r="M332">
        <v>0</v>
      </c>
      <c r="N332">
        <v>2400</v>
      </c>
    </row>
    <row r="333" spans="1:14" x14ac:dyDescent="0.25">
      <c r="A333">
        <v>82.360231999999996</v>
      </c>
      <c r="B333" s="1">
        <f>DATE(2010,7,22) + TIME(8,38,44)</f>
        <v>40381.360231481478</v>
      </c>
      <c r="C333">
        <v>80</v>
      </c>
      <c r="D333">
        <v>79.918258667000003</v>
      </c>
      <c r="E333">
        <v>50</v>
      </c>
      <c r="F333">
        <v>14.999389647999999</v>
      </c>
      <c r="G333">
        <v>1355.8818358999999</v>
      </c>
      <c r="H333">
        <v>1349.7930908000001</v>
      </c>
      <c r="I333">
        <v>1298.3366699000001</v>
      </c>
      <c r="J333">
        <v>1282.4945068</v>
      </c>
      <c r="K333">
        <v>2400</v>
      </c>
      <c r="L333">
        <v>0</v>
      </c>
      <c r="M333">
        <v>0</v>
      </c>
      <c r="N333">
        <v>2400</v>
      </c>
    </row>
    <row r="334" spans="1:14" x14ac:dyDescent="0.25">
      <c r="A334">
        <v>82.767829000000006</v>
      </c>
      <c r="B334" s="1">
        <f>DATE(2010,7,22) + TIME(18,25,40)</f>
        <v>40381.767824074072</v>
      </c>
      <c r="C334">
        <v>80</v>
      </c>
      <c r="D334">
        <v>79.918281554999993</v>
      </c>
      <c r="E334">
        <v>50</v>
      </c>
      <c r="F334">
        <v>14.999393463000001</v>
      </c>
      <c r="G334">
        <v>1355.8675536999999</v>
      </c>
      <c r="H334">
        <v>1349.7807617000001</v>
      </c>
      <c r="I334">
        <v>1298.3406981999999</v>
      </c>
      <c r="J334">
        <v>1282.4979248</v>
      </c>
      <c r="K334">
        <v>2400</v>
      </c>
      <c r="L334">
        <v>0</v>
      </c>
      <c r="M334">
        <v>0</v>
      </c>
      <c r="N334">
        <v>2400</v>
      </c>
    </row>
    <row r="335" spans="1:14" x14ac:dyDescent="0.25">
      <c r="A335">
        <v>83.175426999999999</v>
      </c>
      <c r="B335" s="1">
        <f>DATE(2010,7,23) + TIME(4,12,36)</f>
        <v>40382.175416666665</v>
      </c>
      <c r="C335">
        <v>80</v>
      </c>
      <c r="D335">
        <v>79.918312072999996</v>
      </c>
      <c r="E335">
        <v>50</v>
      </c>
      <c r="F335">
        <v>14.999398232000001</v>
      </c>
      <c r="G335">
        <v>1355.8531493999999</v>
      </c>
      <c r="H335">
        <v>1349.7684326000001</v>
      </c>
      <c r="I335">
        <v>1298.3446045000001</v>
      </c>
      <c r="J335">
        <v>1282.5012207</v>
      </c>
      <c r="K335">
        <v>2400</v>
      </c>
      <c r="L335">
        <v>0</v>
      </c>
      <c r="M335">
        <v>0</v>
      </c>
      <c r="N335">
        <v>2400</v>
      </c>
    </row>
    <row r="336" spans="1:14" x14ac:dyDescent="0.25">
      <c r="A336">
        <v>83.583023999999995</v>
      </c>
      <c r="B336" s="1">
        <f>DATE(2010,7,23) + TIME(13,59,33)</f>
        <v>40382.583020833335</v>
      </c>
      <c r="C336">
        <v>80</v>
      </c>
      <c r="D336">
        <v>79.918334960999999</v>
      </c>
      <c r="E336">
        <v>50</v>
      </c>
      <c r="F336">
        <v>14.999402046</v>
      </c>
      <c r="G336">
        <v>1355.8389893000001</v>
      </c>
      <c r="H336">
        <v>1349.7562256000001</v>
      </c>
      <c r="I336">
        <v>1298.3486327999999</v>
      </c>
      <c r="J336">
        <v>1282.5046387</v>
      </c>
      <c r="K336">
        <v>2400</v>
      </c>
      <c r="L336">
        <v>0</v>
      </c>
      <c r="M336">
        <v>0</v>
      </c>
      <c r="N336">
        <v>2400</v>
      </c>
    </row>
    <row r="337" spans="1:14" x14ac:dyDescent="0.25">
      <c r="A337">
        <v>83.990621000000004</v>
      </c>
      <c r="B337" s="1">
        <f>DATE(2010,7,23) + TIME(23,46,29)</f>
        <v>40382.990613425929</v>
      </c>
      <c r="C337">
        <v>80</v>
      </c>
      <c r="D337">
        <v>79.918365479000002</v>
      </c>
      <c r="E337">
        <v>50</v>
      </c>
      <c r="F337">
        <v>14.999405861</v>
      </c>
      <c r="G337">
        <v>1355.824707</v>
      </c>
      <c r="H337">
        <v>1349.7440185999999</v>
      </c>
      <c r="I337">
        <v>1298.3526611</v>
      </c>
      <c r="J337">
        <v>1282.5080565999999</v>
      </c>
      <c r="K337">
        <v>2400</v>
      </c>
      <c r="L337">
        <v>0</v>
      </c>
      <c r="M337">
        <v>0</v>
      </c>
      <c r="N337">
        <v>2400</v>
      </c>
    </row>
    <row r="338" spans="1:14" x14ac:dyDescent="0.25">
      <c r="A338">
        <v>84.805815999999993</v>
      </c>
      <c r="B338" s="1">
        <f>DATE(2010,7,24) + TIME(19,20,22)</f>
        <v>40383.805810185186</v>
      </c>
      <c r="C338">
        <v>80</v>
      </c>
      <c r="D338">
        <v>79.918441771999994</v>
      </c>
      <c r="E338">
        <v>50</v>
      </c>
      <c r="F338">
        <v>14.999412537</v>
      </c>
      <c r="G338">
        <v>1355.8109131000001</v>
      </c>
      <c r="H338">
        <v>1349.7322998</v>
      </c>
      <c r="I338">
        <v>1298.3568115</v>
      </c>
      <c r="J338">
        <v>1282.5115966999999</v>
      </c>
      <c r="K338">
        <v>2400</v>
      </c>
      <c r="L338">
        <v>0</v>
      </c>
      <c r="M338">
        <v>0</v>
      </c>
      <c r="N338">
        <v>2400</v>
      </c>
    </row>
    <row r="339" spans="1:14" x14ac:dyDescent="0.25">
      <c r="A339">
        <v>85.622313000000005</v>
      </c>
      <c r="B339" s="1">
        <f>DATE(2010,7,25) + TIME(14,56,7)</f>
        <v>40384.622303240743</v>
      </c>
      <c r="C339">
        <v>80</v>
      </c>
      <c r="D339">
        <v>79.918502808</v>
      </c>
      <c r="E339">
        <v>50</v>
      </c>
      <c r="F339">
        <v>14.999420166</v>
      </c>
      <c r="G339">
        <v>1355.7828368999999</v>
      </c>
      <c r="H339">
        <v>1349.7082519999999</v>
      </c>
      <c r="I339">
        <v>1298.3648682</v>
      </c>
      <c r="J339">
        <v>1282.5184326000001</v>
      </c>
      <c r="K339">
        <v>2400</v>
      </c>
      <c r="L339">
        <v>0</v>
      </c>
      <c r="M339">
        <v>0</v>
      </c>
      <c r="N339">
        <v>2400</v>
      </c>
    </row>
    <row r="340" spans="1:14" x14ac:dyDescent="0.25">
      <c r="A340">
        <v>86.446325999999999</v>
      </c>
      <c r="B340" s="1">
        <f>DATE(2010,7,26) + TIME(10,42,42)</f>
        <v>40385.446319444447</v>
      </c>
      <c r="C340">
        <v>80</v>
      </c>
      <c r="D340">
        <v>79.918563843000001</v>
      </c>
      <c r="E340">
        <v>50</v>
      </c>
      <c r="F340">
        <v>14.999428749</v>
      </c>
      <c r="G340">
        <v>1355.7550048999999</v>
      </c>
      <c r="H340">
        <v>1349.6843262</v>
      </c>
      <c r="I340">
        <v>1298.3730469</v>
      </c>
      <c r="J340">
        <v>1282.5252685999999</v>
      </c>
      <c r="K340">
        <v>2400</v>
      </c>
      <c r="L340">
        <v>0</v>
      </c>
      <c r="M340">
        <v>0</v>
      </c>
      <c r="N340">
        <v>2400</v>
      </c>
    </row>
    <row r="341" spans="1:14" x14ac:dyDescent="0.25">
      <c r="A341">
        <v>87.278693000000004</v>
      </c>
      <c r="B341" s="1">
        <f>DATE(2010,7,27) + TIME(6,41,19)</f>
        <v>40386.278692129628</v>
      </c>
      <c r="C341">
        <v>80</v>
      </c>
      <c r="D341">
        <v>79.918624878000003</v>
      </c>
      <c r="E341">
        <v>50</v>
      </c>
      <c r="F341">
        <v>14.999438286</v>
      </c>
      <c r="G341">
        <v>1355.7270507999999</v>
      </c>
      <c r="H341">
        <v>1349.6604004000001</v>
      </c>
      <c r="I341">
        <v>1298.3813477000001</v>
      </c>
      <c r="J341">
        <v>1282.5323486</v>
      </c>
      <c r="K341">
        <v>2400</v>
      </c>
      <c r="L341">
        <v>0</v>
      </c>
      <c r="M341">
        <v>0</v>
      </c>
      <c r="N341">
        <v>2400</v>
      </c>
    </row>
    <row r="342" spans="1:14" x14ac:dyDescent="0.25">
      <c r="A342">
        <v>88.115984999999995</v>
      </c>
      <c r="B342" s="1">
        <f>DATE(2010,7,28) + TIME(2,47,1)</f>
        <v>40387.115983796299</v>
      </c>
      <c r="C342">
        <v>80</v>
      </c>
      <c r="D342">
        <v>79.918685913000004</v>
      </c>
      <c r="E342">
        <v>50</v>
      </c>
      <c r="F342">
        <v>14.999448775999999</v>
      </c>
      <c r="G342">
        <v>1355.6990966999999</v>
      </c>
      <c r="H342">
        <v>1349.6364745999999</v>
      </c>
      <c r="I342">
        <v>1298.3898925999999</v>
      </c>
      <c r="J342">
        <v>1282.5395507999999</v>
      </c>
      <c r="K342">
        <v>2400</v>
      </c>
      <c r="L342">
        <v>0</v>
      </c>
      <c r="M342">
        <v>0</v>
      </c>
      <c r="N342">
        <v>2400</v>
      </c>
    </row>
    <row r="343" spans="1:14" x14ac:dyDescent="0.25">
      <c r="A343">
        <v>88.958966000000004</v>
      </c>
      <c r="B343" s="1">
        <f>DATE(2010,7,28) + TIME(23,0,54)</f>
        <v>40387.958958333336</v>
      </c>
      <c r="C343">
        <v>80</v>
      </c>
      <c r="D343">
        <v>79.918754578000005</v>
      </c>
      <c r="E343">
        <v>50</v>
      </c>
      <c r="F343">
        <v>14.999461174</v>
      </c>
      <c r="G343">
        <v>1355.6712646000001</v>
      </c>
      <c r="H343">
        <v>1349.6125488</v>
      </c>
      <c r="I343">
        <v>1298.3984375</v>
      </c>
      <c r="J343">
        <v>1282.5467529</v>
      </c>
      <c r="K343">
        <v>2400</v>
      </c>
      <c r="L343">
        <v>0</v>
      </c>
      <c r="M343">
        <v>0</v>
      </c>
      <c r="N343">
        <v>2400</v>
      </c>
    </row>
    <row r="344" spans="1:14" x14ac:dyDescent="0.25">
      <c r="A344">
        <v>89.808548999999999</v>
      </c>
      <c r="B344" s="1">
        <f>DATE(2010,7,29) + TIME(19,24,18)</f>
        <v>40388.808541666665</v>
      </c>
      <c r="C344">
        <v>80</v>
      </c>
      <c r="D344">
        <v>79.918815613000007</v>
      </c>
      <c r="E344">
        <v>50</v>
      </c>
      <c r="F344">
        <v>14.999473571999999</v>
      </c>
      <c r="G344">
        <v>1355.6433105000001</v>
      </c>
      <c r="H344">
        <v>1349.5886230000001</v>
      </c>
      <c r="I344">
        <v>1298.4072266000001</v>
      </c>
      <c r="J344">
        <v>1282.5541992000001</v>
      </c>
      <c r="K344">
        <v>2400</v>
      </c>
      <c r="L344">
        <v>0</v>
      </c>
      <c r="M344">
        <v>0</v>
      </c>
      <c r="N344">
        <v>2400</v>
      </c>
    </row>
    <row r="345" spans="1:14" x14ac:dyDescent="0.25">
      <c r="A345">
        <v>90.663335000000004</v>
      </c>
      <c r="B345" s="1">
        <f>DATE(2010,7,30) + TIME(15,55,12)</f>
        <v>40389.66333333333</v>
      </c>
      <c r="C345">
        <v>80</v>
      </c>
      <c r="D345">
        <v>79.918876647999994</v>
      </c>
      <c r="E345">
        <v>50</v>
      </c>
      <c r="F345">
        <v>14.999488831000001</v>
      </c>
      <c r="G345">
        <v>1355.6154785000001</v>
      </c>
      <c r="H345">
        <v>1349.5646973</v>
      </c>
      <c r="I345">
        <v>1298.4162598</v>
      </c>
      <c r="J345">
        <v>1282.5616454999999</v>
      </c>
      <c r="K345">
        <v>2400</v>
      </c>
      <c r="L345">
        <v>0</v>
      </c>
      <c r="M345">
        <v>0</v>
      </c>
      <c r="N345">
        <v>2400</v>
      </c>
    </row>
    <row r="346" spans="1:14" x14ac:dyDescent="0.25">
      <c r="A346">
        <v>91.521984000000003</v>
      </c>
      <c r="B346" s="1">
        <f>DATE(2010,7,31) + TIME(12,31,39)</f>
        <v>40390.521979166668</v>
      </c>
      <c r="C346">
        <v>80</v>
      </c>
      <c r="D346">
        <v>79.918937682999996</v>
      </c>
      <c r="E346">
        <v>50</v>
      </c>
      <c r="F346">
        <v>14.999505042999999</v>
      </c>
      <c r="G346">
        <v>1355.5876464999999</v>
      </c>
      <c r="H346">
        <v>1349.5408935999999</v>
      </c>
      <c r="I346">
        <v>1298.425293</v>
      </c>
      <c r="J346">
        <v>1282.5693358999999</v>
      </c>
      <c r="K346">
        <v>2400</v>
      </c>
      <c r="L346">
        <v>0</v>
      </c>
      <c r="M346">
        <v>0</v>
      </c>
      <c r="N346">
        <v>2400</v>
      </c>
    </row>
    <row r="347" spans="1:14" x14ac:dyDescent="0.25">
      <c r="A347">
        <v>92</v>
      </c>
      <c r="B347" s="1">
        <f>DATE(2010,8,1) + TIME(0,0,0)</f>
        <v>40391</v>
      </c>
      <c r="C347">
        <v>80</v>
      </c>
      <c r="D347">
        <v>79.918968200999998</v>
      </c>
      <c r="E347">
        <v>50</v>
      </c>
      <c r="F347">
        <v>14.999518394000001</v>
      </c>
      <c r="G347">
        <v>1355.5598144999999</v>
      </c>
      <c r="H347">
        <v>1349.5168457</v>
      </c>
      <c r="I347">
        <v>1298.4344481999999</v>
      </c>
      <c r="J347">
        <v>1282.5769043</v>
      </c>
      <c r="K347">
        <v>2400</v>
      </c>
      <c r="L347">
        <v>0</v>
      </c>
      <c r="M347">
        <v>0</v>
      </c>
      <c r="N347">
        <v>2400</v>
      </c>
    </row>
    <row r="348" spans="1:14" x14ac:dyDescent="0.25">
      <c r="A348">
        <v>92.862368000000004</v>
      </c>
      <c r="B348" s="1">
        <f>DATE(2010,8,1) + TIME(20,41,48)</f>
        <v>40391.862361111111</v>
      </c>
      <c r="C348">
        <v>80</v>
      </c>
      <c r="D348">
        <v>79.919036864999995</v>
      </c>
      <c r="E348">
        <v>50</v>
      </c>
      <c r="F348">
        <v>14.999536514000001</v>
      </c>
      <c r="G348">
        <v>1355.5445557</v>
      </c>
      <c r="H348">
        <v>1349.5039062000001</v>
      </c>
      <c r="I348">
        <v>1298.4398193</v>
      </c>
      <c r="J348">
        <v>1282.5814209</v>
      </c>
      <c r="K348">
        <v>2400</v>
      </c>
      <c r="L348">
        <v>0</v>
      </c>
      <c r="M348">
        <v>0</v>
      </c>
      <c r="N348">
        <v>2400</v>
      </c>
    </row>
    <row r="349" spans="1:14" x14ac:dyDescent="0.25">
      <c r="A349">
        <v>93.725759999999994</v>
      </c>
      <c r="B349" s="1">
        <f>DATE(2010,8,2) + TIME(17,25,5)</f>
        <v>40392.725752314815</v>
      </c>
      <c r="C349">
        <v>80</v>
      </c>
      <c r="D349">
        <v>79.919105529999996</v>
      </c>
      <c r="E349">
        <v>50</v>
      </c>
      <c r="F349">
        <v>14.999558449</v>
      </c>
      <c r="G349">
        <v>1355.5172118999999</v>
      </c>
      <c r="H349">
        <v>1349.4803466999999</v>
      </c>
      <c r="I349">
        <v>1298.4493408000001</v>
      </c>
      <c r="J349">
        <v>1282.5892334</v>
      </c>
      <c r="K349">
        <v>2400</v>
      </c>
      <c r="L349">
        <v>0</v>
      </c>
      <c r="M349">
        <v>0</v>
      </c>
      <c r="N349">
        <v>2400</v>
      </c>
    </row>
    <row r="350" spans="1:14" x14ac:dyDescent="0.25">
      <c r="A350">
        <v>94.591514000000004</v>
      </c>
      <c r="B350" s="1">
        <f>DATE(2010,8,3) + TIME(14,11,46)</f>
        <v>40393.591504629629</v>
      </c>
      <c r="C350">
        <v>80</v>
      </c>
      <c r="D350">
        <v>79.919166564999998</v>
      </c>
      <c r="E350">
        <v>50</v>
      </c>
      <c r="F350">
        <v>14.999584198000001</v>
      </c>
      <c r="G350">
        <v>1355.4898682</v>
      </c>
      <c r="H350">
        <v>1349.4567870999999</v>
      </c>
      <c r="I350">
        <v>1298.4588623</v>
      </c>
      <c r="J350">
        <v>1282.5972899999999</v>
      </c>
      <c r="K350">
        <v>2400</v>
      </c>
      <c r="L350">
        <v>0</v>
      </c>
      <c r="M350">
        <v>0</v>
      </c>
      <c r="N350">
        <v>2400</v>
      </c>
    </row>
    <row r="351" spans="1:14" x14ac:dyDescent="0.25">
      <c r="A351">
        <v>95.461268000000004</v>
      </c>
      <c r="B351" s="1">
        <f>DATE(2010,8,4) + TIME(11,4,13)</f>
        <v>40394.461261574077</v>
      </c>
      <c r="C351">
        <v>80</v>
      </c>
      <c r="D351">
        <v>79.919235228999995</v>
      </c>
      <c r="E351">
        <v>50</v>
      </c>
      <c r="F351">
        <v>14.999614716</v>
      </c>
      <c r="G351">
        <v>1355.4626464999999</v>
      </c>
      <c r="H351">
        <v>1349.4334716999999</v>
      </c>
      <c r="I351">
        <v>1298.4686279</v>
      </c>
      <c r="J351">
        <v>1282.6053466999999</v>
      </c>
      <c r="K351">
        <v>2400</v>
      </c>
      <c r="L351">
        <v>0</v>
      </c>
      <c r="M351">
        <v>0</v>
      </c>
      <c r="N351">
        <v>2400</v>
      </c>
    </row>
    <row r="352" spans="1:14" x14ac:dyDescent="0.25">
      <c r="A352">
        <v>96.336742999999998</v>
      </c>
      <c r="B352" s="1">
        <f>DATE(2010,8,5) + TIME(8,4,54)</f>
        <v>40395.336736111109</v>
      </c>
      <c r="C352">
        <v>80</v>
      </c>
      <c r="D352">
        <v>79.919303893999995</v>
      </c>
      <c r="E352">
        <v>50</v>
      </c>
      <c r="F352">
        <v>14.999649048</v>
      </c>
      <c r="G352">
        <v>1355.4356689000001</v>
      </c>
      <c r="H352">
        <v>1349.4101562000001</v>
      </c>
      <c r="I352">
        <v>1298.4785156</v>
      </c>
      <c r="J352">
        <v>1282.6135254000001</v>
      </c>
      <c r="K352">
        <v>2400</v>
      </c>
      <c r="L352">
        <v>0</v>
      </c>
      <c r="M352">
        <v>0</v>
      </c>
      <c r="N352">
        <v>2400</v>
      </c>
    </row>
    <row r="353" spans="1:14" x14ac:dyDescent="0.25">
      <c r="A353">
        <v>97.219646999999995</v>
      </c>
      <c r="B353" s="1">
        <f>DATE(2010,8,6) + TIME(5,16,17)</f>
        <v>40396.219641203701</v>
      </c>
      <c r="C353">
        <v>80</v>
      </c>
      <c r="D353">
        <v>79.919364928999997</v>
      </c>
      <c r="E353">
        <v>50</v>
      </c>
      <c r="F353">
        <v>14.999690056</v>
      </c>
      <c r="G353">
        <v>1355.4085693</v>
      </c>
      <c r="H353">
        <v>1349.3869629000001</v>
      </c>
      <c r="I353">
        <v>1298.4886475000001</v>
      </c>
      <c r="J353">
        <v>1282.6219481999999</v>
      </c>
      <c r="K353">
        <v>2400</v>
      </c>
      <c r="L353">
        <v>0</v>
      </c>
      <c r="M353">
        <v>0</v>
      </c>
      <c r="N353">
        <v>2400</v>
      </c>
    </row>
    <row r="354" spans="1:14" x14ac:dyDescent="0.25">
      <c r="A354">
        <v>98.110634000000005</v>
      </c>
      <c r="B354" s="1">
        <f>DATE(2010,8,7) + TIME(2,39,18)</f>
        <v>40397.110625000001</v>
      </c>
      <c r="C354">
        <v>80</v>
      </c>
      <c r="D354">
        <v>79.919433593999997</v>
      </c>
      <c r="E354">
        <v>50</v>
      </c>
      <c r="F354">
        <v>14.99973774</v>
      </c>
      <c r="G354">
        <v>1355.3814697</v>
      </c>
      <c r="H354">
        <v>1349.3636475000001</v>
      </c>
      <c r="I354">
        <v>1298.4989014</v>
      </c>
      <c r="J354">
        <v>1282.6303711</v>
      </c>
      <c r="K354">
        <v>2400</v>
      </c>
      <c r="L354">
        <v>0</v>
      </c>
      <c r="M354">
        <v>0</v>
      </c>
      <c r="N354">
        <v>2400</v>
      </c>
    </row>
    <row r="355" spans="1:14" x14ac:dyDescent="0.25">
      <c r="A355">
        <v>99.005849999999995</v>
      </c>
      <c r="B355" s="1">
        <f>DATE(2010,8,8) + TIME(0,8,25)</f>
        <v>40398.005844907406</v>
      </c>
      <c r="C355">
        <v>80</v>
      </c>
      <c r="D355">
        <v>79.919502257999994</v>
      </c>
      <c r="E355">
        <v>50</v>
      </c>
      <c r="F355">
        <v>14.999794006</v>
      </c>
      <c r="G355">
        <v>1355.3543701000001</v>
      </c>
      <c r="H355">
        <v>1349.340332</v>
      </c>
      <c r="I355">
        <v>1298.5093993999999</v>
      </c>
      <c r="J355">
        <v>1282.6391602000001</v>
      </c>
      <c r="K355">
        <v>2400</v>
      </c>
      <c r="L355">
        <v>0</v>
      </c>
      <c r="M355">
        <v>0</v>
      </c>
      <c r="N355">
        <v>2400</v>
      </c>
    </row>
    <row r="356" spans="1:14" x14ac:dyDescent="0.25">
      <c r="A356">
        <v>99.454160999999999</v>
      </c>
      <c r="B356" s="1">
        <f>DATE(2010,8,8) + TIME(10,53,59)</f>
        <v>40398.454155092593</v>
      </c>
      <c r="C356">
        <v>80</v>
      </c>
      <c r="D356">
        <v>79.919525145999998</v>
      </c>
      <c r="E356">
        <v>50</v>
      </c>
      <c r="F356">
        <v>14.999837875000001</v>
      </c>
      <c r="G356">
        <v>1355.3271483999999</v>
      </c>
      <c r="H356">
        <v>1349.3167725000001</v>
      </c>
      <c r="I356">
        <v>1298.5200195</v>
      </c>
      <c r="J356">
        <v>1282.6478271000001</v>
      </c>
      <c r="K356">
        <v>2400</v>
      </c>
      <c r="L356">
        <v>0</v>
      </c>
      <c r="M356">
        <v>0</v>
      </c>
      <c r="N356">
        <v>2400</v>
      </c>
    </row>
    <row r="357" spans="1:14" x14ac:dyDescent="0.25">
      <c r="A357">
        <v>99.902471000000006</v>
      </c>
      <c r="B357" s="1">
        <f>DATE(2010,8,8) + TIME(21,39,33)</f>
        <v>40398.902465277781</v>
      </c>
      <c r="C357">
        <v>80</v>
      </c>
      <c r="D357">
        <v>79.919555664000001</v>
      </c>
      <c r="E357">
        <v>50</v>
      </c>
      <c r="F357">
        <v>14.999881744</v>
      </c>
      <c r="G357">
        <v>1355.3134766000001</v>
      </c>
      <c r="H357">
        <v>1349.3050536999999</v>
      </c>
      <c r="I357">
        <v>1298.5255127</v>
      </c>
      <c r="J357">
        <v>1282.6523437999999</v>
      </c>
      <c r="K357">
        <v>2400</v>
      </c>
      <c r="L357">
        <v>0</v>
      </c>
      <c r="M357">
        <v>0</v>
      </c>
      <c r="N357">
        <v>2400</v>
      </c>
    </row>
    <row r="358" spans="1:14" x14ac:dyDescent="0.25">
      <c r="A358">
        <v>100.350782</v>
      </c>
      <c r="B358" s="1">
        <f>DATE(2010,8,9) + TIME(8,25,7)</f>
        <v>40399.350775462961</v>
      </c>
      <c r="C358">
        <v>80</v>
      </c>
      <c r="D358">
        <v>79.919586182000003</v>
      </c>
      <c r="E358">
        <v>50</v>
      </c>
      <c r="F358">
        <v>14.999926566999999</v>
      </c>
      <c r="G358">
        <v>1355.3000488</v>
      </c>
      <c r="H358">
        <v>1349.293457</v>
      </c>
      <c r="I358">
        <v>1298.5310059000001</v>
      </c>
      <c r="J358">
        <v>1282.6568603999999</v>
      </c>
      <c r="K358">
        <v>2400</v>
      </c>
      <c r="L358">
        <v>0</v>
      </c>
      <c r="M358">
        <v>0</v>
      </c>
      <c r="N358">
        <v>2400</v>
      </c>
    </row>
    <row r="359" spans="1:14" x14ac:dyDescent="0.25">
      <c r="A359">
        <v>100.799092</v>
      </c>
      <c r="B359" s="1">
        <f>DATE(2010,8,9) + TIME(19,10,41)</f>
        <v>40399.799085648148</v>
      </c>
      <c r="C359">
        <v>80</v>
      </c>
      <c r="D359">
        <v>79.919616699000002</v>
      </c>
      <c r="E359">
        <v>50</v>
      </c>
      <c r="F359">
        <v>14.999974250999999</v>
      </c>
      <c r="G359">
        <v>1355.2867432</v>
      </c>
      <c r="H359">
        <v>1349.2819824000001</v>
      </c>
      <c r="I359">
        <v>1298.536499</v>
      </c>
      <c r="J359">
        <v>1282.6613769999999</v>
      </c>
      <c r="K359">
        <v>2400</v>
      </c>
      <c r="L359">
        <v>0</v>
      </c>
      <c r="M359">
        <v>0</v>
      </c>
      <c r="N359">
        <v>2400</v>
      </c>
    </row>
    <row r="360" spans="1:14" x14ac:dyDescent="0.25">
      <c r="A360">
        <v>101.24740300000001</v>
      </c>
      <c r="B360" s="1">
        <f>DATE(2010,8,10) + TIME(5,56,15)</f>
        <v>40400.247395833336</v>
      </c>
      <c r="C360">
        <v>80</v>
      </c>
      <c r="D360">
        <v>79.919654846</v>
      </c>
      <c r="E360">
        <v>50</v>
      </c>
      <c r="F360">
        <v>15.000023841999999</v>
      </c>
      <c r="G360">
        <v>1355.2734375</v>
      </c>
      <c r="H360">
        <v>1349.2703856999999</v>
      </c>
      <c r="I360">
        <v>1298.5421143000001</v>
      </c>
      <c r="J360">
        <v>1282.6658935999999</v>
      </c>
      <c r="K360">
        <v>2400</v>
      </c>
      <c r="L360">
        <v>0</v>
      </c>
      <c r="M360">
        <v>0</v>
      </c>
      <c r="N360">
        <v>2400</v>
      </c>
    </row>
    <row r="361" spans="1:14" x14ac:dyDescent="0.25">
      <c r="A361">
        <v>101.695713</v>
      </c>
      <c r="B361" s="1">
        <f>DATE(2010,8,10) + TIME(16,41,49)</f>
        <v>40400.695706018516</v>
      </c>
      <c r="C361">
        <v>80</v>
      </c>
      <c r="D361">
        <v>79.919685364000003</v>
      </c>
      <c r="E361">
        <v>50</v>
      </c>
      <c r="F361">
        <v>15.000078201000001</v>
      </c>
      <c r="G361">
        <v>1355.2601318</v>
      </c>
      <c r="H361">
        <v>1349.2589111</v>
      </c>
      <c r="I361">
        <v>1298.5477295000001</v>
      </c>
      <c r="J361">
        <v>1282.6705322</v>
      </c>
      <c r="K361">
        <v>2400</v>
      </c>
      <c r="L361">
        <v>0</v>
      </c>
      <c r="M361">
        <v>0</v>
      </c>
      <c r="N361">
        <v>2400</v>
      </c>
    </row>
    <row r="362" spans="1:14" x14ac:dyDescent="0.25">
      <c r="A362">
        <v>102.144024</v>
      </c>
      <c r="B362" s="1">
        <f>DATE(2010,8,11) + TIME(3,27,23)</f>
        <v>40401.144016203703</v>
      </c>
      <c r="C362">
        <v>80</v>
      </c>
      <c r="D362">
        <v>79.919723511000001</v>
      </c>
      <c r="E362">
        <v>50</v>
      </c>
      <c r="F362">
        <v>15.000136375</v>
      </c>
      <c r="G362">
        <v>1355.2469481999999</v>
      </c>
      <c r="H362">
        <v>1349.2475586</v>
      </c>
      <c r="I362">
        <v>1298.5533447</v>
      </c>
      <c r="J362">
        <v>1282.6750488</v>
      </c>
      <c r="K362">
        <v>2400</v>
      </c>
      <c r="L362">
        <v>0</v>
      </c>
      <c r="M362">
        <v>0</v>
      </c>
      <c r="N362">
        <v>2400</v>
      </c>
    </row>
    <row r="363" spans="1:14" x14ac:dyDescent="0.25">
      <c r="A363">
        <v>102.59233399999999</v>
      </c>
      <c r="B363" s="1">
        <f>DATE(2010,8,11) + TIME(14,12,57)</f>
        <v>40401.592326388891</v>
      </c>
      <c r="C363">
        <v>80</v>
      </c>
      <c r="D363">
        <v>79.919754028</v>
      </c>
      <c r="E363">
        <v>50</v>
      </c>
      <c r="F363">
        <v>15.000198363999999</v>
      </c>
      <c r="G363">
        <v>1355.2337646000001</v>
      </c>
      <c r="H363">
        <v>1349.2362060999999</v>
      </c>
      <c r="I363">
        <v>1298.5589600000001</v>
      </c>
      <c r="J363">
        <v>1282.6796875</v>
      </c>
      <c r="K363">
        <v>2400</v>
      </c>
      <c r="L363">
        <v>0</v>
      </c>
      <c r="M363">
        <v>0</v>
      </c>
      <c r="N363">
        <v>2400</v>
      </c>
    </row>
    <row r="364" spans="1:14" x14ac:dyDescent="0.25">
      <c r="A364">
        <v>103.040645</v>
      </c>
      <c r="B364" s="1">
        <f>DATE(2010,8,12) + TIME(0,58,31)</f>
        <v>40402.040636574071</v>
      </c>
      <c r="C364">
        <v>80</v>
      </c>
      <c r="D364">
        <v>79.919792174999998</v>
      </c>
      <c r="E364">
        <v>50</v>
      </c>
      <c r="F364">
        <v>15.000266075000001</v>
      </c>
      <c r="G364">
        <v>1355.2205810999999</v>
      </c>
      <c r="H364">
        <v>1349.2248535000001</v>
      </c>
      <c r="I364">
        <v>1298.5646973</v>
      </c>
      <c r="J364">
        <v>1282.6843262</v>
      </c>
      <c r="K364">
        <v>2400</v>
      </c>
      <c r="L364">
        <v>0</v>
      </c>
      <c r="M364">
        <v>0</v>
      </c>
      <c r="N364">
        <v>2400</v>
      </c>
    </row>
    <row r="365" spans="1:14" x14ac:dyDescent="0.25">
      <c r="A365">
        <v>103.488955</v>
      </c>
      <c r="B365" s="1">
        <f>DATE(2010,8,12) + TIME(11,44,5)</f>
        <v>40402.488946759258</v>
      </c>
      <c r="C365">
        <v>80</v>
      </c>
      <c r="D365">
        <v>79.919822693</v>
      </c>
      <c r="E365">
        <v>50</v>
      </c>
      <c r="F365">
        <v>15.000339508</v>
      </c>
      <c r="G365">
        <v>1355.2075195</v>
      </c>
      <c r="H365">
        <v>1349.213501</v>
      </c>
      <c r="I365">
        <v>1298.5705565999999</v>
      </c>
      <c r="J365">
        <v>1282.6890868999999</v>
      </c>
      <c r="K365">
        <v>2400</v>
      </c>
      <c r="L365">
        <v>0</v>
      </c>
      <c r="M365">
        <v>0</v>
      </c>
      <c r="N365">
        <v>2400</v>
      </c>
    </row>
    <row r="366" spans="1:14" x14ac:dyDescent="0.25">
      <c r="A366">
        <v>103.93726599999999</v>
      </c>
      <c r="B366" s="1">
        <f>DATE(2010,8,12) + TIME(22,29,39)</f>
        <v>40402.937256944446</v>
      </c>
      <c r="C366">
        <v>80</v>
      </c>
      <c r="D366">
        <v>79.919860839999998</v>
      </c>
      <c r="E366">
        <v>50</v>
      </c>
      <c r="F366">
        <v>15.000418663</v>
      </c>
      <c r="G366">
        <v>1355.1944579999999</v>
      </c>
      <c r="H366">
        <v>1349.2022704999999</v>
      </c>
      <c r="I366">
        <v>1298.5762939000001</v>
      </c>
      <c r="J366">
        <v>1282.6938477000001</v>
      </c>
      <c r="K366">
        <v>2400</v>
      </c>
      <c r="L366">
        <v>0</v>
      </c>
      <c r="M366">
        <v>0</v>
      </c>
      <c r="N366">
        <v>2400</v>
      </c>
    </row>
    <row r="367" spans="1:14" x14ac:dyDescent="0.25">
      <c r="A367">
        <v>104.385576</v>
      </c>
      <c r="B367" s="1">
        <f>DATE(2010,8,13) + TIME(9,15,13)</f>
        <v>40403.385567129626</v>
      </c>
      <c r="C367">
        <v>80</v>
      </c>
      <c r="D367">
        <v>79.919898986999996</v>
      </c>
      <c r="E367">
        <v>50</v>
      </c>
      <c r="F367">
        <v>15.000504493999999</v>
      </c>
      <c r="G367">
        <v>1355.1813964999999</v>
      </c>
      <c r="H367">
        <v>1349.1910399999999</v>
      </c>
      <c r="I367">
        <v>1298.5821533000001</v>
      </c>
      <c r="J367">
        <v>1282.6986084</v>
      </c>
      <c r="K367">
        <v>2400</v>
      </c>
      <c r="L367">
        <v>0</v>
      </c>
      <c r="M367">
        <v>0</v>
      </c>
      <c r="N367">
        <v>2400</v>
      </c>
    </row>
    <row r="368" spans="1:14" x14ac:dyDescent="0.25">
      <c r="A368">
        <v>104.833887</v>
      </c>
      <c r="B368" s="1">
        <f>DATE(2010,8,13) + TIME(20,0,47)</f>
        <v>40403.833877314813</v>
      </c>
      <c r="C368">
        <v>80</v>
      </c>
      <c r="D368">
        <v>79.919929503999995</v>
      </c>
      <c r="E368">
        <v>50</v>
      </c>
      <c r="F368">
        <v>15.000597000000001</v>
      </c>
      <c r="G368">
        <v>1355.168457</v>
      </c>
      <c r="H368">
        <v>1349.1798096</v>
      </c>
      <c r="I368">
        <v>1298.5880127</v>
      </c>
      <c r="J368">
        <v>1282.7033690999999</v>
      </c>
      <c r="K368">
        <v>2400</v>
      </c>
      <c r="L368">
        <v>0</v>
      </c>
      <c r="M368">
        <v>0</v>
      </c>
      <c r="N368">
        <v>2400</v>
      </c>
    </row>
    <row r="369" spans="1:14" x14ac:dyDescent="0.25">
      <c r="A369">
        <v>105.282197</v>
      </c>
      <c r="B369" s="1">
        <f>DATE(2010,8,14) + TIME(6,46,21)</f>
        <v>40404.282187500001</v>
      </c>
      <c r="C369">
        <v>80</v>
      </c>
      <c r="D369">
        <v>79.919967650999993</v>
      </c>
      <c r="E369">
        <v>50</v>
      </c>
      <c r="F369">
        <v>15.00069809</v>
      </c>
      <c r="G369">
        <v>1355.1556396000001</v>
      </c>
      <c r="H369">
        <v>1349.1685791</v>
      </c>
      <c r="I369">
        <v>1298.5939940999999</v>
      </c>
      <c r="J369">
        <v>1282.7081298999999</v>
      </c>
      <c r="K369">
        <v>2400</v>
      </c>
      <c r="L369">
        <v>0</v>
      </c>
      <c r="M369">
        <v>0</v>
      </c>
      <c r="N369">
        <v>2400</v>
      </c>
    </row>
    <row r="370" spans="1:14" x14ac:dyDescent="0.25">
      <c r="A370">
        <v>105.730508</v>
      </c>
      <c r="B370" s="1">
        <f>DATE(2010,8,14) + TIME(17,31,55)</f>
        <v>40404.730497685188</v>
      </c>
      <c r="C370">
        <v>80</v>
      </c>
      <c r="D370">
        <v>79.919998168999996</v>
      </c>
      <c r="E370">
        <v>50</v>
      </c>
      <c r="F370">
        <v>15.000806808</v>
      </c>
      <c r="G370">
        <v>1355.1427002</v>
      </c>
      <c r="H370">
        <v>1349.1574707</v>
      </c>
      <c r="I370">
        <v>1298.5999756000001</v>
      </c>
      <c r="J370">
        <v>1282.7130127</v>
      </c>
      <c r="K370">
        <v>2400</v>
      </c>
      <c r="L370">
        <v>0</v>
      </c>
      <c r="M370">
        <v>0</v>
      </c>
      <c r="N370">
        <v>2400</v>
      </c>
    </row>
    <row r="371" spans="1:14" x14ac:dyDescent="0.25">
      <c r="A371">
        <v>106.627129</v>
      </c>
      <c r="B371" s="1">
        <f>DATE(2010,8,15) + TIME(15,3,3)</f>
        <v>40405.627118055556</v>
      </c>
      <c r="C371">
        <v>80</v>
      </c>
      <c r="D371">
        <v>79.920089722</v>
      </c>
      <c r="E371">
        <v>50</v>
      </c>
      <c r="F371">
        <v>15.000983238</v>
      </c>
      <c r="G371">
        <v>1355.1301269999999</v>
      </c>
      <c r="H371">
        <v>1349.1467285000001</v>
      </c>
      <c r="I371">
        <v>1298.6060791</v>
      </c>
      <c r="J371">
        <v>1282.7180175999999</v>
      </c>
      <c r="K371">
        <v>2400</v>
      </c>
      <c r="L371">
        <v>0</v>
      </c>
      <c r="M371">
        <v>0</v>
      </c>
      <c r="N371">
        <v>2400</v>
      </c>
    </row>
    <row r="372" spans="1:14" x14ac:dyDescent="0.25">
      <c r="A372">
        <v>107.524801</v>
      </c>
      <c r="B372" s="1">
        <f>DATE(2010,8,16) + TIME(12,35,42)</f>
        <v>40406.524791666663</v>
      </c>
      <c r="C372">
        <v>80</v>
      </c>
      <c r="D372">
        <v>79.920158385999997</v>
      </c>
      <c r="E372">
        <v>50</v>
      </c>
      <c r="F372">
        <v>15.001218796</v>
      </c>
      <c r="G372">
        <v>1355.1047363</v>
      </c>
      <c r="H372">
        <v>1349.1247559000001</v>
      </c>
      <c r="I372">
        <v>1298.6181641000001</v>
      </c>
      <c r="J372">
        <v>1282.7277832</v>
      </c>
      <c r="K372">
        <v>2400</v>
      </c>
      <c r="L372">
        <v>0</v>
      </c>
      <c r="M372">
        <v>0</v>
      </c>
      <c r="N372">
        <v>2400</v>
      </c>
    </row>
    <row r="373" spans="1:14" x14ac:dyDescent="0.25">
      <c r="A373">
        <v>108.43295999999999</v>
      </c>
      <c r="B373" s="1">
        <f>DATE(2010,8,17) + TIME(10,23,27)</f>
        <v>40407.432951388888</v>
      </c>
      <c r="C373">
        <v>80</v>
      </c>
      <c r="D373">
        <v>79.920234679999993</v>
      </c>
      <c r="E373">
        <v>50</v>
      </c>
      <c r="F373">
        <v>15.001509666</v>
      </c>
      <c r="G373">
        <v>1355.0793457</v>
      </c>
      <c r="H373">
        <v>1349.1027832</v>
      </c>
      <c r="I373">
        <v>1298.6306152</v>
      </c>
      <c r="J373">
        <v>1282.7376709</v>
      </c>
      <c r="K373">
        <v>2400</v>
      </c>
      <c r="L373">
        <v>0</v>
      </c>
      <c r="M373">
        <v>0</v>
      </c>
      <c r="N373">
        <v>2400</v>
      </c>
    </row>
    <row r="374" spans="1:14" x14ac:dyDescent="0.25">
      <c r="A374">
        <v>109.35334</v>
      </c>
      <c r="B374" s="1">
        <f>DATE(2010,8,18) + TIME(8,28,48)</f>
        <v>40408.353333333333</v>
      </c>
      <c r="C374">
        <v>80</v>
      </c>
      <c r="D374">
        <v>79.920310974000003</v>
      </c>
      <c r="E374">
        <v>50</v>
      </c>
      <c r="F374">
        <v>15.001858711000001</v>
      </c>
      <c r="G374">
        <v>1355.0539550999999</v>
      </c>
      <c r="H374">
        <v>1349.0808105000001</v>
      </c>
      <c r="I374">
        <v>1298.6431885</v>
      </c>
      <c r="J374">
        <v>1282.7479248</v>
      </c>
      <c r="K374">
        <v>2400</v>
      </c>
      <c r="L374">
        <v>0</v>
      </c>
      <c r="M374">
        <v>0</v>
      </c>
      <c r="N374">
        <v>2400</v>
      </c>
    </row>
    <row r="375" spans="1:14" x14ac:dyDescent="0.25">
      <c r="A375">
        <v>110.28696100000001</v>
      </c>
      <c r="B375" s="1">
        <f>DATE(2010,8,19) + TIME(6,53,13)</f>
        <v>40409.286956018521</v>
      </c>
      <c r="C375">
        <v>80</v>
      </c>
      <c r="D375">
        <v>79.920387267999999</v>
      </c>
      <c r="E375">
        <v>50</v>
      </c>
      <c r="F375">
        <v>15.002274513</v>
      </c>
      <c r="G375">
        <v>1355.0283202999999</v>
      </c>
      <c r="H375">
        <v>1349.0585937999999</v>
      </c>
      <c r="I375">
        <v>1298.6563721</v>
      </c>
      <c r="J375">
        <v>1282.7584228999999</v>
      </c>
      <c r="K375">
        <v>2400</v>
      </c>
      <c r="L375">
        <v>0</v>
      </c>
      <c r="M375">
        <v>0</v>
      </c>
      <c r="N375">
        <v>2400</v>
      </c>
    </row>
    <row r="376" spans="1:14" x14ac:dyDescent="0.25">
      <c r="A376">
        <v>110.754402</v>
      </c>
      <c r="B376" s="1">
        <f>DATE(2010,8,19) + TIME(18,6,20)</f>
        <v>40409.75439814815</v>
      </c>
      <c r="C376">
        <v>80</v>
      </c>
      <c r="D376">
        <v>79.920410156000003</v>
      </c>
      <c r="E376">
        <v>50</v>
      </c>
      <c r="F376">
        <v>15.002605438</v>
      </c>
      <c r="G376">
        <v>1355.0021973</v>
      </c>
      <c r="H376">
        <v>1349.0360106999999</v>
      </c>
      <c r="I376">
        <v>1298.6696777</v>
      </c>
      <c r="J376">
        <v>1282.769043</v>
      </c>
      <c r="K376">
        <v>2400</v>
      </c>
      <c r="L376">
        <v>0</v>
      </c>
      <c r="M376">
        <v>0</v>
      </c>
      <c r="N376">
        <v>2400</v>
      </c>
    </row>
    <row r="377" spans="1:14" x14ac:dyDescent="0.25">
      <c r="A377">
        <v>111.221844</v>
      </c>
      <c r="B377" s="1">
        <f>DATE(2010,8,20) + TIME(5,19,27)</f>
        <v>40410.22184027778</v>
      </c>
      <c r="C377">
        <v>80</v>
      </c>
      <c r="D377">
        <v>79.920440674000005</v>
      </c>
      <c r="E377">
        <v>50</v>
      </c>
      <c r="F377">
        <v>15.002933501999999</v>
      </c>
      <c r="G377">
        <v>1354.9892577999999</v>
      </c>
      <c r="H377">
        <v>1349.0247803</v>
      </c>
      <c r="I377">
        <v>1298.6766356999999</v>
      </c>
      <c r="J377">
        <v>1282.7745361</v>
      </c>
      <c r="K377">
        <v>2400</v>
      </c>
      <c r="L377">
        <v>0</v>
      </c>
      <c r="M377">
        <v>0</v>
      </c>
      <c r="N377">
        <v>2400</v>
      </c>
    </row>
    <row r="378" spans="1:14" x14ac:dyDescent="0.25">
      <c r="A378">
        <v>111.689285</v>
      </c>
      <c r="B378" s="1">
        <f>DATE(2010,8,20) + TIME(16,32,34)</f>
        <v>40410.689282407409</v>
      </c>
      <c r="C378">
        <v>80</v>
      </c>
      <c r="D378">
        <v>79.920478821000003</v>
      </c>
      <c r="E378">
        <v>50</v>
      </c>
      <c r="F378">
        <v>15.003270149</v>
      </c>
      <c r="G378">
        <v>1354.9764404</v>
      </c>
      <c r="H378">
        <v>1349.0136719</v>
      </c>
      <c r="I378">
        <v>1298.6835937999999</v>
      </c>
      <c r="J378">
        <v>1282.7800293</v>
      </c>
      <c r="K378">
        <v>2400</v>
      </c>
      <c r="L378">
        <v>0</v>
      </c>
      <c r="M378">
        <v>0</v>
      </c>
      <c r="N378">
        <v>2400</v>
      </c>
    </row>
    <row r="379" spans="1:14" x14ac:dyDescent="0.25">
      <c r="A379">
        <v>112.156727</v>
      </c>
      <c r="B379" s="1">
        <f>DATE(2010,8,21) + TIME(3,45,41)</f>
        <v>40411.156724537039</v>
      </c>
      <c r="C379">
        <v>80</v>
      </c>
      <c r="D379">
        <v>79.920509338000002</v>
      </c>
      <c r="E379">
        <v>50</v>
      </c>
      <c r="F379">
        <v>15.003623009</v>
      </c>
      <c r="G379">
        <v>1354.9636230000001</v>
      </c>
      <c r="H379">
        <v>1349.0025635</v>
      </c>
      <c r="I379">
        <v>1298.6905518000001</v>
      </c>
      <c r="J379">
        <v>1282.7856445</v>
      </c>
      <c r="K379">
        <v>2400</v>
      </c>
      <c r="L379">
        <v>0</v>
      </c>
      <c r="M379">
        <v>0</v>
      </c>
      <c r="N379">
        <v>2400</v>
      </c>
    </row>
    <row r="380" spans="1:14" x14ac:dyDescent="0.25">
      <c r="A380">
        <v>112.624168</v>
      </c>
      <c r="B380" s="1">
        <f>DATE(2010,8,21) + TIME(14,58,48)</f>
        <v>40411.624166666668</v>
      </c>
      <c r="C380">
        <v>80</v>
      </c>
      <c r="D380">
        <v>79.920547485</v>
      </c>
      <c r="E380">
        <v>50</v>
      </c>
      <c r="F380">
        <v>15.003994942</v>
      </c>
      <c r="G380">
        <v>1354.9508057</v>
      </c>
      <c r="H380">
        <v>1348.9914550999999</v>
      </c>
      <c r="I380">
        <v>1298.6976318</v>
      </c>
      <c r="J380">
        <v>1282.7912598</v>
      </c>
      <c r="K380">
        <v>2400</v>
      </c>
      <c r="L380">
        <v>0</v>
      </c>
      <c r="M380">
        <v>0</v>
      </c>
      <c r="N380">
        <v>2400</v>
      </c>
    </row>
    <row r="381" spans="1:14" x14ac:dyDescent="0.25">
      <c r="A381">
        <v>113.09161</v>
      </c>
      <c r="B381" s="1">
        <f>DATE(2010,8,22) + TIME(2,11,55)</f>
        <v>40412.091608796298</v>
      </c>
      <c r="C381">
        <v>80</v>
      </c>
      <c r="D381">
        <v>79.920585631999998</v>
      </c>
      <c r="E381">
        <v>50</v>
      </c>
      <c r="F381">
        <v>15.004393578</v>
      </c>
      <c r="G381">
        <v>1354.9381103999999</v>
      </c>
      <c r="H381">
        <v>1348.9804687999999</v>
      </c>
      <c r="I381">
        <v>1298.7047118999999</v>
      </c>
      <c r="J381">
        <v>1282.7969971</v>
      </c>
      <c r="K381">
        <v>2400</v>
      </c>
      <c r="L381">
        <v>0</v>
      </c>
      <c r="M381">
        <v>0</v>
      </c>
      <c r="N381">
        <v>2400</v>
      </c>
    </row>
    <row r="382" spans="1:14" x14ac:dyDescent="0.25">
      <c r="A382">
        <v>113.559051</v>
      </c>
      <c r="B382" s="1">
        <f>DATE(2010,8,22) + TIME(13,25,2)</f>
        <v>40412.559050925927</v>
      </c>
      <c r="C382">
        <v>80</v>
      </c>
      <c r="D382">
        <v>79.920623778999996</v>
      </c>
      <c r="E382">
        <v>50</v>
      </c>
      <c r="F382">
        <v>15.00481987</v>
      </c>
      <c r="G382">
        <v>1354.9254149999999</v>
      </c>
      <c r="H382">
        <v>1348.9693603999999</v>
      </c>
      <c r="I382">
        <v>1298.7119141000001</v>
      </c>
      <c r="J382">
        <v>1282.8026123</v>
      </c>
      <c r="K382">
        <v>2400</v>
      </c>
      <c r="L382">
        <v>0</v>
      </c>
      <c r="M382">
        <v>0</v>
      </c>
      <c r="N382">
        <v>2400</v>
      </c>
    </row>
    <row r="383" spans="1:14" x14ac:dyDescent="0.25">
      <c r="A383">
        <v>114.026493</v>
      </c>
      <c r="B383" s="1">
        <f>DATE(2010,8,23) + TIME(0,38,8)</f>
        <v>40413.02648148148</v>
      </c>
      <c r="C383">
        <v>80</v>
      </c>
      <c r="D383">
        <v>79.920661925999994</v>
      </c>
      <c r="E383">
        <v>50</v>
      </c>
      <c r="F383">
        <v>15.005277634</v>
      </c>
      <c r="G383">
        <v>1354.9128418</v>
      </c>
      <c r="H383">
        <v>1348.9584961</v>
      </c>
      <c r="I383">
        <v>1298.7192382999999</v>
      </c>
      <c r="J383">
        <v>1282.8084716999999</v>
      </c>
      <c r="K383">
        <v>2400</v>
      </c>
      <c r="L383">
        <v>0</v>
      </c>
      <c r="M383">
        <v>0</v>
      </c>
      <c r="N383">
        <v>2400</v>
      </c>
    </row>
    <row r="384" spans="1:14" x14ac:dyDescent="0.25">
      <c r="A384">
        <v>114.493934</v>
      </c>
      <c r="B384" s="1">
        <f>DATE(2010,8,23) + TIME(11,51,15)</f>
        <v>40413.493923611109</v>
      </c>
      <c r="C384">
        <v>80</v>
      </c>
      <c r="D384">
        <v>79.920700073000006</v>
      </c>
      <c r="E384">
        <v>50</v>
      </c>
      <c r="F384">
        <v>15.005770683</v>
      </c>
      <c r="G384">
        <v>1354.9002685999999</v>
      </c>
      <c r="H384">
        <v>1348.9475098</v>
      </c>
      <c r="I384">
        <v>1298.7265625</v>
      </c>
      <c r="J384">
        <v>1282.8142089999999</v>
      </c>
      <c r="K384">
        <v>2400</v>
      </c>
      <c r="L384">
        <v>0</v>
      </c>
      <c r="M384">
        <v>0</v>
      </c>
      <c r="N384">
        <v>2400</v>
      </c>
    </row>
    <row r="385" spans="1:14" x14ac:dyDescent="0.25">
      <c r="A385">
        <v>114.961376</v>
      </c>
      <c r="B385" s="1">
        <f>DATE(2010,8,23) + TIME(23,4,22)</f>
        <v>40413.961365740739</v>
      </c>
      <c r="C385">
        <v>80</v>
      </c>
      <c r="D385">
        <v>79.920738220000004</v>
      </c>
      <c r="E385">
        <v>50</v>
      </c>
      <c r="F385">
        <v>15.006302834</v>
      </c>
      <c r="G385">
        <v>1354.8876952999999</v>
      </c>
      <c r="H385">
        <v>1348.9366454999999</v>
      </c>
      <c r="I385">
        <v>1298.7338867000001</v>
      </c>
      <c r="J385">
        <v>1282.8200684000001</v>
      </c>
      <c r="K385">
        <v>2400</v>
      </c>
      <c r="L385">
        <v>0</v>
      </c>
      <c r="M385">
        <v>0</v>
      </c>
      <c r="N385">
        <v>2400</v>
      </c>
    </row>
    <row r="386" spans="1:14" x14ac:dyDescent="0.25">
      <c r="A386">
        <v>115.428817</v>
      </c>
      <c r="B386" s="1">
        <f>DATE(2010,8,24) + TIME(10,17,29)</f>
        <v>40414.428807870368</v>
      </c>
      <c r="C386">
        <v>80</v>
      </c>
      <c r="D386">
        <v>79.920768738000007</v>
      </c>
      <c r="E386">
        <v>50</v>
      </c>
      <c r="F386">
        <v>15.006875038</v>
      </c>
      <c r="G386">
        <v>1354.8751221</v>
      </c>
      <c r="H386">
        <v>1348.9256591999999</v>
      </c>
      <c r="I386">
        <v>1298.7414550999999</v>
      </c>
      <c r="J386">
        <v>1282.8260498</v>
      </c>
      <c r="K386">
        <v>2400</v>
      </c>
      <c r="L386">
        <v>0</v>
      </c>
      <c r="M386">
        <v>0</v>
      </c>
      <c r="N386">
        <v>2400</v>
      </c>
    </row>
    <row r="387" spans="1:14" x14ac:dyDescent="0.25">
      <c r="A387">
        <v>115.896259</v>
      </c>
      <c r="B387" s="1">
        <f>DATE(2010,8,24) + TIME(21,30,36)</f>
        <v>40414.896249999998</v>
      </c>
      <c r="C387">
        <v>80</v>
      </c>
      <c r="D387">
        <v>79.920806885000005</v>
      </c>
      <c r="E387">
        <v>50</v>
      </c>
      <c r="F387">
        <v>15.007492064999999</v>
      </c>
      <c r="G387">
        <v>1354.8626709</v>
      </c>
      <c r="H387">
        <v>1348.9149170000001</v>
      </c>
      <c r="I387">
        <v>1298.7490233999999</v>
      </c>
      <c r="J387">
        <v>1282.8319091999999</v>
      </c>
      <c r="K387">
        <v>2400</v>
      </c>
      <c r="L387">
        <v>0</v>
      </c>
      <c r="M387">
        <v>0</v>
      </c>
      <c r="N387">
        <v>2400</v>
      </c>
    </row>
    <row r="388" spans="1:14" x14ac:dyDescent="0.25">
      <c r="A388">
        <v>116.36369999999999</v>
      </c>
      <c r="B388" s="1">
        <f>DATE(2010,8,25) + TIME(8,43,43)</f>
        <v>40415.363692129627</v>
      </c>
      <c r="C388">
        <v>80</v>
      </c>
      <c r="D388">
        <v>79.920845032000003</v>
      </c>
      <c r="E388">
        <v>50</v>
      </c>
      <c r="F388">
        <v>15.008156776</v>
      </c>
      <c r="G388">
        <v>1354.8502197</v>
      </c>
      <c r="H388">
        <v>1348.9040527</v>
      </c>
      <c r="I388">
        <v>1298.7565918</v>
      </c>
      <c r="J388">
        <v>1282.8380127</v>
      </c>
      <c r="K388">
        <v>2400</v>
      </c>
      <c r="L388">
        <v>0</v>
      </c>
      <c r="M388">
        <v>0</v>
      </c>
      <c r="N388">
        <v>2400</v>
      </c>
    </row>
    <row r="389" spans="1:14" x14ac:dyDescent="0.25">
      <c r="A389">
        <v>116.831142</v>
      </c>
      <c r="B389" s="1">
        <f>DATE(2010,8,25) + TIME(19,56,50)</f>
        <v>40415.831134259257</v>
      </c>
      <c r="C389">
        <v>80</v>
      </c>
      <c r="D389">
        <v>79.920883179</v>
      </c>
      <c r="E389">
        <v>50</v>
      </c>
      <c r="F389">
        <v>15.008872986</v>
      </c>
      <c r="G389">
        <v>1354.8378906</v>
      </c>
      <c r="H389">
        <v>1348.8933105000001</v>
      </c>
      <c r="I389">
        <v>1298.7642822</v>
      </c>
      <c r="J389">
        <v>1282.8439940999999</v>
      </c>
      <c r="K389">
        <v>2400</v>
      </c>
      <c r="L389">
        <v>0</v>
      </c>
      <c r="M389">
        <v>0</v>
      </c>
      <c r="N389">
        <v>2400</v>
      </c>
    </row>
    <row r="390" spans="1:14" x14ac:dyDescent="0.25">
      <c r="A390">
        <v>117.766025</v>
      </c>
      <c r="B390" s="1">
        <f>DATE(2010,8,26) + TIME(18,23,4)</f>
        <v>40416.766018518516</v>
      </c>
      <c r="C390">
        <v>80</v>
      </c>
      <c r="D390">
        <v>79.920974731000001</v>
      </c>
      <c r="E390">
        <v>50</v>
      </c>
      <c r="F390">
        <v>15.010016440999999</v>
      </c>
      <c r="G390">
        <v>1354.8256836</v>
      </c>
      <c r="H390">
        <v>1348.8826904</v>
      </c>
      <c r="I390">
        <v>1298.7720947</v>
      </c>
      <c r="J390">
        <v>1282.8503418</v>
      </c>
      <c r="K390">
        <v>2400</v>
      </c>
      <c r="L390">
        <v>0</v>
      </c>
      <c r="M390">
        <v>0</v>
      </c>
      <c r="N390">
        <v>2400</v>
      </c>
    </row>
    <row r="391" spans="1:14" x14ac:dyDescent="0.25">
      <c r="A391">
        <v>118.70371400000001</v>
      </c>
      <c r="B391" s="1">
        <f>DATE(2010,8,27) + TIME(16,53,20)</f>
        <v>40417.703703703701</v>
      </c>
      <c r="C391">
        <v>80</v>
      </c>
      <c r="D391">
        <v>79.921051024999997</v>
      </c>
      <c r="E391">
        <v>50</v>
      </c>
      <c r="F391">
        <v>15.011541367</v>
      </c>
      <c r="G391">
        <v>1354.8011475000001</v>
      </c>
      <c r="H391">
        <v>1348.8614502</v>
      </c>
      <c r="I391">
        <v>1298.7878418</v>
      </c>
      <c r="J391">
        <v>1282.8626709</v>
      </c>
      <c r="K391">
        <v>2400</v>
      </c>
      <c r="L391">
        <v>0</v>
      </c>
      <c r="M391">
        <v>0</v>
      </c>
      <c r="N391">
        <v>2400</v>
      </c>
    </row>
    <row r="392" spans="1:14" x14ac:dyDescent="0.25">
      <c r="A392">
        <v>119.654912</v>
      </c>
      <c r="B392" s="1">
        <f>DATE(2010,8,28) + TIME(15,43,4)</f>
        <v>40418.654907407406</v>
      </c>
      <c r="C392">
        <v>80</v>
      </c>
      <c r="D392">
        <v>79.921134949000006</v>
      </c>
      <c r="E392">
        <v>50</v>
      </c>
      <c r="F392">
        <v>15.013412475999999</v>
      </c>
      <c r="G392">
        <v>1354.7766113</v>
      </c>
      <c r="H392">
        <v>1348.8400879000001</v>
      </c>
      <c r="I392">
        <v>1298.8039550999999</v>
      </c>
      <c r="J392">
        <v>1282.8752440999999</v>
      </c>
      <c r="K392">
        <v>2400</v>
      </c>
      <c r="L392">
        <v>0</v>
      </c>
      <c r="M392">
        <v>0</v>
      </c>
      <c r="N392">
        <v>2400</v>
      </c>
    </row>
    <row r="393" spans="1:14" x14ac:dyDescent="0.25">
      <c r="A393">
        <v>120.136855</v>
      </c>
      <c r="B393" s="1">
        <f>DATE(2010,8,29) + TIME(3,17,4)</f>
        <v>40419.13685185185</v>
      </c>
      <c r="C393">
        <v>80</v>
      </c>
      <c r="D393">
        <v>79.921165466000005</v>
      </c>
      <c r="E393">
        <v>50</v>
      </c>
      <c r="F393">
        <v>15.014923096</v>
      </c>
      <c r="G393">
        <v>1354.7517089999999</v>
      </c>
      <c r="H393">
        <v>1348.8183594</v>
      </c>
      <c r="I393">
        <v>1298.8206786999999</v>
      </c>
      <c r="J393">
        <v>1282.8880615</v>
      </c>
      <c r="K393">
        <v>2400</v>
      </c>
      <c r="L393">
        <v>0</v>
      </c>
      <c r="M393">
        <v>0</v>
      </c>
      <c r="N393">
        <v>2400</v>
      </c>
    </row>
    <row r="394" spans="1:14" x14ac:dyDescent="0.25">
      <c r="A394">
        <v>120.618797</v>
      </c>
      <c r="B394" s="1">
        <f>DATE(2010,8,29) + TIME(14,51,4)</f>
        <v>40419.618796296294</v>
      </c>
      <c r="C394">
        <v>80</v>
      </c>
      <c r="D394">
        <v>79.921195983999993</v>
      </c>
      <c r="E394">
        <v>50</v>
      </c>
      <c r="F394">
        <v>15.016421318000001</v>
      </c>
      <c r="G394">
        <v>1354.7391356999999</v>
      </c>
      <c r="H394">
        <v>1348.8073730000001</v>
      </c>
      <c r="I394">
        <v>1298.8293457</v>
      </c>
      <c r="J394">
        <v>1282.8948975000001</v>
      </c>
      <c r="K394">
        <v>2400</v>
      </c>
      <c r="L394">
        <v>0</v>
      </c>
      <c r="M394">
        <v>0</v>
      </c>
      <c r="N394">
        <v>2400</v>
      </c>
    </row>
    <row r="395" spans="1:14" x14ac:dyDescent="0.25">
      <c r="A395">
        <v>121.100739</v>
      </c>
      <c r="B395" s="1">
        <f>DATE(2010,8,30) + TIME(2,25,3)</f>
        <v>40420.100729166668</v>
      </c>
      <c r="C395">
        <v>80</v>
      </c>
      <c r="D395">
        <v>79.921234131000006</v>
      </c>
      <c r="E395">
        <v>50</v>
      </c>
      <c r="F395">
        <v>15.017950058</v>
      </c>
      <c r="G395">
        <v>1354.7266846</v>
      </c>
      <c r="H395">
        <v>1348.7965088000001</v>
      </c>
      <c r="I395">
        <v>1298.8380127</v>
      </c>
      <c r="J395">
        <v>1282.9017334</v>
      </c>
      <c r="K395">
        <v>2400</v>
      </c>
      <c r="L395">
        <v>0</v>
      </c>
      <c r="M395">
        <v>0</v>
      </c>
      <c r="N395">
        <v>2400</v>
      </c>
    </row>
    <row r="396" spans="1:14" x14ac:dyDescent="0.25">
      <c r="A396">
        <v>121.58268099999999</v>
      </c>
      <c r="B396" s="1">
        <f>DATE(2010,8,30) + TIME(13,59,3)</f>
        <v>40420.582673611112</v>
      </c>
      <c r="C396">
        <v>80</v>
      </c>
      <c r="D396">
        <v>79.921272278000004</v>
      </c>
      <c r="E396">
        <v>50</v>
      </c>
      <c r="F396">
        <v>15.019542694</v>
      </c>
      <c r="G396">
        <v>1354.7142334</v>
      </c>
      <c r="H396">
        <v>1348.7857666</v>
      </c>
      <c r="I396">
        <v>1298.8469238</v>
      </c>
      <c r="J396">
        <v>1282.9086914</v>
      </c>
      <c r="K396">
        <v>2400</v>
      </c>
      <c r="L396">
        <v>0</v>
      </c>
      <c r="M396">
        <v>0</v>
      </c>
      <c r="N396">
        <v>2400</v>
      </c>
    </row>
    <row r="397" spans="1:14" x14ac:dyDescent="0.25">
      <c r="A397">
        <v>122.064623</v>
      </c>
      <c r="B397" s="1">
        <f>DATE(2010,8,31) + TIME(1,33,3)</f>
        <v>40421.064618055556</v>
      </c>
      <c r="C397">
        <v>80</v>
      </c>
      <c r="D397">
        <v>79.921310425000001</v>
      </c>
      <c r="E397">
        <v>50</v>
      </c>
      <c r="F397">
        <v>15.021221161</v>
      </c>
      <c r="G397">
        <v>1354.7019043</v>
      </c>
      <c r="H397">
        <v>1348.7749022999999</v>
      </c>
      <c r="I397">
        <v>1298.8558350000001</v>
      </c>
      <c r="J397">
        <v>1282.9156493999999</v>
      </c>
      <c r="K397">
        <v>2400</v>
      </c>
      <c r="L397">
        <v>0</v>
      </c>
      <c r="M397">
        <v>0</v>
      </c>
      <c r="N397">
        <v>2400</v>
      </c>
    </row>
    <row r="398" spans="1:14" x14ac:dyDescent="0.25">
      <c r="A398">
        <v>123</v>
      </c>
      <c r="B398" s="1">
        <f>DATE(2010,9,1) + TIME(0,0,0)</f>
        <v>40422</v>
      </c>
      <c r="C398">
        <v>80</v>
      </c>
      <c r="D398">
        <v>79.921394348000007</v>
      </c>
      <c r="E398">
        <v>50</v>
      </c>
      <c r="F398">
        <v>15.023812294000001</v>
      </c>
      <c r="G398">
        <v>1354.6896973</v>
      </c>
      <c r="H398">
        <v>1348.7644043</v>
      </c>
      <c r="I398">
        <v>1298.8648682</v>
      </c>
      <c r="J398">
        <v>1282.9228516000001</v>
      </c>
      <c r="K398">
        <v>2400</v>
      </c>
      <c r="L398">
        <v>0</v>
      </c>
      <c r="M398">
        <v>0</v>
      </c>
      <c r="N398">
        <v>2400</v>
      </c>
    </row>
    <row r="399" spans="1:14" x14ac:dyDescent="0.25">
      <c r="A399">
        <v>123.481942</v>
      </c>
      <c r="B399" s="1">
        <f>DATE(2010,9,1) + TIME(11,33,59)</f>
        <v>40422.481932870367</v>
      </c>
      <c r="C399">
        <v>80</v>
      </c>
      <c r="D399">
        <v>79.921432495000005</v>
      </c>
      <c r="E399">
        <v>50</v>
      </c>
      <c r="F399">
        <v>15.02613163</v>
      </c>
      <c r="G399">
        <v>1354.6657714999999</v>
      </c>
      <c r="H399">
        <v>1348.7434082</v>
      </c>
      <c r="I399">
        <v>1298.8826904</v>
      </c>
      <c r="J399">
        <v>1282.9365233999999</v>
      </c>
      <c r="K399">
        <v>2400</v>
      </c>
      <c r="L399">
        <v>0</v>
      </c>
      <c r="M399">
        <v>0</v>
      </c>
      <c r="N399">
        <v>2400</v>
      </c>
    </row>
    <row r="400" spans="1:14" x14ac:dyDescent="0.25">
      <c r="A400">
        <v>123.95962900000001</v>
      </c>
      <c r="B400" s="1">
        <f>DATE(2010,9,1) + TIME(23,1,51)</f>
        <v>40422.959618055553</v>
      </c>
      <c r="C400">
        <v>80</v>
      </c>
      <c r="D400">
        <v>79.921463012999993</v>
      </c>
      <c r="E400">
        <v>50</v>
      </c>
      <c r="F400">
        <v>15.028471947</v>
      </c>
      <c r="G400">
        <v>1354.6534423999999</v>
      </c>
      <c r="H400">
        <v>1348.7326660000001</v>
      </c>
      <c r="I400">
        <v>1298.8920897999999</v>
      </c>
      <c r="J400">
        <v>1282.9438477000001</v>
      </c>
      <c r="K400">
        <v>2400</v>
      </c>
      <c r="L400">
        <v>0</v>
      </c>
      <c r="M400">
        <v>0</v>
      </c>
      <c r="N400">
        <v>2400</v>
      </c>
    </row>
    <row r="401" spans="1:14" x14ac:dyDescent="0.25">
      <c r="A401">
        <v>124.43688899999999</v>
      </c>
      <c r="B401" s="1">
        <f>DATE(2010,9,2) + TIME(10,29,7)</f>
        <v>40423.436886574076</v>
      </c>
      <c r="C401">
        <v>80</v>
      </c>
      <c r="D401">
        <v>79.921501160000005</v>
      </c>
      <c r="E401">
        <v>50</v>
      </c>
      <c r="F401">
        <v>15.030892372</v>
      </c>
      <c r="G401">
        <v>1354.6413574000001</v>
      </c>
      <c r="H401">
        <v>1348.7220459</v>
      </c>
      <c r="I401">
        <v>1298.9014893000001</v>
      </c>
      <c r="J401">
        <v>1282.9512939000001</v>
      </c>
      <c r="K401">
        <v>2400</v>
      </c>
      <c r="L401">
        <v>0</v>
      </c>
      <c r="M401">
        <v>0</v>
      </c>
      <c r="N401">
        <v>2400</v>
      </c>
    </row>
    <row r="402" spans="1:14" x14ac:dyDescent="0.25">
      <c r="A402">
        <v>125.390322</v>
      </c>
      <c r="B402" s="1">
        <f>DATE(2010,9,3) + TIME(9,22,3)</f>
        <v>40424.3903125</v>
      </c>
      <c r="C402">
        <v>80</v>
      </c>
      <c r="D402">
        <v>79.921592712000006</v>
      </c>
      <c r="E402">
        <v>50</v>
      </c>
      <c r="F402">
        <v>15.034638405000001</v>
      </c>
      <c r="G402">
        <v>1354.6295166</v>
      </c>
      <c r="H402">
        <v>1348.7117920000001</v>
      </c>
      <c r="I402">
        <v>1298.9108887</v>
      </c>
      <c r="J402">
        <v>1282.9588623</v>
      </c>
      <c r="K402">
        <v>2400</v>
      </c>
      <c r="L402">
        <v>0</v>
      </c>
      <c r="M402">
        <v>0</v>
      </c>
      <c r="N402">
        <v>2400</v>
      </c>
    </row>
    <row r="403" spans="1:14" x14ac:dyDescent="0.25">
      <c r="A403">
        <v>126.34592600000001</v>
      </c>
      <c r="B403" s="1">
        <f>DATE(2010,9,4) + TIME(8,18,7)</f>
        <v>40425.345914351848</v>
      </c>
      <c r="C403">
        <v>80</v>
      </c>
      <c r="D403">
        <v>79.921676636000001</v>
      </c>
      <c r="E403">
        <v>50</v>
      </c>
      <c r="F403">
        <v>15.039505005000001</v>
      </c>
      <c r="G403">
        <v>1354.6055908000001</v>
      </c>
      <c r="H403">
        <v>1348.690918</v>
      </c>
      <c r="I403">
        <v>1298.9301757999999</v>
      </c>
      <c r="J403">
        <v>1282.9738769999999</v>
      </c>
      <c r="K403">
        <v>2400</v>
      </c>
      <c r="L403">
        <v>0</v>
      </c>
      <c r="M403">
        <v>0</v>
      </c>
      <c r="N403">
        <v>2400</v>
      </c>
    </row>
    <row r="404" spans="1:14" x14ac:dyDescent="0.25">
      <c r="A404">
        <v>127.310879</v>
      </c>
      <c r="B404" s="1">
        <f>DATE(2010,9,5) + TIME(7,27,39)</f>
        <v>40426.310868055552</v>
      </c>
      <c r="C404">
        <v>80</v>
      </c>
      <c r="D404">
        <v>79.921752929999997</v>
      </c>
      <c r="E404">
        <v>50</v>
      </c>
      <c r="F404">
        <v>15.045373916999999</v>
      </c>
      <c r="G404">
        <v>1354.5816649999999</v>
      </c>
      <c r="H404">
        <v>1348.6699219</v>
      </c>
      <c r="I404">
        <v>1298.9499512</v>
      </c>
      <c r="J404">
        <v>1282.9892577999999</v>
      </c>
      <c r="K404">
        <v>2400</v>
      </c>
      <c r="L404">
        <v>0</v>
      </c>
      <c r="M404">
        <v>0</v>
      </c>
      <c r="N404">
        <v>2400</v>
      </c>
    </row>
    <row r="405" spans="1:14" x14ac:dyDescent="0.25">
      <c r="A405">
        <v>128.287665</v>
      </c>
      <c r="B405" s="1">
        <f>DATE(2010,9,6) + TIME(6,54,14)</f>
        <v>40427.287662037037</v>
      </c>
      <c r="C405">
        <v>80</v>
      </c>
      <c r="D405">
        <v>79.921836853000002</v>
      </c>
      <c r="E405">
        <v>50</v>
      </c>
      <c r="F405">
        <v>15.052270889000001</v>
      </c>
      <c r="G405">
        <v>1354.5576172000001</v>
      </c>
      <c r="H405">
        <v>1348.6489257999999</v>
      </c>
      <c r="I405">
        <v>1298.9704589999999</v>
      </c>
      <c r="J405">
        <v>1283.005249</v>
      </c>
      <c r="K405">
        <v>2400</v>
      </c>
      <c r="L405">
        <v>0</v>
      </c>
      <c r="M405">
        <v>0</v>
      </c>
      <c r="N405">
        <v>2400</v>
      </c>
    </row>
    <row r="406" spans="1:14" x14ac:dyDescent="0.25">
      <c r="A406">
        <v>128.776252</v>
      </c>
      <c r="B406" s="1">
        <f>DATE(2010,9,6) + TIME(18,37,48)</f>
        <v>40427.776250000003</v>
      </c>
      <c r="C406">
        <v>80</v>
      </c>
      <c r="D406">
        <v>79.921867371000005</v>
      </c>
      <c r="E406">
        <v>50</v>
      </c>
      <c r="F406">
        <v>15.05769825</v>
      </c>
      <c r="G406">
        <v>1354.5333252</v>
      </c>
      <c r="H406">
        <v>1348.6276855000001</v>
      </c>
      <c r="I406">
        <v>1298.9921875</v>
      </c>
      <c r="J406">
        <v>1283.0216064000001</v>
      </c>
      <c r="K406">
        <v>2400</v>
      </c>
      <c r="L406">
        <v>0</v>
      </c>
      <c r="M406">
        <v>0</v>
      </c>
      <c r="N406">
        <v>2400</v>
      </c>
    </row>
    <row r="407" spans="1:14" x14ac:dyDescent="0.25">
      <c r="A407">
        <v>129.264838</v>
      </c>
      <c r="B407" s="1">
        <f>DATE(2010,9,7) + TIME(6,21,22)</f>
        <v>40428.264837962961</v>
      </c>
      <c r="C407">
        <v>80</v>
      </c>
      <c r="D407">
        <v>79.921905518000003</v>
      </c>
      <c r="E407">
        <v>50</v>
      </c>
      <c r="F407">
        <v>15.063011168999999</v>
      </c>
      <c r="G407">
        <v>1354.5211182</v>
      </c>
      <c r="H407">
        <v>1348.6169434000001</v>
      </c>
      <c r="I407">
        <v>1299.0030518000001</v>
      </c>
      <c r="J407">
        <v>1283.0302733999999</v>
      </c>
      <c r="K407">
        <v>2400</v>
      </c>
      <c r="L407">
        <v>0</v>
      </c>
      <c r="M407">
        <v>0</v>
      </c>
      <c r="N407">
        <v>2400</v>
      </c>
    </row>
    <row r="408" spans="1:14" x14ac:dyDescent="0.25">
      <c r="A408">
        <v>129.75342499999999</v>
      </c>
      <c r="B408" s="1">
        <f>DATE(2010,9,7) + TIME(18,4,55)</f>
        <v>40428.75341435185</v>
      </c>
      <c r="C408">
        <v>80</v>
      </c>
      <c r="D408">
        <v>79.921936035000002</v>
      </c>
      <c r="E408">
        <v>50</v>
      </c>
      <c r="F408">
        <v>15.068378448000001</v>
      </c>
      <c r="G408">
        <v>1354.5090332</v>
      </c>
      <c r="H408">
        <v>1348.6064452999999</v>
      </c>
      <c r="I408">
        <v>1299.0140381000001</v>
      </c>
      <c r="J408">
        <v>1283.0390625</v>
      </c>
      <c r="K408">
        <v>2400</v>
      </c>
      <c r="L408">
        <v>0</v>
      </c>
      <c r="M408">
        <v>0</v>
      </c>
      <c r="N408">
        <v>2400</v>
      </c>
    </row>
    <row r="409" spans="1:14" x14ac:dyDescent="0.25">
      <c r="A409">
        <v>130.24201199999999</v>
      </c>
      <c r="B409" s="1">
        <f>DATE(2010,9,8) + TIME(5,48,29)</f>
        <v>40429.242002314815</v>
      </c>
      <c r="C409">
        <v>80</v>
      </c>
      <c r="D409">
        <v>79.921974182</v>
      </c>
      <c r="E409">
        <v>50</v>
      </c>
      <c r="F409">
        <v>15.073918343000001</v>
      </c>
      <c r="G409">
        <v>1354.4970702999999</v>
      </c>
      <c r="H409">
        <v>1348.5958252</v>
      </c>
      <c r="I409">
        <v>1299.0252685999999</v>
      </c>
      <c r="J409">
        <v>1283.0479736</v>
      </c>
      <c r="K409">
        <v>2400</v>
      </c>
      <c r="L409">
        <v>0</v>
      </c>
      <c r="M409">
        <v>0</v>
      </c>
      <c r="N409">
        <v>2400</v>
      </c>
    </row>
    <row r="410" spans="1:14" x14ac:dyDescent="0.25">
      <c r="A410">
        <v>130.73059900000001</v>
      </c>
      <c r="B410" s="1">
        <f>DATE(2010,9,8) + TIME(17,32,3)</f>
        <v>40429.730590277781</v>
      </c>
      <c r="C410">
        <v>80</v>
      </c>
      <c r="D410">
        <v>79.922019958000007</v>
      </c>
      <c r="E410">
        <v>50</v>
      </c>
      <c r="F410">
        <v>15.079712868</v>
      </c>
      <c r="G410">
        <v>1354.4851074000001</v>
      </c>
      <c r="H410">
        <v>1348.5853271000001</v>
      </c>
      <c r="I410">
        <v>1299.0367432</v>
      </c>
      <c r="J410">
        <v>1283.0570068</v>
      </c>
      <c r="K410">
        <v>2400</v>
      </c>
      <c r="L410">
        <v>0</v>
      </c>
      <c r="M410">
        <v>0</v>
      </c>
      <c r="N410">
        <v>2400</v>
      </c>
    </row>
    <row r="411" spans="1:14" x14ac:dyDescent="0.25">
      <c r="A411">
        <v>131.21918600000001</v>
      </c>
      <c r="B411" s="1">
        <f>DATE(2010,9,9) + TIME(5,15,37)</f>
        <v>40430.219178240739</v>
      </c>
      <c r="C411">
        <v>80</v>
      </c>
      <c r="D411">
        <v>79.922058105000005</v>
      </c>
      <c r="E411">
        <v>50</v>
      </c>
      <c r="F411">
        <v>15.085824013</v>
      </c>
      <c r="G411">
        <v>1354.4731445</v>
      </c>
      <c r="H411">
        <v>1348.5748291</v>
      </c>
      <c r="I411">
        <v>1299.0483397999999</v>
      </c>
      <c r="J411">
        <v>1283.0661620999999</v>
      </c>
      <c r="K411">
        <v>2400</v>
      </c>
      <c r="L411">
        <v>0</v>
      </c>
      <c r="M411">
        <v>0</v>
      </c>
      <c r="N411">
        <v>2400</v>
      </c>
    </row>
    <row r="412" spans="1:14" x14ac:dyDescent="0.25">
      <c r="A412">
        <v>131.70769000000001</v>
      </c>
      <c r="B412" s="1">
        <f>DATE(2010,9,9) + TIME(16,59,4)</f>
        <v>40430.707685185182</v>
      </c>
      <c r="C412">
        <v>80</v>
      </c>
      <c r="D412">
        <v>79.922096252000003</v>
      </c>
      <c r="E412">
        <v>50</v>
      </c>
      <c r="F412">
        <v>15.092301368999999</v>
      </c>
      <c r="G412">
        <v>1354.4611815999999</v>
      </c>
      <c r="H412">
        <v>1348.5644531</v>
      </c>
      <c r="I412">
        <v>1299.0600586</v>
      </c>
      <c r="J412">
        <v>1283.0754394999999</v>
      </c>
      <c r="K412">
        <v>2400</v>
      </c>
      <c r="L412">
        <v>0</v>
      </c>
      <c r="M412">
        <v>0</v>
      </c>
      <c r="N412">
        <v>2400</v>
      </c>
    </row>
    <row r="413" spans="1:14" x14ac:dyDescent="0.25">
      <c r="A413">
        <v>132.19548499999999</v>
      </c>
      <c r="B413" s="1">
        <f>DATE(2010,9,10) + TIME(4,41,29)</f>
        <v>40431.195474537039</v>
      </c>
      <c r="C413">
        <v>80</v>
      </c>
      <c r="D413">
        <v>79.922134399000001</v>
      </c>
      <c r="E413">
        <v>50</v>
      </c>
      <c r="F413">
        <v>15.099181175</v>
      </c>
      <c r="G413">
        <v>1354.4493408000001</v>
      </c>
      <c r="H413">
        <v>1348.5539550999999</v>
      </c>
      <c r="I413">
        <v>1299.0720214999999</v>
      </c>
      <c r="J413">
        <v>1283.0849608999999</v>
      </c>
      <c r="K413">
        <v>2400</v>
      </c>
      <c r="L413">
        <v>0</v>
      </c>
      <c r="M413">
        <v>0</v>
      </c>
      <c r="N413">
        <v>2400</v>
      </c>
    </row>
    <row r="414" spans="1:14" x14ac:dyDescent="0.25">
      <c r="A414">
        <v>132.68268800000001</v>
      </c>
      <c r="B414" s="1">
        <f>DATE(2010,9,10) + TIME(16,23,4)</f>
        <v>40431.682685185187</v>
      </c>
      <c r="C414">
        <v>80</v>
      </c>
      <c r="D414">
        <v>79.922172545999999</v>
      </c>
      <c r="E414">
        <v>50</v>
      </c>
      <c r="F414">
        <v>15.106497765</v>
      </c>
      <c r="G414">
        <v>1354.4375</v>
      </c>
      <c r="H414">
        <v>1348.5435791</v>
      </c>
      <c r="I414">
        <v>1299.0841064000001</v>
      </c>
      <c r="J414">
        <v>1283.0944824000001</v>
      </c>
      <c r="K414">
        <v>2400</v>
      </c>
      <c r="L414">
        <v>0</v>
      </c>
      <c r="M414">
        <v>0</v>
      </c>
      <c r="N414">
        <v>2400</v>
      </c>
    </row>
    <row r="415" spans="1:14" x14ac:dyDescent="0.25">
      <c r="A415">
        <v>133.16938500000001</v>
      </c>
      <c r="B415" s="1">
        <f>DATE(2010,9,11) + TIME(4,3,54)</f>
        <v>40432.169374999998</v>
      </c>
      <c r="C415">
        <v>80</v>
      </c>
      <c r="D415">
        <v>79.922218322999996</v>
      </c>
      <c r="E415">
        <v>50</v>
      </c>
      <c r="F415">
        <v>15.114285469</v>
      </c>
      <c r="G415">
        <v>1354.4256591999999</v>
      </c>
      <c r="H415">
        <v>1348.5332031</v>
      </c>
      <c r="I415">
        <v>1299.0963135</v>
      </c>
      <c r="J415">
        <v>1283.1042480000001</v>
      </c>
      <c r="K415">
        <v>2400</v>
      </c>
      <c r="L415">
        <v>0</v>
      </c>
      <c r="M415">
        <v>0</v>
      </c>
      <c r="N415">
        <v>2400</v>
      </c>
    </row>
    <row r="416" spans="1:14" x14ac:dyDescent="0.25">
      <c r="A416">
        <v>133.655675</v>
      </c>
      <c r="B416" s="1">
        <f>DATE(2010,9,11) + TIME(15,44,10)</f>
        <v>40432.655671296299</v>
      </c>
      <c r="C416">
        <v>80</v>
      </c>
      <c r="D416">
        <v>79.922256469999994</v>
      </c>
      <c r="E416">
        <v>50</v>
      </c>
      <c r="F416">
        <v>15.122578621000001</v>
      </c>
      <c r="G416">
        <v>1354.4138184000001</v>
      </c>
      <c r="H416">
        <v>1348.5228271000001</v>
      </c>
      <c r="I416">
        <v>1299.1087646000001</v>
      </c>
      <c r="J416">
        <v>1283.1142577999999</v>
      </c>
      <c r="K416">
        <v>2400</v>
      </c>
      <c r="L416">
        <v>0</v>
      </c>
      <c r="M416">
        <v>0</v>
      </c>
      <c r="N416">
        <v>2400</v>
      </c>
    </row>
    <row r="417" spans="1:14" x14ac:dyDescent="0.25">
      <c r="A417">
        <v>134.14164</v>
      </c>
      <c r="B417" s="1">
        <f>DATE(2010,9,12) + TIME(3,23,57)</f>
        <v>40433.141631944447</v>
      </c>
      <c r="C417">
        <v>80</v>
      </c>
      <c r="D417">
        <v>79.922294617000006</v>
      </c>
      <c r="E417">
        <v>50</v>
      </c>
      <c r="F417">
        <v>15.131409645</v>
      </c>
      <c r="G417">
        <v>1354.4020995999999</v>
      </c>
      <c r="H417">
        <v>1348.5124512</v>
      </c>
      <c r="I417">
        <v>1299.1213379000001</v>
      </c>
      <c r="J417">
        <v>1283.1242675999999</v>
      </c>
      <c r="K417">
        <v>2400</v>
      </c>
      <c r="L417">
        <v>0</v>
      </c>
      <c r="M417">
        <v>0</v>
      </c>
      <c r="N417">
        <v>2400</v>
      </c>
    </row>
    <row r="418" spans="1:14" x14ac:dyDescent="0.25">
      <c r="A418">
        <v>134.62739500000001</v>
      </c>
      <c r="B418" s="1">
        <f>DATE(2010,9,12) + TIME(15,3,26)</f>
        <v>40433.627384259256</v>
      </c>
      <c r="C418">
        <v>80</v>
      </c>
      <c r="D418">
        <v>79.922332764000004</v>
      </c>
      <c r="E418">
        <v>50</v>
      </c>
      <c r="F418">
        <v>15.140814781</v>
      </c>
      <c r="G418">
        <v>1354.3903809000001</v>
      </c>
      <c r="H418">
        <v>1348.5021973</v>
      </c>
      <c r="I418">
        <v>1299.1341553</v>
      </c>
      <c r="J418">
        <v>1283.1346435999999</v>
      </c>
      <c r="K418">
        <v>2400</v>
      </c>
      <c r="L418">
        <v>0</v>
      </c>
      <c r="M418">
        <v>0</v>
      </c>
      <c r="N418">
        <v>2400</v>
      </c>
    </row>
    <row r="419" spans="1:14" x14ac:dyDescent="0.25">
      <c r="A419">
        <v>135.113057</v>
      </c>
      <c r="B419" s="1">
        <f>DATE(2010,9,13) + TIME(2,42,48)</f>
        <v>40434.113055555557</v>
      </c>
      <c r="C419">
        <v>80</v>
      </c>
      <c r="D419">
        <v>79.922378539999997</v>
      </c>
      <c r="E419">
        <v>50</v>
      </c>
      <c r="F419">
        <v>15.150829314999999</v>
      </c>
      <c r="G419">
        <v>1354.3787841999999</v>
      </c>
      <c r="H419">
        <v>1348.4919434000001</v>
      </c>
      <c r="I419">
        <v>1299.1470947</v>
      </c>
      <c r="J419">
        <v>1283.1450195</v>
      </c>
      <c r="K419">
        <v>2400</v>
      </c>
      <c r="L419">
        <v>0</v>
      </c>
      <c r="M419">
        <v>0</v>
      </c>
      <c r="N419">
        <v>2400</v>
      </c>
    </row>
    <row r="420" spans="1:14" x14ac:dyDescent="0.25">
      <c r="A420">
        <v>136.084383</v>
      </c>
      <c r="B420" s="1">
        <f>DATE(2010,9,14) + TIME(2,1,30)</f>
        <v>40435.084374999999</v>
      </c>
      <c r="C420">
        <v>80</v>
      </c>
      <c r="D420">
        <v>79.922470093000001</v>
      </c>
      <c r="E420">
        <v>50</v>
      </c>
      <c r="F420">
        <v>15.166522026000001</v>
      </c>
      <c r="G420">
        <v>1354.3673096</v>
      </c>
      <c r="H420">
        <v>1348.4818115</v>
      </c>
      <c r="I420">
        <v>1299.1593018000001</v>
      </c>
      <c r="J420">
        <v>1283.15625</v>
      </c>
      <c r="K420">
        <v>2400</v>
      </c>
      <c r="L420">
        <v>0</v>
      </c>
      <c r="M420">
        <v>0</v>
      </c>
      <c r="N420">
        <v>2400</v>
      </c>
    </row>
    <row r="421" spans="1:14" x14ac:dyDescent="0.25">
      <c r="A421">
        <v>137.05806799999999</v>
      </c>
      <c r="B421" s="1">
        <f>DATE(2010,9,15) + TIME(1,23,37)</f>
        <v>40436.058067129627</v>
      </c>
      <c r="C421">
        <v>80</v>
      </c>
      <c r="D421">
        <v>79.922554016000007</v>
      </c>
      <c r="E421">
        <v>50</v>
      </c>
      <c r="F421">
        <v>15.187238692999999</v>
      </c>
      <c r="G421">
        <v>1354.3441161999999</v>
      </c>
      <c r="H421">
        <v>1348.4614257999999</v>
      </c>
      <c r="I421">
        <v>1299.1862793</v>
      </c>
      <c r="J421">
        <v>1283.1777344</v>
      </c>
      <c r="K421">
        <v>2400</v>
      </c>
      <c r="L421">
        <v>0</v>
      </c>
      <c r="M421">
        <v>0</v>
      </c>
      <c r="N421">
        <v>2400</v>
      </c>
    </row>
    <row r="422" spans="1:14" x14ac:dyDescent="0.25">
      <c r="A422">
        <v>138.04801699999999</v>
      </c>
      <c r="B422" s="1">
        <f>DATE(2010,9,16) + TIME(1,9,8)</f>
        <v>40437.048009259262</v>
      </c>
      <c r="C422">
        <v>80</v>
      </c>
      <c r="D422">
        <v>79.922637938999998</v>
      </c>
      <c r="E422">
        <v>50</v>
      </c>
      <c r="F422">
        <v>15.212232589999999</v>
      </c>
      <c r="G422">
        <v>1354.3209228999999</v>
      </c>
      <c r="H422">
        <v>1348.4410399999999</v>
      </c>
      <c r="I422">
        <v>1299.2139893000001</v>
      </c>
      <c r="J422">
        <v>1283.2003173999999</v>
      </c>
      <c r="K422">
        <v>2400</v>
      </c>
      <c r="L422">
        <v>0</v>
      </c>
      <c r="M422">
        <v>0</v>
      </c>
      <c r="N422">
        <v>2400</v>
      </c>
    </row>
    <row r="423" spans="1:14" x14ac:dyDescent="0.25">
      <c r="A423">
        <v>139.042777</v>
      </c>
      <c r="B423" s="1">
        <f>DATE(2010,9,17) + TIME(1,1,35)</f>
        <v>40438.042766203704</v>
      </c>
      <c r="C423">
        <v>80</v>
      </c>
      <c r="D423">
        <v>79.922714232999994</v>
      </c>
      <c r="E423">
        <v>50</v>
      </c>
      <c r="F423">
        <v>15.241337776</v>
      </c>
      <c r="G423">
        <v>1354.2974853999999</v>
      </c>
      <c r="H423">
        <v>1348.4204102000001</v>
      </c>
      <c r="I423">
        <v>1299.2427978999999</v>
      </c>
      <c r="J423">
        <v>1283.2242432</v>
      </c>
      <c r="K423">
        <v>2400</v>
      </c>
      <c r="L423">
        <v>0</v>
      </c>
      <c r="M423">
        <v>0</v>
      </c>
      <c r="N423">
        <v>2400</v>
      </c>
    </row>
    <row r="424" spans="1:14" x14ac:dyDescent="0.25">
      <c r="A424">
        <v>139.54330100000001</v>
      </c>
      <c r="B424" s="1">
        <f>DATE(2010,9,17) + TIME(13,2,21)</f>
        <v>40438.543298611112</v>
      </c>
      <c r="C424">
        <v>80</v>
      </c>
      <c r="D424">
        <v>79.922752380000006</v>
      </c>
      <c r="E424">
        <v>50</v>
      </c>
      <c r="F424">
        <v>15.264156342</v>
      </c>
      <c r="G424">
        <v>1354.2739257999999</v>
      </c>
      <c r="H424">
        <v>1348.3995361</v>
      </c>
      <c r="I424">
        <v>1299.2745361</v>
      </c>
      <c r="J424">
        <v>1283.2485352000001</v>
      </c>
      <c r="K424">
        <v>2400</v>
      </c>
      <c r="L424">
        <v>0</v>
      </c>
      <c r="M424">
        <v>0</v>
      </c>
      <c r="N424">
        <v>2400</v>
      </c>
    </row>
    <row r="425" spans="1:14" x14ac:dyDescent="0.25">
      <c r="A425">
        <v>140.49685199999999</v>
      </c>
      <c r="B425" s="1">
        <f>DATE(2010,9,18) + TIME(11,55,27)</f>
        <v>40439.496840277781</v>
      </c>
      <c r="C425">
        <v>80</v>
      </c>
      <c r="D425">
        <v>79.922836304</v>
      </c>
      <c r="E425">
        <v>50</v>
      </c>
      <c r="F425">
        <v>15.295778275</v>
      </c>
      <c r="G425">
        <v>1354.2620850000001</v>
      </c>
      <c r="H425">
        <v>1348.3891602000001</v>
      </c>
      <c r="I425">
        <v>1299.2878418</v>
      </c>
      <c r="J425">
        <v>1283.2628173999999</v>
      </c>
      <c r="K425">
        <v>2400</v>
      </c>
      <c r="L425">
        <v>0</v>
      </c>
      <c r="M425">
        <v>0</v>
      </c>
      <c r="N425">
        <v>2400</v>
      </c>
    </row>
    <row r="426" spans="1:14" x14ac:dyDescent="0.25">
      <c r="A426">
        <v>141.49153699999999</v>
      </c>
      <c r="B426" s="1">
        <f>DATE(2010,9,19) + TIME(11,47,48)</f>
        <v>40440.491527777776</v>
      </c>
      <c r="C426">
        <v>80</v>
      </c>
      <c r="D426">
        <v>79.922920227000006</v>
      </c>
      <c r="E426">
        <v>50</v>
      </c>
      <c r="F426">
        <v>15.333778381</v>
      </c>
      <c r="G426">
        <v>1354.2397461</v>
      </c>
      <c r="H426">
        <v>1348.3693848</v>
      </c>
      <c r="I426">
        <v>1299.3178711</v>
      </c>
      <c r="J426">
        <v>1283.2885742000001</v>
      </c>
      <c r="K426">
        <v>2400</v>
      </c>
      <c r="L426">
        <v>0</v>
      </c>
      <c r="M426">
        <v>0</v>
      </c>
      <c r="N426">
        <v>2400</v>
      </c>
    </row>
    <row r="427" spans="1:14" x14ac:dyDescent="0.25">
      <c r="A427">
        <v>141.990005</v>
      </c>
      <c r="B427" s="1">
        <f>DATE(2010,9,19) + TIME(23,45,36)</f>
        <v>40440.99</v>
      </c>
      <c r="C427">
        <v>80</v>
      </c>
      <c r="D427">
        <v>79.922950744999994</v>
      </c>
      <c r="E427">
        <v>50</v>
      </c>
      <c r="F427">
        <v>15.363970757000001</v>
      </c>
      <c r="G427">
        <v>1354.2163086</v>
      </c>
      <c r="H427">
        <v>1348.3486327999999</v>
      </c>
      <c r="I427">
        <v>1299.3527832</v>
      </c>
      <c r="J427">
        <v>1283.3154297000001</v>
      </c>
      <c r="K427">
        <v>2400</v>
      </c>
      <c r="L427">
        <v>0</v>
      </c>
      <c r="M427">
        <v>0</v>
      </c>
      <c r="N427">
        <v>2400</v>
      </c>
    </row>
    <row r="428" spans="1:14" x14ac:dyDescent="0.25">
      <c r="A428">
        <v>142.488473</v>
      </c>
      <c r="B428" s="1">
        <f>DATE(2010,9,20) + TIME(11,43,24)</f>
        <v>40441.48847222222</v>
      </c>
      <c r="C428">
        <v>80</v>
      </c>
      <c r="D428">
        <v>79.922988892000006</v>
      </c>
      <c r="E428">
        <v>50</v>
      </c>
      <c r="F428">
        <v>15.393276215</v>
      </c>
      <c r="G428">
        <v>1354.2045897999999</v>
      </c>
      <c r="H428">
        <v>1348.3382568</v>
      </c>
      <c r="I428">
        <v>1299.3687743999999</v>
      </c>
      <c r="J428">
        <v>1283.3306885</v>
      </c>
      <c r="K428">
        <v>2400</v>
      </c>
      <c r="L428">
        <v>0</v>
      </c>
      <c r="M428">
        <v>0</v>
      </c>
      <c r="N428">
        <v>2400</v>
      </c>
    </row>
    <row r="429" spans="1:14" x14ac:dyDescent="0.25">
      <c r="A429">
        <v>142.98623599999999</v>
      </c>
      <c r="B429" s="1">
        <f>DATE(2010,9,20) + TIME(23,40,10)</f>
        <v>40441.986226851855</v>
      </c>
      <c r="C429">
        <v>80</v>
      </c>
      <c r="D429">
        <v>79.923027039000004</v>
      </c>
      <c r="E429">
        <v>50</v>
      </c>
      <c r="F429">
        <v>15.422607422</v>
      </c>
      <c r="G429">
        <v>1354.1929932</v>
      </c>
      <c r="H429">
        <v>1348.3278809000001</v>
      </c>
      <c r="I429">
        <v>1299.3851318</v>
      </c>
      <c r="J429">
        <v>1283.3460693</v>
      </c>
      <c r="K429">
        <v>2400</v>
      </c>
      <c r="L429">
        <v>0</v>
      </c>
      <c r="M429">
        <v>0</v>
      </c>
      <c r="N429">
        <v>2400</v>
      </c>
    </row>
    <row r="430" spans="1:14" x14ac:dyDescent="0.25">
      <c r="A430">
        <v>143.48253399999999</v>
      </c>
      <c r="B430" s="1">
        <f>DATE(2010,9,21) + TIME(11,34,50)</f>
        <v>40442.482523148145</v>
      </c>
      <c r="C430">
        <v>80</v>
      </c>
      <c r="D430">
        <v>79.923065186000002</v>
      </c>
      <c r="E430">
        <v>50</v>
      </c>
      <c r="F430">
        <v>15.452548027000001</v>
      </c>
      <c r="G430">
        <v>1354.1812743999999</v>
      </c>
      <c r="H430">
        <v>1348.3176269999999</v>
      </c>
      <c r="I430">
        <v>1299.4019774999999</v>
      </c>
      <c r="J430">
        <v>1283.3616943</v>
      </c>
      <c r="K430">
        <v>2400</v>
      </c>
      <c r="L430">
        <v>0</v>
      </c>
      <c r="M430">
        <v>0</v>
      </c>
      <c r="N430">
        <v>2400</v>
      </c>
    </row>
    <row r="431" spans="1:14" x14ac:dyDescent="0.25">
      <c r="A431">
        <v>143.97762499999999</v>
      </c>
      <c r="B431" s="1">
        <f>DATE(2010,9,21) + TIME(23,27,46)</f>
        <v>40442.97761574074</v>
      </c>
      <c r="C431">
        <v>80</v>
      </c>
      <c r="D431">
        <v>79.923110961999996</v>
      </c>
      <c r="E431">
        <v>50</v>
      </c>
      <c r="F431">
        <v>15.483517646999999</v>
      </c>
      <c r="G431">
        <v>1354.1697998</v>
      </c>
      <c r="H431">
        <v>1348.3073730000001</v>
      </c>
      <c r="I431">
        <v>1299.4190673999999</v>
      </c>
      <c r="J431">
        <v>1283.3775635</v>
      </c>
      <c r="K431">
        <v>2400</v>
      </c>
      <c r="L431">
        <v>0</v>
      </c>
      <c r="M431">
        <v>0</v>
      </c>
      <c r="N431">
        <v>2400</v>
      </c>
    </row>
    <row r="432" spans="1:14" x14ac:dyDescent="0.25">
      <c r="A432">
        <v>144.471767</v>
      </c>
      <c r="B432" s="1">
        <f>DATE(2010,9,22) + TIME(11,19,20)</f>
        <v>40443.471759259257</v>
      </c>
      <c r="C432">
        <v>80</v>
      </c>
      <c r="D432">
        <v>79.923149108999993</v>
      </c>
      <c r="E432">
        <v>50</v>
      </c>
      <c r="F432">
        <v>15.515811920000001</v>
      </c>
      <c r="G432">
        <v>1354.1583252</v>
      </c>
      <c r="H432">
        <v>1348.2971190999999</v>
      </c>
      <c r="I432">
        <v>1299.4364014</v>
      </c>
      <c r="J432">
        <v>1283.3937988</v>
      </c>
      <c r="K432">
        <v>2400</v>
      </c>
      <c r="L432">
        <v>0</v>
      </c>
      <c r="M432">
        <v>0</v>
      </c>
      <c r="N432">
        <v>2400</v>
      </c>
    </row>
    <row r="433" spans="1:14" x14ac:dyDescent="0.25">
      <c r="A433">
        <v>144.96521899999999</v>
      </c>
      <c r="B433" s="1">
        <f>DATE(2010,9,22) + TIME(23,9,54)</f>
        <v>40443.965208333335</v>
      </c>
      <c r="C433">
        <v>80</v>
      </c>
      <c r="D433">
        <v>79.923187256000006</v>
      </c>
      <c r="E433">
        <v>50</v>
      </c>
      <c r="F433">
        <v>15.549654961</v>
      </c>
      <c r="G433">
        <v>1354.1468506000001</v>
      </c>
      <c r="H433">
        <v>1348.2869873</v>
      </c>
      <c r="I433">
        <v>1299.4541016000001</v>
      </c>
      <c r="J433">
        <v>1283.4104004000001</v>
      </c>
      <c r="K433">
        <v>2400</v>
      </c>
      <c r="L433">
        <v>0</v>
      </c>
      <c r="M433">
        <v>0</v>
      </c>
      <c r="N433">
        <v>2400</v>
      </c>
    </row>
    <row r="434" spans="1:14" x14ac:dyDescent="0.25">
      <c r="A434">
        <v>145.45817500000001</v>
      </c>
      <c r="B434" s="1">
        <f>DATE(2010,9,23) + TIME(10,59,46)</f>
        <v>40444.458171296297</v>
      </c>
      <c r="C434">
        <v>80</v>
      </c>
      <c r="D434">
        <v>79.923233031999999</v>
      </c>
      <c r="E434">
        <v>50</v>
      </c>
      <c r="F434">
        <v>15.585225104999999</v>
      </c>
      <c r="G434">
        <v>1354.135376</v>
      </c>
      <c r="H434">
        <v>1348.2768555</v>
      </c>
      <c r="I434">
        <v>1299.4719238</v>
      </c>
      <c r="J434">
        <v>1283.4274902</v>
      </c>
      <c r="K434">
        <v>2400</v>
      </c>
      <c r="L434">
        <v>0</v>
      </c>
      <c r="M434">
        <v>0</v>
      </c>
      <c r="N434">
        <v>2400</v>
      </c>
    </row>
    <row r="435" spans="1:14" x14ac:dyDescent="0.25">
      <c r="A435">
        <v>145.95092099999999</v>
      </c>
      <c r="B435" s="1">
        <f>DATE(2010,9,23) + TIME(22,49,19)</f>
        <v>40444.950914351852</v>
      </c>
      <c r="C435">
        <v>80</v>
      </c>
      <c r="D435">
        <v>79.923271178999997</v>
      </c>
      <c r="E435">
        <v>50</v>
      </c>
      <c r="F435">
        <v>15.622676848999999</v>
      </c>
      <c r="G435">
        <v>1354.1239014</v>
      </c>
      <c r="H435">
        <v>1348.2667236</v>
      </c>
      <c r="I435">
        <v>1299.4899902</v>
      </c>
      <c r="J435">
        <v>1283.4448242000001</v>
      </c>
      <c r="K435">
        <v>2400</v>
      </c>
      <c r="L435">
        <v>0</v>
      </c>
      <c r="M435">
        <v>0</v>
      </c>
      <c r="N435">
        <v>2400</v>
      </c>
    </row>
    <row r="436" spans="1:14" x14ac:dyDescent="0.25">
      <c r="A436">
        <v>146.443667</v>
      </c>
      <c r="B436" s="1">
        <f>DATE(2010,9,24) + TIME(10,38,52)</f>
        <v>40445.443657407406</v>
      </c>
      <c r="C436">
        <v>80</v>
      </c>
      <c r="D436">
        <v>79.923309325999995</v>
      </c>
      <c r="E436">
        <v>50</v>
      </c>
      <c r="F436">
        <v>15.66215229</v>
      </c>
      <c r="G436">
        <v>1354.1125488</v>
      </c>
      <c r="H436">
        <v>1348.2565918</v>
      </c>
      <c r="I436">
        <v>1299.5083007999999</v>
      </c>
      <c r="J436">
        <v>1283.4627685999999</v>
      </c>
      <c r="K436">
        <v>2400</v>
      </c>
      <c r="L436">
        <v>0</v>
      </c>
      <c r="M436">
        <v>0</v>
      </c>
      <c r="N436">
        <v>2400</v>
      </c>
    </row>
    <row r="437" spans="1:14" x14ac:dyDescent="0.25">
      <c r="A437">
        <v>146.93641299999999</v>
      </c>
      <c r="B437" s="1">
        <f>DATE(2010,9,24) + TIME(22,28,26)</f>
        <v>40445.936412037037</v>
      </c>
      <c r="C437">
        <v>80</v>
      </c>
      <c r="D437">
        <v>79.923355103000006</v>
      </c>
      <c r="E437">
        <v>50</v>
      </c>
      <c r="F437">
        <v>15.703774451999999</v>
      </c>
      <c r="G437">
        <v>1354.1011963000001</v>
      </c>
      <c r="H437">
        <v>1348.2464600000001</v>
      </c>
      <c r="I437">
        <v>1299.5268555</v>
      </c>
      <c r="J437">
        <v>1283.4810791</v>
      </c>
      <c r="K437">
        <v>2400</v>
      </c>
      <c r="L437">
        <v>0</v>
      </c>
      <c r="M437">
        <v>0</v>
      </c>
      <c r="N437">
        <v>2400</v>
      </c>
    </row>
    <row r="438" spans="1:14" x14ac:dyDescent="0.25">
      <c r="A438">
        <v>147.429159</v>
      </c>
      <c r="B438" s="1">
        <f>DATE(2010,9,25) + TIME(10,17,59)</f>
        <v>40446.429155092592</v>
      </c>
      <c r="C438">
        <v>80</v>
      </c>
      <c r="D438">
        <v>79.923393250000004</v>
      </c>
      <c r="E438">
        <v>50</v>
      </c>
      <c r="F438">
        <v>15.747657776</v>
      </c>
      <c r="G438">
        <v>1354.0898437999999</v>
      </c>
      <c r="H438">
        <v>1348.2363281</v>
      </c>
      <c r="I438">
        <v>1299.5456543</v>
      </c>
      <c r="J438">
        <v>1283.4997559000001</v>
      </c>
      <c r="K438">
        <v>2400</v>
      </c>
      <c r="L438">
        <v>0</v>
      </c>
      <c r="M438">
        <v>0</v>
      </c>
      <c r="N438">
        <v>2400</v>
      </c>
    </row>
    <row r="439" spans="1:14" x14ac:dyDescent="0.25">
      <c r="A439">
        <v>147.92190500000001</v>
      </c>
      <c r="B439" s="1">
        <f>DATE(2010,9,25) + TIME(22,7,32)</f>
        <v>40446.921898148146</v>
      </c>
      <c r="C439">
        <v>80</v>
      </c>
      <c r="D439">
        <v>79.923431395999998</v>
      </c>
      <c r="E439">
        <v>50</v>
      </c>
      <c r="F439">
        <v>15.793914794999999</v>
      </c>
      <c r="G439">
        <v>1354.0784911999999</v>
      </c>
      <c r="H439">
        <v>1348.2261963000001</v>
      </c>
      <c r="I439">
        <v>1299.5646973</v>
      </c>
      <c r="J439">
        <v>1283.519043</v>
      </c>
      <c r="K439">
        <v>2400</v>
      </c>
      <c r="L439">
        <v>0</v>
      </c>
      <c r="M439">
        <v>0</v>
      </c>
      <c r="N439">
        <v>2400</v>
      </c>
    </row>
    <row r="440" spans="1:14" x14ac:dyDescent="0.25">
      <c r="A440">
        <v>148.41465099999999</v>
      </c>
      <c r="B440" s="1">
        <f>DATE(2010,9,26) + TIME(9,57,5)</f>
        <v>40447.414641203701</v>
      </c>
      <c r="C440">
        <v>80</v>
      </c>
      <c r="D440">
        <v>79.923477172999995</v>
      </c>
      <c r="E440">
        <v>50</v>
      </c>
      <c r="F440">
        <v>15.842654228000001</v>
      </c>
      <c r="G440">
        <v>1354.0671387</v>
      </c>
      <c r="H440">
        <v>1348.2161865</v>
      </c>
      <c r="I440">
        <v>1299.5839844</v>
      </c>
      <c r="J440">
        <v>1283.5388184000001</v>
      </c>
      <c r="K440">
        <v>2400</v>
      </c>
      <c r="L440">
        <v>0</v>
      </c>
      <c r="M440">
        <v>0</v>
      </c>
      <c r="N440">
        <v>2400</v>
      </c>
    </row>
    <row r="441" spans="1:14" x14ac:dyDescent="0.25">
      <c r="A441">
        <v>149.40014300000001</v>
      </c>
      <c r="B441" s="1">
        <f>DATE(2010,9,27) + TIME(9,36,12)</f>
        <v>40448.400138888886</v>
      </c>
      <c r="C441">
        <v>80</v>
      </c>
      <c r="D441">
        <v>79.923568725999999</v>
      </c>
      <c r="E441">
        <v>50</v>
      </c>
      <c r="F441">
        <v>15.917692184</v>
      </c>
      <c r="G441">
        <v>1354.0560303</v>
      </c>
      <c r="H441">
        <v>1348.2062988</v>
      </c>
      <c r="I441">
        <v>1299.598999</v>
      </c>
      <c r="J441">
        <v>1283.5611572</v>
      </c>
      <c r="K441">
        <v>2400</v>
      </c>
      <c r="L441">
        <v>0</v>
      </c>
      <c r="M441">
        <v>0</v>
      </c>
      <c r="N441">
        <v>2400</v>
      </c>
    </row>
    <row r="442" spans="1:14" x14ac:dyDescent="0.25">
      <c r="A442">
        <v>149.89423400000001</v>
      </c>
      <c r="B442" s="1">
        <f>DATE(2010,9,27) + TIME(21,27,41)</f>
        <v>40448.894224537034</v>
      </c>
      <c r="C442">
        <v>80</v>
      </c>
      <c r="D442">
        <v>79.923599242999998</v>
      </c>
      <c r="E442">
        <v>50</v>
      </c>
      <c r="F442">
        <v>15.984761238000001</v>
      </c>
      <c r="G442">
        <v>1354.0333252</v>
      </c>
      <c r="H442">
        <v>1348.1861572</v>
      </c>
      <c r="I442">
        <v>1299.6455077999999</v>
      </c>
      <c r="J442">
        <v>1283.5992432</v>
      </c>
      <c r="K442">
        <v>2400</v>
      </c>
      <c r="L442">
        <v>0</v>
      </c>
      <c r="M442">
        <v>0</v>
      </c>
      <c r="N442">
        <v>2400</v>
      </c>
    </row>
    <row r="443" spans="1:14" x14ac:dyDescent="0.25">
      <c r="A443">
        <v>150.38832500000001</v>
      </c>
      <c r="B443" s="1">
        <f>DATE(2010,9,28) + TIME(9,19,11)</f>
        <v>40449.388321759259</v>
      </c>
      <c r="C443">
        <v>80</v>
      </c>
      <c r="D443">
        <v>79.923637389999996</v>
      </c>
      <c r="E443">
        <v>50</v>
      </c>
      <c r="F443">
        <v>16.050989151</v>
      </c>
      <c r="G443">
        <v>1354.0219727000001</v>
      </c>
      <c r="H443">
        <v>1348.1759033000001</v>
      </c>
      <c r="I443">
        <v>1299.6645507999999</v>
      </c>
      <c r="J443">
        <v>1283.6218262</v>
      </c>
      <c r="K443">
        <v>2400</v>
      </c>
      <c r="L443">
        <v>0</v>
      </c>
      <c r="M443">
        <v>0</v>
      </c>
      <c r="N443">
        <v>2400</v>
      </c>
    </row>
    <row r="444" spans="1:14" x14ac:dyDescent="0.25">
      <c r="A444">
        <v>150.88241500000001</v>
      </c>
      <c r="B444" s="1">
        <f>DATE(2010,9,28) + TIME(21,10,40)</f>
        <v>40449.882407407407</v>
      </c>
      <c r="C444">
        <v>80</v>
      </c>
      <c r="D444">
        <v>79.923683166999993</v>
      </c>
      <c r="E444">
        <v>50</v>
      </c>
      <c r="F444">
        <v>16.117862701</v>
      </c>
      <c r="G444">
        <v>1354.0106201000001</v>
      </c>
      <c r="H444">
        <v>1348.1657714999999</v>
      </c>
      <c r="I444">
        <v>1299.684082</v>
      </c>
      <c r="J444">
        <v>1283.6448975000001</v>
      </c>
      <c r="K444">
        <v>2400</v>
      </c>
      <c r="L444">
        <v>0</v>
      </c>
      <c r="M444">
        <v>0</v>
      </c>
      <c r="N444">
        <v>2400</v>
      </c>
    </row>
    <row r="445" spans="1:14" x14ac:dyDescent="0.25">
      <c r="A445">
        <v>151.37650600000001</v>
      </c>
      <c r="B445" s="1">
        <f>DATE(2010,9,29) + TIME(9,2,10)</f>
        <v>40450.376504629632</v>
      </c>
      <c r="C445">
        <v>80</v>
      </c>
      <c r="D445">
        <v>79.923721313000001</v>
      </c>
      <c r="E445">
        <v>50</v>
      </c>
      <c r="F445">
        <v>16.186347960999999</v>
      </c>
      <c r="G445">
        <v>1353.9993896000001</v>
      </c>
      <c r="H445">
        <v>1348.1557617000001</v>
      </c>
      <c r="I445">
        <v>1299.7041016000001</v>
      </c>
      <c r="J445">
        <v>1283.6683350000001</v>
      </c>
      <c r="K445">
        <v>2400</v>
      </c>
      <c r="L445">
        <v>0</v>
      </c>
      <c r="M445">
        <v>0</v>
      </c>
      <c r="N445">
        <v>2400</v>
      </c>
    </row>
    <row r="446" spans="1:14" x14ac:dyDescent="0.25">
      <c r="A446">
        <v>151.870597</v>
      </c>
      <c r="B446" s="1">
        <f>DATE(2010,9,29) + TIME(20,53,39)</f>
        <v>40450.87059027778</v>
      </c>
      <c r="C446">
        <v>80</v>
      </c>
      <c r="D446">
        <v>79.923759459999999</v>
      </c>
      <c r="E446">
        <v>50</v>
      </c>
      <c r="F446">
        <v>16.257087708</v>
      </c>
      <c r="G446">
        <v>1353.9880370999999</v>
      </c>
      <c r="H446">
        <v>1348.1456298999999</v>
      </c>
      <c r="I446">
        <v>1299.7244873</v>
      </c>
      <c r="J446">
        <v>1283.6922606999999</v>
      </c>
      <c r="K446">
        <v>2400</v>
      </c>
      <c r="L446">
        <v>0</v>
      </c>
      <c r="M446">
        <v>0</v>
      </c>
      <c r="N446">
        <v>2400</v>
      </c>
    </row>
    <row r="447" spans="1:14" x14ac:dyDescent="0.25">
      <c r="A447">
        <v>152.364687</v>
      </c>
      <c r="B447" s="1">
        <f>DATE(2010,9,30) + TIME(8,45,8)</f>
        <v>40451.364675925928</v>
      </c>
      <c r="C447">
        <v>80</v>
      </c>
      <c r="D447">
        <v>79.923805236999996</v>
      </c>
      <c r="E447">
        <v>50</v>
      </c>
      <c r="F447">
        <v>16.330516814999999</v>
      </c>
      <c r="G447">
        <v>1353.9768065999999</v>
      </c>
      <c r="H447">
        <v>1348.1356201000001</v>
      </c>
      <c r="I447">
        <v>1299.7451172000001</v>
      </c>
      <c r="J447">
        <v>1283.7167969</v>
      </c>
      <c r="K447">
        <v>2400</v>
      </c>
      <c r="L447">
        <v>0</v>
      </c>
      <c r="M447">
        <v>0</v>
      </c>
      <c r="N447">
        <v>2400</v>
      </c>
    </row>
    <row r="448" spans="1:14" x14ac:dyDescent="0.25">
      <c r="A448">
        <v>153</v>
      </c>
      <c r="B448" s="1">
        <f>DATE(2010,10,1) + TIME(0,0,0)</f>
        <v>40452</v>
      </c>
      <c r="C448">
        <v>80</v>
      </c>
      <c r="D448">
        <v>79.923858643000003</v>
      </c>
      <c r="E448">
        <v>50</v>
      </c>
      <c r="F448">
        <v>16.419324875000001</v>
      </c>
      <c r="G448">
        <v>1353.9655762</v>
      </c>
      <c r="H448">
        <v>1348.1256103999999</v>
      </c>
      <c r="I448">
        <v>1299.7635498</v>
      </c>
      <c r="J448">
        <v>1283.7429199000001</v>
      </c>
      <c r="K448">
        <v>2400</v>
      </c>
      <c r="L448">
        <v>0</v>
      </c>
      <c r="M448">
        <v>0</v>
      </c>
      <c r="N448">
        <v>2400</v>
      </c>
    </row>
    <row r="449" spans="1:14" x14ac:dyDescent="0.25">
      <c r="A449">
        <v>153.494091</v>
      </c>
      <c r="B449" s="1">
        <f>DATE(2010,10,1) + TIME(11,51,29)</f>
        <v>40452.494085648148</v>
      </c>
      <c r="C449">
        <v>80</v>
      </c>
      <c r="D449">
        <v>79.923896790000001</v>
      </c>
      <c r="E449">
        <v>50</v>
      </c>
      <c r="F449">
        <v>16.503383635999999</v>
      </c>
      <c r="G449">
        <v>1353.9511719</v>
      </c>
      <c r="H449">
        <v>1348.1126709</v>
      </c>
      <c r="I449">
        <v>1299.7938231999999</v>
      </c>
      <c r="J449">
        <v>1283.7745361</v>
      </c>
      <c r="K449">
        <v>2400</v>
      </c>
      <c r="L449">
        <v>0</v>
      </c>
      <c r="M449">
        <v>0</v>
      </c>
      <c r="N449">
        <v>2400</v>
      </c>
    </row>
    <row r="450" spans="1:14" x14ac:dyDescent="0.25">
      <c r="A450">
        <v>153.98594399999999</v>
      </c>
      <c r="B450" s="1">
        <f>DATE(2010,10,1) + TIME(23,39,45)</f>
        <v>40452.985937500001</v>
      </c>
      <c r="C450">
        <v>80</v>
      </c>
      <c r="D450">
        <v>79.923934936999999</v>
      </c>
      <c r="E450">
        <v>50</v>
      </c>
      <c r="F450">
        <v>16.589269638000001</v>
      </c>
      <c r="G450">
        <v>1353.9399414</v>
      </c>
      <c r="H450">
        <v>1348.1025391000001</v>
      </c>
      <c r="I450">
        <v>1299.8146973</v>
      </c>
      <c r="J450">
        <v>1283.8013916</v>
      </c>
      <c r="K450">
        <v>2400</v>
      </c>
      <c r="L450">
        <v>0</v>
      </c>
      <c r="M450">
        <v>0</v>
      </c>
      <c r="N450">
        <v>2400</v>
      </c>
    </row>
    <row r="451" spans="1:14" x14ac:dyDescent="0.25">
      <c r="A451">
        <v>154.47779700000001</v>
      </c>
      <c r="B451" s="1">
        <f>DATE(2010,10,2) + TIME(11,28,1)</f>
        <v>40453.477789351855</v>
      </c>
      <c r="C451">
        <v>80</v>
      </c>
      <c r="D451">
        <v>79.923980713000006</v>
      </c>
      <c r="E451">
        <v>50</v>
      </c>
      <c r="F451">
        <v>16.677747726</v>
      </c>
      <c r="G451">
        <v>1353.9287108999999</v>
      </c>
      <c r="H451">
        <v>1348.0925293</v>
      </c>
      <c r="I451">
        <v>1299.8356934000001</v>
      </c>
      <c r="J451">
        <v>1283.8287353999999</v>
      </c>
      <c r="K451">
        <v>2400</v>
      </c>
      <c r="L451">
        <v>0</v>
      </c>
      <c r="M451">
        <v>0</v>
      </c>
      <c r="N451">
        <v>2400</v>
      </c>
    </row>
    <row r="452" spans="1:14" x14ac:dyDescent="0.25">
      <c r="A452">
        <v>154.969651</v>
      </c>
      <c r="B452" s="1">
        <f>DATE(2010,10,2) + TIME(23,16,17)</f>
        <v>40453.969641203701</v>
      </c>
      <c r="C452">
        <v>80</v>
      </c>
      <c r="D452">
        <v>79.924018860000004</v>
      </c>
      <c r="E452">
        <v>50</v>
      </c>
      <c r="F452">
        <v>16.769210815000001</v>
      </c>
      <c r="G452">
        <v>1353.9176024999999</v>
      </c>
      <c r="H452">
        <v>1348.0825195</v>
      </c>
      <c r="I452">
        <v>1299.8568115</v>
      </c>
      <c r="J452">
        <v>1283.8566894999999</v>
      </c>
      <c r="K452">
        <v>2400</v>
      </c>
      <c r="L452">
        <v>0</v>
      </c>
      <c r="M452">
        <v>0</v>
      </c>
      <c r="N452">
        <v>2400</v>
      </c>
    </row>
    <row r="453" spans="1:14" x14ac:dyDescent="0.25">
      <c r="A453">
        <v>155.46150399999999</v>
      </c>
      <c r="B453" s="1">
        <f>DATE(2010,10,3) + TIME(11,4,33)</f>
        <v>40454.461493055554</v>
      </c>
      <c r="C453">
        <v>80</v>
      </c>
      <c r="D453">
        <v>79.924057007000002</v>
      </c>
      <c r="E453">
        <v>50</v>
      </c>
      <c r="F453">
        <v>16.863904952999999</v>
      </c>
      <c r="G453">
        <v>1353.9064940999999</v>
      </c>
      <c r="H453">
        <v>1348.0725098</v>
      </c>
      <c r="I453">
        <v>1299.8781738</v>
      </c>
      <c r="J453">
        <v>1283.8852539</v>
      </c>
      <c r="K453">
        <v>2400</v>
      </c>
      <c r="L453">
        <v>0</v>
      </c>
      <c r="M453">
        <v>0</v>
      </c>
      <c r="N453">
        <v>2400</v>
      </c>
    </row>
    <row r="454" spans="1:14" x14ac:dyDescent="0.25">
      <c r="A454">
        <v>155.95335700000001</v>
      </c>
      <c r="B454" s="1">
        <f>DATE(2010,10,3) + TIME(22,52,50)</f>
        <v>40454.953356481485</v>
      </c>
      <c r="C454">
        <v>80</v>
      </c>
      <c r="D454">
        <v>79.924102782999995</v>
      </c>
      <c r="E454">
        <v>50</v>
      </c>
      <c r="F454">
        <v>16.962001801</v>
      </c>
      <c r="G454">
        <v>1353.8952637</v>
      </c>
      <c r="H454">
        <v>1348.0626221</v>
      </c>
      <c r="I454">
        <v>1299.8996582</v>
      </c>
      <c r="J454">
        <v>1283.9145507999999</v>
      </c>
      <c r="K454">
        <v>2400</v>
      </c>
      <c r="L454">
        <v>0</v>
      </c>
      <c r="M454">
        <v>0</v>
      </c>
      <c r="N454">
        <v>2400</v>
      </c>
    </row>
    <row r="455" spans="1:14" x14ac:dyDescent="0.25">
      <c r="A455">
        <v>156.44521</v>
      </c>
      <c r="B455" s="1">
        <f>DATE(2010,10,4) + TIME(10,41,6)</f>
        <v>40455.445208333331</v>
      </c>
      <c r="C455">
        <v>80</v>
      </c>
      <c r="D455">
        <v>79.924140929999993</v>
      </c>
      <c r="E455">
        <v>50</v>
      </c>
      <c r="F455">
        <v>17.063632965</v>
      </c>
      <c r="G455">
        <v>1353.8841553</v>
      </c>
      <c r="H455">
        <v>1348.0526123</v>
      </c>
      <c r="I455">
        <v>1299.9212646000001</v>
      </c>
      <c r="J455">
        <v>1283.9444579999999</v>
      </c>
      <c r="K455">
        <v>2400</v>
      </c>
      <c r="L455">
        <v>0</v>
      </c>
      <c r="M455">
        <v>0</v>
      </c>
      <c r="N455">
        <v>2400</v>
      </c>
    </row>
    <row r="456" spans="1:14" x14ac:dyDescent="0.25">
      <c r="A456">
        <v>156.93706399999999</v>
      </c>
      <c r="B456" s="1">
        <f>DATE(2010,10,4) + TIME(22,29,22)</f>
        <v>40455.937060185184</v>
      </c>
      <c r="C456">
        <v>80</v>
      </c>
      <c r="D456">
        <v>79.924179077000005</v>
      </c>
      <c r="E456">
        <v>50</v>
      </c>
      <c r="F456">
        <v>17.168886185000002</v>
      </c>
      <c r="G456">
        <v>1353.8731689000001</v>
      </c>
      <c r="H456">
        <v>1348.0426024999999</v>
      </c>
      <c r="I456">
        <v>1299.9428711</v>
      </c>
      <c r="J456">
        <v>1283.9752197</v>
      </c>
      <c r="K456">
        <v>2400</v>
      </c>
      <c r="L456">
        <v>0</v>
      </c>
      <c r="M456">
        <v>0</v>
      </c>
      <c r="N456">
        <v>2400</v>
      </c>
    </row>
    <row r="457" spans="1:14" x14ac:dyDescent="0.25">
      <c r="A457">
        <v>157.42891700000001</v>
      </c>
      <c r="B457" s="1">
        <f>DATE(2010,10,5) + TIME(10,17,38)</f>
        <v>40456.428912037038</v>
      </c>
      <c r="C457">
        <v>80</v>
      </c>
      <c r="D457">
        <v>79.924224854000002</v>
      </c>
      <c r="E457">
        <v>50</v>
      </c>
      <c r="F457">
        <v>17.277820587000001</v>
      </c>
      <c r="G457">
        <v>1353.8620605000001</v>
      </c>
      <c r="H457">
        <v>1348.0327147999999</v>
      </c>
      <c r="I457">
        <v>1299.9647216999999</v>
      </c>
      <c r="J457">
        <v>1284.0065918</v>
      </c>
      <c r="K457">
        <v>2400</v>
      </c>
      <c r="L457">
        <v>0</v>
      </c>
      <c r="M457">
        <v>0</v>
      </c>
      <c r="N457">
        <v>2400</v>
      </c>
    </row>
    <row r="458" spans="1:14" x14ac:dyDescent="0.25">
      <c r="A458">
        <v>157.92077</v>
      </c>
      <c r="B458" s="1">
        <f>DATE(2010,10,5) + TIME(22,5,54)</f>
        <v>40456.920763888891</v>
      </c>
      <c r="C458">
        <v>80</v>
      </c>
      <c r="D458">
        <v>79.924262999999996</v>
      </c>
      <c r="E458">
        <v>50</v>
      </c>
      <c r="F458">
        <v>17.39046669</v>
      </c>
      <c r="G458">
        <v>1353.8509521000001</v>
      </c>
      <c r="H458">
        <v>1348.0227050999999</v>
      </c>
      <c r="I458">
        <v>1299.9865723</v>
      </c>
      <c r="J458">
        <v>1284.0386963000001</v>
      </c>
      <c r="K458">
        <v>2400</v>
      </c>
      <c r="L458">
        <v>0</v>
      </c>
      <c r="M458">
        <v>0</v>
      </c>
      <c r="N458">
        <v>2400</v>
      </c>
    </row>
    <row r="459" spans="1:14" x14ac:dyDescent="0.25">
      <c r="A459">
        <v>158.41262399999999</v>
      </c>
      <c r="B459" s="1">
        <f>DATE(2010,10,6) + TIME(9,54,10)</f>
        <v>40457.412615740737</v>
      </c>
      <c r="C459">
        <v>80</v>
      </c>
      <c r="D459">
        <v>79.924301146999994</v>
      </c>
      <c r="E459">
        <v>50</v>
      </c>
      <c r="F459">
        <v>17.506843567000001</v>
      </c>
      <c r="G459">
        <v>1353.8398437999999</v>
      </c>
      <c r="H459">
        <v>1348.0128173999999</v>
      </c>
      <c r="I459">
        <v>1300.0084228999999</v>
      </c>
      <c r="J459">
        <v>1284.0715332</v>
      </c>
      <c r="K459">
        <v>2400</v>
      </c>
      <c r="L459">
        <v>0</v>
      </c>
      <c r="M459">
        <v>0</v>
      </c>
      <c r="N459">
        <v>2400</v>
      </c>
    </row>
    <row r="460" spans="1:14" x14ac:dyDescent="0.25">
      <c r="A460">
        <v>158.90447700000001</v>
      </c>
      <c r="B460" s="1">
        <f>DATE(2010,10,6) + TIME(21,42,26)</f>
        <v>40457.904467592591</v>
      </c>
      <c r="C460">
        <v>80</v>
      </c>
      <c r="D460">
        <v>79.924346924000005</v>
      </c>
      <c r="E460">
        <v>50</v>
      </c>
      <c r="F460">
        <v>17.626960753999999</v>
      </c>
      <c r="G460">
        <v>1353.8288574000001</v>
      </c>
      <c r="H460">
        <v>1348.0028076000001</v>
      </c>
      <c r="I460">
        <v>1300.0303954999999</v>
      </c>
      <c r="J460">
        <v>1284.1052245999999</v>
      </c>
      <c r="K460">
        <v>2400</v>
      </c>
      <c r="L460">
        <v>0</v>
      </c>
      <c r="M460">
        <v>0</v>
      </c>
      <c r="N460">
        <v>2400</v>
      </c>
    </row>
    <row r="461" spans="1:14" x14ac:dyDescent="0.25">
      <c r="A461">
        <v>159.39633000000001</v>
      </c>
      <c r="B461" s="1">
        <f>DATE(2010,10,7) + TIME(9,30,42)</f>
        <v>40458.396319444444</v>
      </c>
      <c r="C461">
        <v>80</v>
      </c>
      <c r="D461">
        <v>79.924385071000003</v>
      </c>
      <c r="E461">
        <v>50</v>
      </c>
      <c r="F461">
        <v>17.75082016</v>
      </c>
      <c r="G461">
        <v>1353.817749</v>
      </c>
      <c r="H461">
        <v>1347.9929199000001</v>
      </c>
      <c r="I461">
        <v>1300.0523682</v>
      </c>
      <c r="J461">
        <v>1284.1395264</v>
      </c>
      <c r="K461">
        <v>2400</v>
      </c>
      <c r="L461">
        <v>0</v>
      </c>
      <c r="M461">
        <v>0</v>
      </c>
      <c r="N461">
        <v>2400</v>
      </c>
    </row>
    <row r="462" spans="1:14" x14ac:dyDescent="0.25">
      <c r="A462">
        <v>159.888183</v>
      </c>
      <c r="B462" s="1">
        <f>DATE(2010,10,7) + TIME(21,18,59)</f>
        <v>40458.888182870367</v>
      </c>
      <c r="C462">
        <v>80</v>
      </c>
      <c r="D462">
        <v>79.924430846999996</v>
      </c>
      <c r="E462">
        <v>50</v>
      </c>
      <c r="F462">
        <v>17.878412247</v>
      </c>
      <c r="G462">
        <v>1353.8067627</v>
      </c>
      <c r="H462">
        <v>1347.9830322</v>
      </c>
      <c r="I462">
        <v>1300.0743408000001</v>
      </c>
      <c r="J462">
        <v>1284.1746826000001</v>
      </c>
      <c r="K462">
        <v>2400</v>
      </c>
      <c r="L462">
        <v>0</v>
      </c>
      <c r="M462">
        <v>0</v>
      </c>
      <c r="N462">
        <v>2400</v>
      </c>
    </row>
    <row r="463" spans="1:14" x14ac:dyDescent="0.25">
      <c r="A463">
        <v>160.87189000000001</v>
      </c>
      <c r="B463" s="1">
        <f>DATE(2010,10,8) + TIME(20,55,31)</f>
        <v>40459.871886574074</v>
      </c>
      <c r="C463">
        <v>80</v>
      </c>
      <c r="D463">
        <v>79.924514771000005</v>
      </c>
      <c r="E463">
        <v>50</v>
      </c>
      <c r="F463">
        <v>18.068843842</v>
      </c>
      <c r="G463">
        <v>1353.7958983999999</v>
      </c>
      <c r="H463">
        <v>1347.9731445</v>
      </c>
      <c r="I463">
        <v>1300.0864257999999</v>
      </c>
      <c r="J463">
        <v>1284.2155762</v>
      </c>
      <c r="K463">
        <v>2400</v>
      </c>
      <c r="L463">
        <v>0</v>
      </c>
      <c r="M463">
        <v>0</v>
      </c>
      <c r="N463">
        <v>2400</v>
      </c>
    </row>
    <row r="464" spans="1:14" x14ac:dyDescent="0.25">
      <c r="A464">
        <v>161.85666699999999</v>
      </c>
      <c r="B464" s="1">
        <f>DATE(2010,10,9) + TIME(20,33,36)</f>
        <v>40460.856666666667</v>
      </c>
      <c r="C464">
        <v>80</v>
      </c>
      <c r="D464">
        <v>79.924606323000006</v>
      </c>
      <c r="E464">
        <v>50</v>
      </c>
      <c r="F464">
        <v>18.310062408</v>
      </c>
      <c r="G464">
        <v>1353.7740478999999</v>
      </c>
      <c r="H464">
        <v>1347.9534911999999</v>
      </c>
      <c r="I464">
        <v>1300.1351318</v>
      </c>
      <c r="J464">
        <v>1284.2855225000001</v>
      </c>
      <c r="K464">
        <v>2400</v>
      </c>
      <c r="L464">
        <v>0</v>
      </c>
      <c r="M464">
        <v>0</v>
      </c>
      <c r="N464">
        <v>2400</v>
      </c>
    </row>
    <row r="465" spans="1:14" x14ac:dyDescent="0.25">
      <c r="A465">
        <v>162.869732</v>
      </c>
      <c r="B465" s="1">
        <f>DATE(2010,10,10) + TIME(20,52,24)</f>
        <v>40461.869722222225</v>
      </c>
      <c r="C465">
        <v>80</v>
      </c>
      <c r="D465">
        <v>79.924690247000001</v>
      </c>
      <c r="E465">
        <v>50</v>
      </c>
      <c r="F465">
        <v>18.585746765</v>
      </c>
      <c r="G465">
        <v>1353.7520752</v>
      </c>
      <c r="H465">
        <v>1347.9337158000001</v>
      </c>
      <c r="I465">
        <v>1300.1807861</v>
      </c>
      <c r="J465">
        <v>1284.3605957</v>
      </c>
      <c r="K465">
        <v>2400</v>
      </c>
      <c r="L465">
        <v>0</v>
      </c>
      <c r="M465">
        <v>0</v>
      </c>
      <c r="N465">
        <v>2400</v>
      </c>
    </row>
    <row r="466" spans="1:14" x14ac:dyDescent="0.25">
      <c r="A466">
        <v>163.38506799999999</v>
      </c>
      <c r="B466" s="1">
        <f>DATE(2010,10,11) + TIME(9,14,29)</f>
        <v>40462.385057870371</v>
      </c>
      <c r="C466">
        <v>80</v>
      </c>
      <c r="D466">
        <v>79.924728393999999</v>
      </c>
      <c r="E466">
        <v>50</v>
      </c>
      <c r="F466">
        <v>18.797006607</v>
      </c>
      <c r="G466">
        <v>1353.7296143000001</v>
      </c>
      <c r="H466">
        <v>1347.9134521000001</v>
      </c>
      <c r="I466">
        <v>1300.2425536999999</v>
      </c>
      <c r="J466">
        <v>1284.4334716999999</v>
      </c>
      <c r="K466">
        <v>2400</v>
      </c>
      <c r="L466">
        <v>0</v>
      </c>
      <c r="M466">
        <v>0</v>
      </c>
      <c r="N466">
        <v>2400</v>
      </c>
    </row>
    <row r="467" spans="1:14" x14ac:dyDescent="0.25">
      <c r="A467">
        <v>164.37903</v>
      </c>
      <c r="B467" s="1">
        <f>DATE(2010,10,12) + TIME(9,5,48)</f>
        <v>40463.379027777781</v>
      </c>
      <c r="C467">
        <v>80</v>
      </c>
      <c r="D467">
        <v>79.924812317000004</v>
      </c>
      <c r="E467">
        <v>50</v>
      </c>
      <c r="F467">
        <v>19.072141646999999</v>
      </c>
      <c r="G467">
        <v>1353.7181396000001</v>
      </c>
      <c r="H467">
        <v>1347.9030762</v>
      </c>
      <c r="I467">
        <v>1300.2476807</v>
      </c>
      <c r="J467">
        <v>1284.4866943</v>
      </c>
      <c r="K467">
        <v>2400</v>
      </c>
      <c r="L467">
        <v>0</v>
      </c>
      <c r="M467">
        <v>0</v>
      </c>
      <c r="N467">
        <v>2400</v>
      </c>
    </row>
    <row r="468" spans="1:14" x14ac:dyDescent="0.25">
      <c r="A468">
        <v>164.88798600000001</v>
      </c>
      <c r="B468" s="1">
        <f>DATE(2010,10,12) + TIME(21,18,41)</f>
        <v>40463.887974537036</v>
      </c>
      <c r="C468">
        <v>80</v>
      </c>
      <c r="D468">
        <v>79.924850464000002</v>
      </c>
      <c r="E468">
        <v>50</v>
      </c>
      <c r="F468">
        <v>19.289203644000001</v>
      </c>
      <c r="G468">
        <v>1353.6961670000001</v>
      </c>
      <c r="H468">
        <v>1347.8833007999999</v>
      </c>
      <c r="I468">
        <v>1300.3099365</v>
      </c>
      <c r="J468">
        <v>1284.5614014</v>
      </c>
      <c r="K468">
        <v>2400</v>
      </c>
      <c r="L468">
        <v>0</v>
      </c>
      <c r="M468">
        <v>0</v>
      </c>
      <c r="N468">
        <v>2400</v>
      </c>
    </row>
    <row r="469" spans="1:14" x14ac:dyDescent="0.25">
      <c r="A469">
        <v>165.88133500000001</v>
      </c>
      <c r="B469" s="1">
        <f>DATE(2010,10,13) + TIME(21,9,7)</f>
        <v>40464.881331018521</v>
      </c>
      <c r="C469">
        <v>80</v>
      </c>
      <c r="D469">
        <v>79.924934386999993</v>
      </c>
      <c r="E469">
        <v>50</v>
      </c>
      <c r="F469">
        <v>19.575124741</v>
      </c>
      <c r="G469">
        <v>1353.6849365</v>
      </c>
      <c r="H469">
        <v>1347.8730469</v>
      </c>
      <c r="I469">
        <v>1300.3145752</v>
      </c>
      <c r="J469">
        <v>1284.6168213000001</v>
      </c>
      <c r="K469">
        <v>2400</v>
      </c>
      <c r="L469">
        <v>0</v>
      </c>
      <c r="M469">
        <v>0</v>
      </c>
      <c r="N469">
        <v>2400</v>
      </c>
    </row>
    <row r="470" spans="1:14" x14ac:dyDescent="0.25">
      <c r="A470">
        <v>166.88669400000001</v>
      </c>
      <c r="B470" s="1">
        <f>DATE(2010,10,14) + TIME(21,16,50)</f>
        <v>40465.886689814812</v>
      </c>
      <c r="C470">
        <v>80</v>
      </c>
      <c r="D470">
        <v>79.925018311000002</v>
      </c>
      <c r="E470">
        <v>50</v>
      </c>
      <c r="F470">
        <v>19.899957657000002</v>
      </c>
      <c r="G470">
        <v>1353.6632079999999</v>
      </c>
      <c r="H470">
        <v>1347.8533935999999</v>
      </c>
      <c r="I470">
        <v>1300.3620605000001</v>
      </c>
      <c r="J470">
        <v>1284.7036132999999</v>
      </c>
      <c r="K470">
        <v>2400</v>
      </c>
      <c r="L470">
        <v>0</v>
      </c>
      <c r="M470">
        <v>0</v>
      </c>
      <c r="N470">
        <v>2400</v>
      </c>
    </row>
    <row r="471" spans="1:14" x14ac:dyDescent="0.25">
      <c r="A471">
        <v>167.89453800000001</v>
      </c>
      <c r="B471" s="1">
        <f>DATE(2010,10,15) + TIME(21,28,8)</f>
        <v>40466.894537037035</v>
      </c>
      <c r="C471">
        <v>80</v>
      </c>
      <c r="D471">
        <v>79.925102233999993</v>
      </c>
      <c r="E471">
        <v>50</v>
      </c>
      <c r="F471">
        <v>20.249551773</v>
      </c>
      <c r="G471">
        <v>1353.6411132999999</v>
      </c>
      <c r="H471">
        <v>1347.8334961</v>
      </c>
      <c r="I471">
        <v>1300.4089355000001</v>
      </c>
      <c r="J471">
        <v>1284.7951660000001</v>
      </c>
      <c r="K471">
        <v>2400</v>
      </c>
      <c r="L471">
        <v>0</v>
      </c>
      <c r="M471">
        <v>0</v>
      </c>
      <c r="N471">
        <v>2400</v>
      </c>
    </row>
    <row r="472" spans="1:14" x14ac:dyDescent="0.25">
      <c r="A472">
        <v>168.90689399999999</v>
      </c>
      <c r="B472" s="1">
        <f>DATE(2010,10,16) + TIME(21,45,55)</f>
        <v>40467.906886574077</v>
      </c>
      <c r="C472">
        <v>80</v>
      </c>
      <c r="D472">
        <v>79.925186156999999</v>
      </c>
      <c r="E472">
        <v>50</v>
      </c>
      <c r="F472">
        <v>20.616359711000001</v>
      </c>
      <c r="G472">
        <v>1353.6191406</v>
      </c>
      <c r="H472">
        <v>1347.8135986</v>
      </c>
      <c r="I472">
        <v>1300.4550781</v>
      </c>
      <c r="J472">
        <v>1284.8901367000001</v>
      </c>
      <c r="K472">
        <v>2400</v>
      </c>
      <c r="L472">
        <v>0</v>
      </c>
      <c r="M472">
        <v>0</v>
      </c>
      <c r="N472">
        <v>2400</v>
      </c>
    </row>
    <row r="473" spans="1:14" x14ac:dyDescent="0.25">
      <c r="A473">
        <v>169.926501</v>
      </c>
      <c r="B473" s="1">
        <f>DATE(2010,10,17) + TIME(22,14,9)</f>
        <v>40468.926493055558</v>
      </c>
      <c r="C473">
        <v>80</v>
      </c>
      <c r="D473">
        <v>79.925270080999994</v>
      </c>
      <c r="E473">
        <v>50</v>
      </c>
      <c r="F473">
        <v>20.996835708999999</v>
      </c>
      <c r="G473">
        <v>1353.597168</v>
      </c>
      <c r="H473">
        <v>1347.7937012</v>
      </c>
      <c r="I473">
        <v>1300.5010986</v>
      </c>
      <c r="J473">
        <v>1284.9884033000001</v>
      </c>
      <c r="K473">
        <v>2400</v>
      </c>
      <c r="L473">
        <v>0</v>
      </c>
      <c r="M473">
        <v>0</v>
      </c>
      <c r="N473">
        <v>2400</v>
      </c>
    </row>
    <row r="474" spans="1:14" x14ac:dyDescent="0.25">
      <c r="A474">
        <v>170.95662799999999</v>
      </c>
      <c r="B474" s="1">
        <f>DATE(2010,10,18) + TIME(22,57,32)</f>
        <v>40469.956620370373</v>
      </c>
      <c r="C474">
        <v>80</v>
      </c>
      <c r="D474">
        <v>79.925361632999994</v>
      </c>
      <c r="E474">
        <v>50</v>
      </c>
      <c r="F474">
        <v>21.389280319000001</v>
      </c>
      <c r="G474">
        <v>1353.5751952999999</v>
      </c>
      <c r="H474">
        <v>1347.7738036999999</v>
      </c>
      <c r="I474">
        <v>1300.5476074000001</v>
      </c>
      <c r="J474">
        <v>1285.0898437999999</v>
      </c>
      <c r="K474">
        <v>2400</v>
      </c>
      <c r="L474">
        <v>0</v>
      </c>
      <c r="M474">
        <v>0</v>
      </c>
      <c r="N474">
        <v>2400</v>
      </c>
    </row>
    <row r="475" spans="1:14" x14ac:dyDescent="0.25">
      <c r="A475">
        <v>172.001608</v>
      </c>
      <c r="B475" s="1">
        <f>DATE(2010,10,20) + TIME(0,2,18)</f>
        <v>40471.001597222225</v>
      </c>
      <c r="C475">
        <v>80</v>
      </c>
      <c r="D475">
        <v>79.925445557000003</v>
      </c>
      <c r="E475">
        <v>50</v>
      </c>
      <c r="F475">
        <v>21.792896271</v>
      </c>
      <c r="G475">
        <v>1353.5529785000001</v>
      </c>
      <c r="H475">
        <v>1347.7536620999999</v>
      </c>
      <c r="I475">
        <v>1300.5947266000001</v>
      </c>
      <c r="J475">
        <v>1285.1945800999999</v>
      </c>
      <c r="K475">
        <v>2400</v>
      </c>
      <c r="L475">
        <v>0</v>
      </c>
      <c r="M475">
        <v>0</v>
      </c>
      <c r="N475">
        <v>2400</v>
      </c>
    </row>
    <row r="476" spans="1:14" x14ac:dyDescent="0.25">
      <c r="A476">
        <v>173.056738</v>
      </c>
      <c r="B476" s="1">
        <f>DATE(2010,10,21) + TIME(1,21,42)</f>
        <v>40472.05673611111</v>
      </c>
      <c r="C476">
        <v>80</v>
      </c>
      <c r="D476">
        <v>79.925529479999994</v>
      </c>
      <c r="E476">
        <v>50</v>
      </c>
      <c r="F476">
        <v>22.206146239999999</v>
      </c>
      <c r="G476">
        <v>1353.5306396000001</v>
      </c>
      <c r="H476">
        <v>1347.7333983999999</v>
      </c>
      <c r="I476">
        <v>1300.6431885</v>
      </c>
      <c r="J476">
        <v>1285.3029785000001</v>
      </c>
      <c r="K476">
        <v>2400</v>
      </c>
      <c r="L476">
        <v>0</v>
      </c>
      <c r="M476">
        <v>0</v>
      </c>
      <c r="N476">
        <v>2400</v>
      </c>
    </row>
    <row r="477" spans="1:14" x14ac:dyDescent="0.25">
      <c r="A477">
        <v>174.11767699999999</v>
      </c>
      <c r="B477" s="1">
        <f>DATE(2010,10,22) + TIME(2,49,27)</f>
        <v>40473.117673611108</v>
      </c>
      <c r="C477">
        <v>80</v>
      </c>
      <c r="D477">
        <v>79.925621032999999</v>
      </c>
      <c r="E477">
        <v>50</v>
      </c>
      <c r="F477">
        <v>22.626682281000001</v>
      </c>
      <c r="G477">
        <v>1353.5081786999999</v>
      </c>
      <c r="H477">
        <v>1347.7131348</v>
      </c>
      <c r="I477">
        <v>1300.692749</v>
      </c>
      <c r="J477">
        <v>1285.4144286999999</v>
      </c>
      <c r="K477">
        <v>2400</v>
      </c>
      <c r="L477">
        <v>0</v>
      </c>
      <c r="M477">
        <v>0</v>
      </c>
      <c r="N477">
        <v>2400</v>
      </c>
    </row>
    <row r="478" spans="1:14" x14ac:dyDescent="0.25">
      <c r="A478">
        <v>175.18942899999999</v>
      </c>
      <c r="B478" s="1">
        <f>DATE(2010,10,23) + TIME(4,32,46)</f>
        <v>40474.189421296294</v>
      </c>
      <c r="C478">
        <v>80</v>
      </c>
      <c r="D478">
        <v>79.925704956000004</v>
      </c>
      <c r="E478">
        <v>50</v>
      </c>
      <c r="F478">
        <v>23.053403853999999</v>
      </c>
      <c r="G478">
        <v>1353.4858397999999</v>
      </c>
      <c r="H478">
        <v>1347.692749</v>
      </c>
      <c r="I478">
        <v>1300.7430420000001</v>
      </c>
      <c r="J478">
        <v>1285.5286865</v>
      </c>
      <c r="K478">
        <v>2400</v>
      </c>
      <c r="L478">
        <v>0</v>
      </c>
      <c r="M478">
        <v>0</v>
      </c>
      <c r="N478">
        <v>2400</v>
      </c>
    </row>
    <row r="479" spans="1:14" x14ac:dyDescent="0.25">
      <c r="A479">
        <v>176.27825899999999</v>
      </c>
      <c r="B479" s="1">
        <f>DATE(2010,10,24) + TIME(6,40,41)</f>
        <v>40475.278252314813</v>
      </c>
      <c r="C479">
        <v>80</v>
      </c>
      <c r="D479">
        <v>79.925796508999994</v>
      </c>
      <c r="E479">
        <v>50</v>
      </c>
      <c r="F479">
        <v>23.486669540000001</v>
      </c>
      <c r="G479">
        <v>1353.4632568</v>
      </c>
      <c r="H479">
        <v>1347.6722411999999</v>
      </c>
      <c r="I479">
        <v>1300.7943115</v>
      </c>
      <c r="J479">
        <v>1285.6459961</v>
      </c>
      <c r="K479">
        <v>2400</v>
      </c>
      <c r="L479">
        <v>0</v>
      </c>
      <c r="M479">
        <v>0</v>
      </c>
      <c r="N479">
        <v>2400</v>
      </c>
    </row>
    <row r="480" spans="1:14" x14ac:dyDescent="0.25">
      <c r="A480">
        <v>177.39366899999999</v>
      </c>
      <c r="B480" s="1">
        <f>DATE(2010,10,25) + TIME(9,26,53)</f>
        <v>40476.39366898148</v>
      </c>
      <c r="C480">
        <v>80</v>
      </c>
      <c r="D480">
        <v>79.925888061999999</v>
      </c>
      <c r="E480">
        <v>50</v>
      </c>
      <c r="F480">
        <v>23.928058623999998</v>
      </c>
      <c r="G480">
        <v>1353.4405518000001</v>
      </c>
      <c r="H480">
        <v>1347.6517334</v>
      </c>
      <c r="I480">
        <v>1300.8470459</v>
      </c>
      <c r="J480">
        <v>1285.7669678</v>
      </c>
      <c r="K480">
        <v>2400</v>
      </c>
      <c r="L480">
        <v>0</v>
      </c>
      <c r="M480">
        <v>0</v>
      </c>
      <c r="N480">
        <v>2400</v>
      </c>
    </row>
    <row r="481" spans="1:14" x14ac:dyDescent="0.25">
      <c r="A481">
        <v>178.542002</v>
      </c>
      <c r="B481" s="1">
        <f>DATE(2010,10,26) + TIME(13,0,28)</f>
        <v>40477.541990740741</v>
      </c>
      <c r="C481">
        <v>80</v>
      </c>
      <c r="D481">
        <v>79.925987243999998</v>
      </c>
      <c r="E481">
        <v>50</v>
      </c>
      <c r="F481">
        <v>24.379484176999998</v>
      </c>
      <c r="G481">
        <v>1353.4174805</v>
      </c>
      <c r="H481">
        <v>1347.6307373</v>
      </c>
      <c r="I481">
        <v>1300.9018555</v>
      </c>
      <c r="J481">
        <v>1285.8923339999999</v>
      </c>
      <c r="K481">
        <v>2400</v>
      </c>
      <c r="L481">
        <v>0</v>
      </c>
      <c r="M481">
        <v>0</v>
      </c>
      <c r="N481">
        <v>2400</v>
      </c>
    </row>
    <row r="482" spans="1:14" x14ac:dyDescent="0.25">
      <c r="A482">
        <v>179.72681299999999</v>
      </c>
      <c r="B482" s="1">
        <f>DATE(2010,10,27) + TIME(17,26,36)</f>
        <v>40478.726805555554</v>
      </c>
      <c r="C482">
        <v>80</v>
      </c>
      <c r="D482">
        <v>79.926078795999999</v>
      </c>
      <c r="E482">
        <v>50</v>
      </c>
      <c r="F482">
        <v>24.842277527</v>
      </c>
      <c r="G482">
        <v>1353.3939209</v>
      </c>
      <c r="H482">
        <v>1347.6092529</v>
      </c>
      <c r="I482">
        <v>1300.9592285000001</v>
      </c>
      <c r="J482">
        <v>1286.0228271000001</v>
      </c>
      <c r="K482">
        <v>2400</v>
      </c>
      <c r="L482">
        <v>0</v>
      </c>
      <c r="M482">
        <v>0</v>
      </c>
      <c r="N482">
        <v>2400</v>
      </c>
    </row>
    <row r="483" spans="1:14" x14ac:dyDescent="0.25">
      <c r="A483">
        <v>180.95137800000001</v>
      </c>
      <c r="B483" s="1">
        <f>DATE(2010,10,28) + TIME(22,49,59)</f>
        <v>40479.951377314814</v>
      </c>
      <c r="C483">
        <v>80</v>
      </c>
      <c r="D483">
        <v>79.926185607999997</v>
      </c>
      <c r="E483">
        <v>50</v>
      </c>
      <c r="F483">
        <v>25.317539215</v>
      </c>
      <c r="G483">
        <v>1353.369751</v>
      </c>
      <c r="H483">
        <v>1347.5872803</v>
      </c>
      <c r="I483">
        <v>1301.0191649999999</v>
      </c>
      <c r="J483">
        <v>1286.1585693</v>
      </c>
      <c r="K483">
        <v>2400</v>
      </c>
      <c r="L483">
        <v>0</v>
      </c>
      <c r="M483">
        <v>0</v>
      </c>
      <c r="N483">
        <v>2400</v>
      </c>
    </row>
    <row r="484" spans="1:14" x14ac:dyDescent="0.25">
      <c r="A484">
        <v>182.18745999999999</v>
      </c>
      <c r="B484" s="1">
        <f>DATE(2010,10,30) + TIME(4,29,56)</f>
        <v>40481.1874537037</v>
      </c>
      <c r="C484">
        <v>80</v>
      </c>
      <c r="D484">
        <v>79.926284789999997</v>
      </c>
      <c r="E484">
        <v>50</v>
      </c>
      <c r="F484">
        <v>25.801086426000001</v>
      </c>
      <c r="G484">
        <v>1353.3449707</v>
      </c>
      <c r="H484">
        <v>1347.5648193</v>
      </c>
      <c r="I484">
        <v>1301.0827637</v>
      </c>
      <c r="J484">
        <v>1286.2993164</v>
      </c>
      <c r="K484">
        <v>2400</v>
      </c>
      <c r="L484">
        <v>0</v>
      </c>
      <c r="M484">
        <v>0</v>
      </c>
      <c r="N484">
        <v>2400</v>
      </c>
    </row>
    <row r="485" spans="1:14" x14ac:dyDescent="0.25">
      <c r="A485">
        <v>183.435147</v>
      </c>
      <c r="B485" s="1">
        <f>DATE(2010,10,31) + TIME(10,26,36)</f>
        <v>40482.43513888889</v>
      </c>
      <c r="C485">
        <v>80</v>
      </c>
      <c r="D485">
        <v>79.926383971999996</v>
      </c>
      <c r="E485">
        <v>50</v>
      </c>
      <c r="F485">
        <v>26.287508011</v>
      </c>
      <c r="G485">
        <v>1353.3201904</v>
      </c>
      <c r="H485">
        <v>1347.5423584</v>
      </c>
      <c r="I485">
        <v>1301.1475829999999</v>
      </c>
      <c r="J485">
        <v>1286.4428711</v>
      </c>
      <c r="K485">
        <v>2400</v>
      </c>
      <c r="L485">
        <v>0</v>
      </c>
      <c r="M485">
        <v>0</v>
      </c>
      <c r="N485">
        <v>2400</v>
      </c>
    </row>
    <row r="486" spans="1:14" x14ac:dyDescent="0.25">
      <c r="A486">
        <v>184</v>
      </c>
      <c r="B486" s="1">
        <f>DATE(2010,11,1) + TIME(0,0,0)</f>
        <v>40483</v>
      </c>
      <c r="C486">
        <v>80</v>
      </c>
      <c r="D486">
        <v>79.926422118999994</v>
      </c>
      <c r="E486">
        <v>50</v>
      </c>
      <c r="F486">
        <v>26.625528335999999</v>
      </c>
      <c r="G486">
        <v>1353.2955322</v>
      </c>
      <c r="H486">
        <v>1347.5200195</v>
      </c>
      <c r="I486">
        <v>1301.2320557</v>
      </c>
      <c r="J486">
        <v>1286.5706786999999</v>
      </c>
      <c r="K486">
        <v>2400</v>
      </c>
      <c r="L486">
        <v>0</v>
      </c>
      <c r="M486">
        <v>0</v>
      </c>
      <c r="N486">
        <v>2400</v>
      </c>
    </row>
    <row r="487" spans="1:14" x14ac:dyDescent="0.25">
      <c r="A487">
        <v>184.000001</v>
      </c>
      <c r="B487" s="1">
        <f>DATE(2010,11,1) + TIME(0,0,0)</f>
        <v>40483</v>
      </c>
      <c r="C487">
        <v>80</v>
      </c>
      <c r="D487">
        <v>79.926307678000001</v>
      </c>
      <c r="E487">
        <v>50</v>
      </c>
      <c r="F487">
        <v>26.625677109000002</v>
      </c>
      <c r="G487">
        <v>1346.7194824000001</v>
      </c>
      <c r="H487">
        <v>1342.3677978999999</v>
      </c>
      <c r="I487">
        <v>1316.7749022999999</v>
      </c>
      <c r="J487">
        <v>1302.2681885</v>
      </c>
      <c r="K487">
        <v>0</v>
      </c>
      <c r="L487">
        <v>2400</v>
      </c>
      <c r="M487">
        <v>2400</v>
      </c>
      <c r="N487">
        <v>0</v>
      </c>
    </row>
    <row r="488" spans="1:14" x14ac:dyDescent="0.25">
      <c r="A488">
        <v>184.00000399999999</v>
      </c>
      <c r="B488" s="1">
        <f>DATE(2010,11,1) + TIME(0,0,0)</f>
        <v>40483</v>
      </c>
      <c r="C488">
        <v>80</v>
      </c>
      <c r="D488">
        <v>79.926071167000003</v>
      </c>
      <c r="E488">
        <v>50</v>
      </c>
      <c r="F488">
        <v>26.626062393000002</v>
      </c>
      <c r="G488">
        <v>1345.0358887</v>
      </c>
      <c r="H488">
        <v>1340.6838379000001</v>
      </c>
      <c r="I488">
        <v>1318.9940185999999</v>
      </c>
      <c r="J488">
        <v>1304.8548584</v>
      </c>
      <c r="K488">
        <v>0</v>
      </c>
      <c r="L488">
        <v>2400</v>
      </c>
      <c r="M488">
        <v>2400</v>
      </c>
      <c r="N488">
        <v>0</v>
      </c>
    </row>
    <row r="489" spans="1:14" x14ac:dyDescent="0.25">
      <c r="A489">
        <v>184.000013</v>
      </c>
      <c r="B489" s="1">
        <f>DATE(2010,11,1) + TIME(0,0,1)</f>
        <v>40483.000011574077</v>
      </c>
      <c r="C489">
        <v>80</v>
      </c>
      <c r="D489">
        <v>79.925704956000004</v>
      </c>
      <c r="E489">
        <v>50</v>
      </c>
      <c r="F489">
        <v>26.626922607000001</v>
      </c>
      <c r="G489">
        <v>1342.4622803</v>
      </c>
      <c r="H489">
        <v>1338.1104736</v>
      </c>
      <c r="I489">
        <v>1323.6851807</v>
      </c>
      <c r="J489">
        <v>1309.9995117000001</v>
      </c>
      <c r="K489">
        <v>0</v>
      </c>
      <c r="L489">
        <v>2400</v>
      </c>
      <c r="M489">
        <v>2400</v>
      </c>
      <c r="N489">
        <v>0</v>
      </c>
    </row>
    <row r="490" spans="1:14" x14ac:dyDescent="0.25">
      <c r="A490">
        <v>184.00004000000001</v>
      </c>
      <c r="B490" s="1">
        <f>DATE(2010,11,1) + TIME(0,0,3)</f>
        <v>40483.000034722223</v>
      </c>
      <c r="C490">
        <v>80</v>
      </c>
      <c r="D490">
        <v>79.925277710000003</v>
      </c>
      <c r="E490">
        <v>50</v>
      </c>
      <c r="F490">
        <v>26.628568649000002</v>
      </c>
      <c r="G490">
        <v>1339.5345459</v>
      </c>
      <c r="H490">
        <v>1335.1859131000001</v>
      </c>
      <c r="I490">
        <v>1330.9136963000001</v>
      </c>
      <c r="J490">
        <v>1317.3533935999999</v>
      </c>
      <c r="K490">
        <v>0</v>
      </c>
      <c r="L490">
        <v>2400</v>
      </c>
      <c r="M490">
        <v>2400</v>
      </c>
      <c r="N490">
        <v>0</v>
      </c>
    </row>
    <row r="491" spans="1:14" x14ac:dyDescent="0.25">
      <c r="A491">
        <v>184.00012100000001</v>
      </c>
      <c r="B491" s="1">
        <f>DATE(2010,11,1) + TIME(0,0,10)</f>
        <v>40483.000115740739</v>
      </c>
      <c r="C491">
        <v>80</v>
      </c>
      <c r="D491">
        <v>79.924835204999994</v>
      </c>
      <c r="E491">
        <v>50</v>
      </c>
      <c r="F491">
        <v>26.63199234</v>
      </c>
      <c r="G491">
        <v>1336.5980225000001</v>
      </c>
      <c r="H491">
        <v>1332.2509766000001</v>
      </c>
      <c r="I491">
        <v>1339.2624512</v>
      </c>
      <c r="J491">
        <v>1325.6166992000001</v>
      </c>
      <c r="K491">
        <v>0</v>
      </c>
      <c r="L491">
        <v>2400</v>
      </c>
      <c r="M491">
        <v>2400</v>
      </c>
      <c r="N491">
        <v>0</v>
      </c>
    </row>
    <row r="492" spans="1:14" x14ac:dyDescent="0.25">
      <c r="A492">
        <v>184.00036399999999</v>
      </c>
      <c r="B492" s="1">
        <f>DATE(2010,11,1) + TIME(0,0,31)</f>
        <v>40483.000358796293</v>
      </c>
      <c r="C492">
        <v>80</v>
      </c>
      <c r="D492">
        <v>79.924339294000006</v>
      </c>
      <c r="E492">
        <v>50</v>
      </c>
      <c r="F492">
        <v>26.640478133999999</v>
      </c>
      <c r="G492">
        <v>1333.6369629000001</v>
      </c>
      <c r="H492">
        <v>1329.2678223</v>
      </c>
      <c r="I492">
        <v>1347.7218018000001</v>
      </c>
      <c r="J492">
        <v>1333.9948730000001</v>
      </c>
      <c r="K492">
        <v>0</v>
      </c>
      <c r="L492">
        <v>2400</v>
      </c>
      <c r="M492">
        <v>2400</v>
      </c>
      <c r="N492">
        <v>0</v>
      </c>
    </row>
    <row r="493" spans="1:14" x14ac:dyDescent="0.25">
      <c r="A493">
        <v>184.001093</v>
      </c>
      <c r="B493" s="1">
        <f>DATE(2010,11,1) + TIME(0,1,34)</f>
        <v>40483.001087962963</v>
      </c>
      <c r="C493">
        <v>80</v>
      </c>
      <c r="D493">
        <v>79.923645019999995</v>
      </c>
      <c r="E493">
        <v>50</v>
      </c>
      <c r="F493">
        <v>26.664209366000001</v>
      </c>
      <c r="G493">
        <v>1330.4477539</v>
      </c>
      <c r="H493">
        <v>1325.9975586</v>
      </c>
      <c r="I493">
        <v>1356.0463867000001</v>
      </c>
      <c r="J493">
        <v>1342.2182617000001</v>
      </c>
      <c r="K493">
        <v>0</v>
      </c>
      <c r="L493">
        <v>2400</v>
      </c>
      <c r="M493">
        <v>2400</v>
      </c>
      <c r="N493">
        <v>0</v>
      </c>
    </row>
    <row r="494" spans="1:14" x14ac:dyDescent="0.25">
      <c r="A494">
        <v>184.00327999999999</v>
      </c>
      <c r="B494" s="1">
        <f>DATE(2010,11,1) + TIME(0,4,43)</f>
        <v>40483.003275462965</v>
      </c>
      <c r="C494">
        <v>80</v>
      </c>
      <c r="D494">
        <v>79.922386169000006</v>
      </c>
      <c r="E494">
        <v>50</v>
      </c>
      <c r="F494">
        <v>26.734128951999999</v>
      </c>
      <c r="G494">
        <v>1326.8713379000001</v>
      </c>
      <c r="H494">
        <v>1322.3150635</v>
      </c>
      <c r="I494">
        <v>1363.6958007999999</v>
      </c>
      <c r="J494">
        <v>1349.7197266000001</v>
      </c>
      <c r="K494">
        <v>0</v>
      </c>
      <c r="L494">
        <v>2400</v>
      </c>
      <c r="M494">
        <v>2400</v>
      </c>
      <c r="N494">
        <v>0</v>
      </c>
    </row>
    <row r="495" spans="1:14" x14ac:dyDescent="0.25">
      <c r="A495">
        <v>184.00984099999999</v>
      </c>
      <c r="B495" s="1">
        <f>DATE(2010,11,1) + TIME(0,14,10)</f>
        <v>40483.009837962964</v>
      </c>
      <c r="C495">
        <v>80</v>
      </c>
      <c r="D495">
        <v>79.919662475999999</v>
      </c>
      <c r="E495">
        <v>50</v>
      </c>
      <c r="F495">
        <v>26.942626953000001</v>
      </c>
      <c r="G495">
        <v>1323.4804687999999</v>
      </c>
      <c r="H495">
        <v>1318.8608397999999</v>
      </c>
      <c r="I495">
        <v>1369.3341064000001</v>
      </c>
      <c r="J495">
        <v>1355.2565918</v>
      </c>
      <c r="K495">
        <v>0</v>
      </c>
      <c r="L495">
        <v>2400</v>
      </c>
      <c r="M495">
        <v>2400</v>
      </c>
      <c r="N495">
        <v>0</v>
      </c>
    </row>
    <row r="496" spans="1:14" x14ac:dyDescent="0.25">
      <c r="A496">
        <v>184.02952400000001</v>
      </c>
      <c r="B496" s="1">
        <f>DATE(2010,11,1) + TIME(0,42,30)</f>
        <v>40483.029513888891</v>
      </c>
      <c r="C496">
        <v>80</v>
      </c>
      <c r="D496">
        <v>79.912727356000005</v>
      </c>
      <c r="E496">
        <v>50</v>
      </c>
      <c r="F496">
        <v>27.553060532</v>
      </c>
      <c r="G496">
        <v>1321.3907471</v>
      </c>
      <c r="H496">
        <v>1316.7492675999999</v>
      </c>
      <c r="I496">
        <v>1371.7296143000001</v>
      </c>
      <c r="J496">
        <v>1357.7772216999999</v>
      </c>
      <c r="K496">
        <v>0</v>
      </c>
      <c r="L496">
        <v>2400</v>
      </c>
      <c r="M496">
        <v>2400</v>
      </c>
      <c r="N496">
        <v>0</v>
      </c>
    </row>
    <row r="497" spans="1:14" x14ac:dyDescent="0.25">
      <c r="A497">
        <v>184.05726300000001</v>
      </c>
      <c r="B497" s="1">
        <f>DATE(2010,11,1) + TIME(1,22,27)</f>
        <v>40483.057256944441</v>
      </c>
      <c r="C497">
        <v>80</v>
      </c>
      <c r="D497">
        <v>79.903419494999994</v>
      </c>
      <c r="E497">
        <v>50</v>
      </c>
      <c r="F497">
        <v>28.381017685</v>
      </c>
      <c r="G497">
        <v>1320.8139647999999</v>
      </c>
      <c r="H497">
        <v>1316.1679687999999</v>
      </c>
      <c r="I497">
        <v>1371.8117675999999</v>
      </c>
      <c r="J497">
        <v>1358.1253661999999</v>
      </c>
      <c r="K497">
        <v>0</v>
      </c>
      <c r="L497">
        <v>2400</v>
      </c>
      <c r="M497">
        <v>2400</v>
      </c>
      <c r="N497">
        <v>0</v>
      </c>
    </row>
    <row r="498" spans="1:14" x14ac:dyDescent="0.25">
      <c r="A498">
        <v>184.08579499999999</v>
      </c>
      <c r="B498" s="1">
        <f>DATE(2010,11,1) + TIME(2,3,32)</f>
        <v>40483.085787037038</v>
      </c>
      <c r="C498">
        <v>80</v>
      </c>
      <c r="D498">
        <v>79.894004821999999</v>
      </c>
      <c r="E498">
        <v>50</v>
      </c>
      <c r="F498">
        <v>29.199556350999998</v>
      </c>
      <c r="G498">
        <v>1320.6826172000001</v>
      </c>
      <c r="H498">
        <v>1316.0355225000001</v>
      </c>
      <c r="I498">
        <v>1371.4423827999999</v>
      </c>
      <c r="J498">
        <v>1358.0227050999999</v>
      </c>
      <c r="K498">
        <v>0</v>
      </c>
      <c r="L498">
        <v>2400</v>
      </c>
      <c r="M498">
        <v>2400</v>
      </c>
      <c r="N498">
        <v>0</v>
      </c>
    </row>
    <row r="499" spans="1:14" x14ac:dyDescent="0.25">
      <c r="A499">
        <v>184.115128</v>
      </c>
      <c r="B499" s="1">
        <f>DATE(2010,11,1) + TIME(2,45,47)</f>
        <v>40483.115127314813</v>
      </c>
      <c r="C499">
        <v>80</v>
      </c>
      <c r="D499">
        <v>79.884437560999999</v>
      </c>
      <c r="E499">
        <v>50</v>
      </c>
      <c r="F499">
        <v>30.007434844999999</v>
      </c>
      <c r="G499">
        <v>1320.6495361</v>
      </c>
      <c r="H499">
        <v>1316.0020752</v>
      </c>
      <c r="I499">
        <v>1371.0225829999999</v>
      </c>
      <c r="J499">
        <v>1357.8605957</v>
      </c>
      <c r="K499">
        <v>0</v>
      </c>
      <c r="L499">
        <v>2400</v>
      </c>
      <c r="M499">
        <v>2400</v>
      </c>
      <c r="N499">
        <v>0</v>
      </c>
    </row>
    <row r="500" spans="1:14" x14ac:dyDescent="0.25">
      <c r="A500">
        <v>184.14530600000001</v>
      </c>
      <c r="B500" s="1">
        <f>DATE(2010,11,1) + TIME(3,29,14)</f>
        <v>40483.145300925928</v>
      </c>
      <c r="C500">
        <v>80</v>
      </c>
      <c r="D500">
        <v>79.874702454000001</v>
      </c>
      <c r="E500">
        <v>50</v>
      </c>
      <c r="F500">
        <v>30.804733276</v>
      </c>
      <c r="G500">
        <v>1320.6402588000001</v>
      </c>
      <c r="H500">
        <v>1315.9925536999999</v>
      </c>
      <c r="I500">
        <v>1370.6142577999999</v>
      </c>
      <c r="J500">
        <v>1357.6988524999999</v>
      </c>
      <c r="K500">
        <v>0</v>
      </c>
      <c r="L500">
        <v>2400</v>
      </c>
      <c r="M500">
        <v>2400</v>
      </c>
      <c r="N500">
        <v>0</v>
      </c>
    </row>
    <row r="501" spans="1:14" x14ac:dyDescent="0.25">
      <c r="A501">
        <v>184.17638299999999</v>
      </c>
      <c r="B501" s="1">
        <f>DATE(2010,11,1) + TIME(4,13,59)</f>
        <v>40483.176377314812</v>
      </c>
      <c r="C501">
        <v>80</v>
      </c>
      <c r="D501">
        <v>79.864784240999995</v>
      </c>
      <c r="E501">
        <v>50</v>
      </c>
      <c r="F501">
        <v>31.591295242000001</v>
      </c>
      <c r="G501">
        <v>1320.6373291</v>
      </c>
      <c r="H501">
        <v>1315.9893798999999</v>
      </c>
      <c r="I501">
        <v>1370.2244873</v>
      </c>
      <c r="J501">
        <v>1357.5444336</v>
      </c>
      <c r="K501">
        <v>0</v>
      </c>
      <c r="L501">
        <v>2400</v>
      </c>
      <c r="M501">
        <v>2400</v>
      </c>
      <c r="N501">
        <v>0</v>
      </c>
    </row>
    <row r="502" spans="1:14" x14ac:dyDescent="0.25">
      <c r="A502">
        <v>184.20839899999999</v>
      </c>
      <c r="B502" s="1">
        <f>DATE(2010,11,1) + TIME(5,0,5)</f>
        <v>40483.208391203705</v>
      </c>
      <c r="C502">
        <v>80</v>
      </c>
      <c r="D502">
        <v>79.854675293</v>
      </c>
      <c r="E502">
        <v>50</v>
      </c>
      <c r="F502">
        <v>32.366687775000003</v>
      </c>
      <c r="G502">
        <v>1320.6362305</v>
      </c>
      <c r="H502">
        <v>1315.9880370999999</v>
      </c>
      <c r="I502">
        <v>1369.8524170000001</v>
      </c>
      <c r="J502">
        <v>1357.3970947</v>
      </c>
      <c r="K502">
        <v>0</v>
      </c>
      <c r="L502">
        <v>2400</v>
      </c>
      <c r="M502">
        <v>2400</v>
      </c>
      <c r="N502">
        <v>0</v>
      </c>
    </row>
    <row r="503" spans="1:14" x14ac:dyDescent="0.25">
      <c r="A503">
        <v>184.241446</v>
      </c>
      <c r="B503" s="1">
        <f>DATE(2010,11,1) + TIME(5,47,40)</f>
        <v>40483.241435185184</v>
      </c>
      <c r="C503">
        <v>80</v>
      </c>
      <c r="D503">
        <v>79.844352721999996</v>
      </c>
      <c r="E503">
        <v>50</v>
      </c>
      <c r="F503">
        <v>33.131591796999999</v>
      </c>
      <c r="G503">
        <v>1320.6354980000001</v>
      </c>
      <c r="H503">
        <v>1315.9871826000001</v>
      </c>
      <c r="I503">
        <v>1369.4967041</v>
      </c>
      <c r="J503">
        <v>1357.2559814000001</v>
      </c>
      <c r="K503">
        <v>0</v>
      </c>
      <c r="L503">
        <v>2400</v>
      </c>
      <c r="M503">
        <v>2400</v>
      </c>
      <c r="N503">
        <v>0</v>
      </c>
    </row>
    <row r="504" spans="1:14" x14ac:dyDescent="0.25">
      <c r="A504">
        <v>184.275599</v>
      </c>
      <c r="B504" s="1">
        <f>DATE(2010,11,1) + TIME(6,36,51)</f>
        <v>40483.275590277779</v>
      </c>
      <c r="C504">
        <v>80</v>
      </c>
      <c r="D504">
        <v>79.833801269999995</v>
      </c>
      <c r="E504">
        <v>50</v>
      </c>
      <c r="F504">
        <v>33.886058806999998</v>
      </c>
      <c r="G504">
        <v>1320.6350098</v>
      </c>
      <c r="H504">
        <v>1315.9864502</v>
      </c>
      <c r="I504">
        <v>1369.1561279</v>
      </c>
      <c r="J504">
        <v>1357.1204834</v>
      </c>
      <c r="K504">
        <v>0</v>
      </c>
      <c r="L504">
        <v>2400</v>
      </c>
      <c r="M504">
        <v>2400</v>
      </c>
      <c r="N504">
        <v>0</v>
      </c>
    </row>
    <row r="505" spans="1:14" x14ac:dyDescent="0.25">
      <c r="A505">
        <v>184.31094400000001</v>
      </c>
      <c r="B505" s="1">
        <f>DATE(2010,11,1) + TIME(7,27,45)</f>
        <v>40483.310937499999</v>
      </c>
      <c r="C505">
        <v>80</v>
      </c>
      <c r="D505">
        <v>79.822998046999999</v>
      </c>
      <c r="E505">
        <v>50</v>
      </c>
      <c r="F505">
        <v>34.630138397000003</v>
      </c>
      <c r="G505">
        <v>1320.6345214999999</v>
      </c>
      <c r="H505">
        <v>1315.9857178</v>
      </c>
      <c r="I505">
        <v>1368.8298339999999</v>
      </c>
      <c r="J505">
        <v>1356.9903564000001</v>
      </c>
      <c r="K505">
        <v>0</v>
      </c>
      <c r="L505">
        <v>2400</v>
      </c>
      <c r="M505">
        <v>2400</v>
      </c>
      <c r="N505">
        <v>0</v>
      </c>
    </row>
    <row r="506" spans="1:14" x14ac:dyDescent="0.25">
      <c r="A506">
        <v>184.347567</v>
      </c>
      <c r="B506" s="1">
        <f>DATE(2010,11,1) + TIME(8,20,29)</f>
        <v>40483.347557870373</v>
      </c>
      <c r="C506">
        <v>80</v>
      </c>
      <c r="D506">
        <v>79.811935425000001</v>
      </c>
      <c r="E506">
        <v>50</v>
      </c>
      <c r="F506">
        <v>35.363719940000003</v>
      </c>
      <c r="G506">
        <v>1320.6339111</v>
      </c>
      <c r="H506">
        <v>1315.9848632999999</v>
      </c>
      <c r="I506">
        <v>1368.5168457</v>
      </c>
      <c r="J506">
        <v>1356.8649902</v>
      </c>
      <c r="K506">
        <v>0</v>
      </c>
      <c r="L506">
        <v>2400</v>
      </c>
      <c r="M506">
        <v>2400</v>
      </c>
      <c r="N506">
        <v>0</v>
      </c>
    </row>
    <row r="507" spans="1:14" x14ac:dyDescent="0.25">
      <c r="A507">
        <v>184.38554999999999</v>
      </c>
      <c r="B507" s="1">
        <f>DATE(2010,11,1) + TIME(9,15,11)</f>
        <v>40483.38554398148</v>
      </c>
      <c r="C507">
        <v>80</v>
      </c>
      <c r="D507">
        <v>79.800590514999996</v>
      </c>
      <c r="E507">
        <v>50</v>
      </c>
      <c r="F507">
        <v>36.086421967</v>
      </c>
      <c r="G507">
        <v>1320.6333007999999</v>
      </c>
      <c r="H507">
        <v>1315.9840088000001</v>
      </c>
      <c r="I507">
        <v>1368.2169189000001</v>
      </c>
      <c r="J507">
        <v>1356.7443848</v>
      </c>
      <c r="K507">
        <v>0</v>
      </c>
      <c r="L507">
        <v>2400</v>
      </c>
      <c r="M507">
        <v>2400</v>
      </c>
      <c r="N507">
        <v>0</v>
      </c>
    </row>
    <row r="508" spans="1:14" x14ac:dyDescent="0.25">
      <c r="A508">
        <v>184.42502999999999</v>
      </c>
      <c r="B508" s="1">
        <f>DATE(2010,11,1) + TIME(10,12,2)</f>
        <v>40483.425023148149</v>
      </c>
      <c r="C508">
        <v>80</v>
      </c>
      <c r="D508">
        <v>79.788940429999997</v>
      </c>
      <c r="E508">
        <v>50</v>
      </c>
      <c r="F508">
        <v>36.798633574999997</v>
      </c>
      <c r="G508">
        <v>1320.6325684000001</v>
      </c>
      <c r="H508">
        <v>1315.9830322</v>
      </c>
      <c r="I508">
        <v>1367.9289550999999</v>
      </c>
      <c r="J508">
        <v>1356.6280518000001</v>
      </c>
      <c r="K508">
        <v>0</v>
      </c>
      <c r="L508">
        <v>2400</v>
      </c>
      <c r="M508">
        <v>2400</v>
      </c>
      <c r="N508">
        <v>0</v>
      </c>
    </row>
    <row r="509" spans="1:14" x14ac:dyDescent="0.25">
      <c r="A509">
        <v>184.466138</v>
      </c>
      <c r="B509" s="1">
        <f>DATE(2010,11,1) + TIME(11,11,14)</f>
        <v>40483.466134259259</v>
      </c>
      <c r="C509">
        <v>80</v>
      </c>
      <c r="D509">
        <v>79.776947020999998</v>
      </c>
      <c r="E509">
        <v>50</v>
      </c>
      <c r="F509">
        <v>37.500301360999998</v>
      </c>
      <c r="G509">
        <v>1320.6318358999999</v>
      </c>
      <c r="H509">
        <v>1315.9819336</v>
      </c>
      <c r="I509">
        <v>1367.6523437999999</v>
      </c>
      <c r="J509">
        <v>1356.5158690999999</v>
      </c>
      <c r="K509">
        <v>0</v>
      </c>
      <c r="L509">
        <v>2400</v>
      </c>
      <c r="M509">
        <v>2400</v>
      </c>
      <c r="N509">
        <v>0</v>
      </c>
    </row>
    <row r="510" spans="1:14" x14ac:dyDescent="0.25">
      <c r="A510">
        <v>184.50902300000001</v>
      </c>
      <c r="B510" s="1">
        <f>DATE(2010,11,1) + TIME(12,12,59)</f>
        <v>40483.509016203701</v>
      </c>
      <c r="C510">
        <v>80</v>
      </c>
      <c r="D510">
        <v>79.764579772999994</v>
      </c>
      <c r="E510">
        <v>50</v>
      </c>
      <c r="F510">
        <v>38.191345214999998</v>
      </c>
      <c r="G510">
        <v>1320.6309814000001</v>
      </c>
      <c r="H510">
        <v>1315.9808350000001</v>
      </c>
      <c r="I510">
        <v>1367.3864745999999</v>
      </c>
      <c r="J510">
        <v>1356.4073486</v>
      </c>
      <c r="K510">
        <v>0</v>
      </c>
      <c r="L510">
        <v>2400</v>
      </c>
      <c r="M510">
        <v>2400</v>
      </c>
      <c r="N510">
        <v>0</v>
      </c>
    </row>
    <row r="511" spans="1:14" x14ac:dyDescent="0.25">
      <c r="A511">
        <v>184.55385200000001</v>
      </c>
      <c r="B511" s="1">
        <f>DATE(2010,11,1) + TIME(13,17,32)</f>
        <v>40483.553842592592</v>
      </c>
      <c r="C511">
        <v>80</v>
      </c>
      <c r="D511">
        <v>79.751815796000002</v>
      </c>
      <c r="E511">
        <v>50</v>
      </c>
      <c r="F511">
        <v>38.871658324999999</v>
      </c>
      <c r="G511">
        <v>1320.6301269999999</v>
      </c>
      <c r="H511">
        <v>1315.9797363</v>
      </c>
      <c r="I511">
        <v>1367.1306152</v>
      </c>
      <c r="J511">
        <v>1356.3022461</v>
      </c>
      <c r="K511">
        <v>0</v>
      </c>
      <c r="L511">
        <v>2400</v>
      </c>
      <c r="M511">
        <v>2400</v>
      </c>
      <c r="N511">
        <v>0</v>
      </c>
    </row>
    <row r="512" spans="1:14" x14ac:dyDescent="0.25">
      <c r="A512">
        <v>184.600807</v>
      </c>
      <c r="B512" s="1">
        <f>DATE(2010,11,1) + TIME(14,25,9)</f>
        <v>40483.600798611114</v>
      </c>
      <c r="C512">
        <v>80</v>
      </c>
      <c r="D512">
        <v>79.738616942999997</v>
      </c>
      <c r="E512">
        <v>50</v>
      </c>
      <c r="F512">
        <v>39.540946959999999</v>
      </c>
      <c r="G512">
        <v>1320.6291504000001</v>
      </c>
      <c r="H512">
        <v>1315.9783935999999</v>
      </c>
      <c r="I512">
        <v>1366.8843993999999</v>
      </c>
      <c r="J512">
        <v>1356.2004394999999</v>
      </c>
      <c r="K512">
        <v>0</v>
      </c>
      <c r="L512">
        <v>2400</v>
      </c>
      <c r="M512">
        <v>2400</v>
      </c>
      <c r="N512">
        <v>0</v>
      </c>
    </row>
    <row r="513" spans="1:14" x14ac:dyDescent="0.25">
      <c r="A513">
        <v>184.65011899999999</v>
      </c>
      <c r="B513" s="1">
        <f>DATE(2010,11,1) + TIME(15,36,10)</f>
        <v>40483.65011574074</v>
      </c>
      <c r="C513">
        <v>80</v>
      </c>
      <c r="D513">
        <v>79.724929810000006</v>
      </c>
      <c r="E513">
        <v>50</v>
      </c>
      <c r="F513">
        <v>40.199203490999999</v>
      </c>
      <c r="G513">
        <v>1320.6281738</v>
      </c>
      <c r="H513">
        <v>1315.9770507999999</v>
      </c>
      <c r="I513">
        <v>1366.6469727000001</v>
      </c>
      <c r="J513">
        <v>1356.1013184000001</v>
      </c>
      <c r="K513">
        <v>0</v>
      </c>
      <c r="L513">
        <v>2400</v>
      </c>
      <c r="M513">
        <v>2400</v>
      </c>
      <c r="N513">
        <v>0</v>
      </c>
    </row>
    <row r="514" spans="1:14" x14ac:dyDescent="0.25">
      <c r="A514">
        <v>184.702044</v>
      </c>
      <c r="B514" s="1">
        <f>DATE(2010,11,1) + TIME(16,50,56)</f>
        <v>40483.702037037037</v>
      </c>
      <c r="C514">
        <v>80</v>
      </c>
      <c r="D514">
        <v>79.710700989000003</v>
      </c>
      <c r="E514">
        <v>50</v>
      </c>
      <c r="F514">
        <v>40.846263884999999</v>
      </c>
      <c r="G514">
        <v>1320.6270752</v>
      </c>
      <c r="H514">
        <v>1315.9757079999999</v>
      </c>
      <c r="I514">
        <v>1366.4180908000001</v>
      </c>
      <c r="J514">
        <v>1356.0050048999999</v>
      </c>
      <c r="K514">
        <v>0</v>
      </c>
      <c r="L514">
        <v>2400</v>
      </c>
      <c r="M514">
        <v>2400</v>
      </c>
      <c r="N514">
        <v>0</v>
      </c>
    </row>
    <row r="515" spans="1:14" x14ac:dyDescent="0.25">
      <c r="A515">
        <v>184.75688199999999</v>
      </c>
      <c r="B515" s="1">
        <f>DATE(2010,11,1) + TIME(18,9,54)</f>
        <v>40483.756874999999</v>
      </c>
      <c r="C515">
        <v>80</v>
      </c>
      <c r="D515">
        <v>79.695877074999999</v>
      </c>
      <c r="E515">
        <v>50</v>
      </c>
      <c r="F515">
        <v>41.481754303000002</v>
      </c>
      <c r="G515">
        <v>1320.6258545000001</v>
      </c>
      <c r="H515">
        <v>1315.9741211</v>
      </c>
      <c r="I515">
        <v>1366.1968993999999</v>
      </c>
      <c r="J515">
        <v>1355.9107666</v>
      </c>
      <c r="K515">
        <v>0</v>
      </c>
      <c r="L515">
        <v>2400</v>
      </c>
      <c r="M515">
        <v>2400</v>
      </c>
      <c r="N515">
        <v>0</v>
      </c>
    </row>
    <row r="516" spans="1:14" x14ac:dyDescent="0.25">
      <c r="A516">
        <v>184.81498500000001</v>
      </c>
      <c r="B516" s="1">
        <f>DATE(2010,11,1) + TIME(19,33,34)</f>
        <v>40483.814976851849</v>
      </c>
      <c r="C516">
        <v>80</v>
      </c>
      <c r="D516">
        <v>79.680389403999996</v>
      </c>
      <c r="E516">
        <v>50</v>
      </c>
      <c r="F516">
        <v>42.105327606000003</v>
      </c>
      <c r="G516">
        <v>1320.6246338000001</v>
      </c>
      <c r="H516">
        <v>1315.9725341999999</v>
      </c>
      <c r="I516">
        <v>1365.9830322</v>
      </c>
      <c r="J516">
        <v>1355.8186035000001</v>
      </c>
      <c r="K516">
        <v>0</v>
      </c>
      <c r="L516">
        <v>2400</v>
      </c>
      <c r="M516">
        <v>2400</v>
      </c>
      <c r="N516">
        <v>0</v>
      </c>
    </row>
    <row r="517" spans="1:14" x14ac:dyDescent="0.25">
      <c r="A517">
        <v>184.87676999999999</v>
      </c>
      <c r="B517" s="1">
        <f>DATE(2010,11,1) + TIME(21,2,32)</f>
        <v>40483.876759259256</v>
      </c>
      <c r="C517">
        <v>80</v>
      </c>
      <c r="D517">
        <v>79.664154053000004</v>
      </c>
      <c r="E517">
        <v>50</v>
      </c>
      <c r="F517">
        <v>42.716587066999999</v>
      </c>
      <c r="G517">
        <v>1320.6231689000001</v>
      </c>
      <c r="H517">
        <v>1315.9708252</v>
      </c>
      <c r="I517">
        <v>1365.7758789</v>
      </c>
      <c r="J517">
        <v>1355.7280272999999</v>
      </c>
      <c r="K517">
        <v>0</v>
      </c>
      <c r="L517">
        <v>2400</v>
      </c>
      <c r="M517">
        <v>2400</v>
      </c>
      <c r="N517">
        <v>0</v>
      </c>
    </row>
    <row r="518" spans="1:14" x14ac:dyDescent="0.25">
      <c r="A518">
        <v>184.94273799999999</v>
      </c>
      <c r="B518" s="1">
        <f>DATE(2010,11,1) + TIME(22,37,32)</f>
        <v>40483.942731481482</v>
      </c>
      <c r="C518">
        <v>80</v>
      </c>
      <c r="D518">
        <v>79.647071838000002</v>
      </c>
      <c r="E518">
        <v>50</v>
      </c>
      <c r="F518">
        <v>43.315059662000003</v>
      </c>
      <c r="G518">
        <v>1320.6217041</v>
      </c>
      <c r="H518">
        <v>1315.9689940999999</v>
      </c>
      <c r="I518">
        <v>1365.5748291</v>
      </c>
      <c r="J518">
        <v>1355.6387939000001</v>
      </c>
      <c r="K518">
        <v>0</v>
      </c>
      <c r="L518">
        <v>2400</v>
      </c>
      <c r="M518">
        <v>2400</v>
      </c>
      <c r="N518">
        <v>0</v>
      </c>
    </row>
    <row r="519" spans="1:14" x14ac:dyDescent="0.25">
      <c r="A519">
        <v>185.01349400000001</v>
      </c>
      <c r="B519" s="1">
        <f>DATE(2010,11,2) + TIME(0,19,25)</f>
        <v>40484.013483796298</v>
      </c>
      <c r="C519">
        <v>80</v>
      </c>
      <c r="D519">
        <v>79.629028320000003</v>
      </c>
      <c r="E519">
        <v>50</v>
      </c>
      <c r="F519">
        <v>43.900169372999997</v>
      </c>
      <c r="G519">
        <v>1320.6201172000001</v>
      </c>
      <c r="H519">
        <v>1315.9669189000001</v>
      </c>
      <c r="I519">
        <v>1365.3793945</v>
      </c>
      <c r="J519">
        <v>1355.5504149999999</v>
      </c>
      <c r="K519">
        <v>0</v>
      </c>
      <c r="L519">
        <v>2400</v>
      </c>
      <c r="M519">
        <v>2400</v>
      </c>
      <c r="N519">
        <v>0</v>
      </c>
    </row>
    <row r="520" spans="1:14" x14ac:dyDescent="0.25">
      <c r="A520">
        <v>185.089754</v>
      </c>
      <c r="B520" s="1">
        <f>DATE(2010,11,2) + TIME(2,9,14)</f>
        <v>40484.089745370373</v>
      </c>
      <c r="C520">
        <v>80</v>
      </c>
      <c r="D520">
        <v>79.609893799000005</v>
      </c>
      <c r="E520">
        <v>50</v>
      </c>
      <c r="F520">
        <v>44.471050261999999</v>
      </c>
      <c r="G520">
        <v>1320.6184082</v>
      </c>
      <c r="H520">
        <v>1315.9648437999999</v>
      </c>
      <c r="I520">
        <v>1365.1889647999999</v>
      </c>
      <c r="J520">
        <v>1355.4624022999999</v>
      </c>
      <c r="K520">
        <v>0</v>
      </c>
      <c r="L520">
        <v>2400</v>
      </c>
      <c r="M520">
        <v>2400</v>
      </c>
      <c r="N520">
        <v>0</v>
      </c>
    </row>
    <row r="521" spans="1:14" x14ac:dyDescent="0.25">
      <c r="A521">
        <v>185.172426</v>
      </c>
      <c r="B521" s="1">
        <f>DATE(2010,11,2) + TIME(4,8,17)</f>
        <v>40484.172418981485</v>
      </c>
      <c r="C521">
        <v>80</v>
      </c>
      <c r="D521">
        <v>79.589492797999995</v>
      </c>
      <c r="E521">
        <v>50</v>
      </c>
      <c r="F521">
        <v>45.026870727999999</v>
      </c>
      <c r="G521">
        <v>1320.6165771000001</v>
      </c>
      <c r="H521">
        <v>1315.9625243999999</v>
      </c>
      <c r="I521">
        <v>1365.0031738</v>
      </c>
      <c r="J521">
        <v>1355.3746338000001</v>
      </c>
      <c r="K521">
        <v>0</v>
      </c>
      <c r="L521">
        <v>2400</v>
      </c>
      <c r="M521">
        <v>2400</v>
      </c>
      <c r="N521">
        <v>0</v>
      </c>
    </row>
    <row r="522" spans="1:14" x14ac:dyDescent="0.25">
      <c r="A522">
        <v>185.26265100000001</v>
      </c>
      <c r="B522" s="1">
        <f>DATE(2010,11,2) + TIME(6,18,13)</f>
        <v>40484.262650462966</v>
      </c>
      <c r="C522">
        <v>80</v>
      </c>
      <c r="D522">
        <v>79.567626953000001</v>
      </c>
      <c r="E522">
        <v>50</v>
      </c>
      <c r="F522">
        <v>45.566638947000001</v>
      </c>
      <c r="G522">
        <v>1320.6145019999999</v>
      </c>
      <c r="H522">
        <v>1315.9599608999999</v>
      </c>
      <c r="I522">
        <v>1364.8210449000001</v>
      </c>
      <c r="J522">
        <v>1355.2862548999999</v>
      </c>
      <c r="K522">
        <v>0</v>
      </c>
      <c r="L522">
        <v>2400</v>
      </c>
      <c r="M522">
        <v>2400</v>
      </c>
      <c r="N522">
        <v>0</v>
      </c>
    </row>
    <row r="523" spans="1:14" x14ac:dyDescent="0.25">
      <c r="A523">
        <v>185.361875</v>
      </c>
      <c r="B523" s="1">
        <f>DATE(2010,11,2) + TIME(8,41,6)</f>
        <v>40484.361875000002</v>
      </c>
      <c r="C523">
        <v>80</v>
      </c>
      <c r="D523">
        <v>79.544021606000001</v>
      </c>
      <c r="E523">
        <v>50</v>
      </c>
      <c r="F523">
        <v>46.089076996000003</v>
      </c>
      <c r="G523">
        <v>1320.6123047000001</v>
      </c>
      <c r="H523">
        <v>1315.9572754000001</v>
      </c>
      <c r="I523">
        <v>1364.6422118999999</v>
      </c>
      <c r="J523">
        <v>1355.1967772999999</v>
      </c>
      <c r="K523">
        <v>0</v>
      </c>
      <c r="L523">
        <v>2400</v>
      </c>
      <c r="M523">
        <v>2400</v>
      </c>
      <c r="N523">
        <v>0</v>
      </c>
    </row>
    <row r="524" spans="1:14" x14ac:dyDescent="0.25">
      <c r="A524">
        <v>185.47203300000001</v>
      </c>
      <c r="B524" s="1">
        <f>DATE(2010,11,2) + TIME(11,19,43)</f>
        <v>40484.472025462965</v>
      </c>
      <c r="C524">
        <v>80</v>
      </c>
      <c r="D524">
        <v>79.518333435000002</v>
      </c>
      <c r="E524">
        <v>50</v>
      </c>
      <c r="F524">
        <v>46.592891692999999</v>
      </c>
      <c r="G524">
        <v>1320.6097411999999</v>
      </c>
      <c r="H524">
        <v>1315.9542236</v>
      </c>
      <c r="I524">
        <v>1364.4655762</v>
      </c>
      <c r="J524">
        <v>1355.1055908000001</v>
      </c>
      <c r="K524">
        <v>0</v>
      </c>
      <c r="L524">
        <v>2400</v>
      </c>
      <c r="M524">
        <v>2400</v>
      </c>
      <c r="N524">
        <v>0</v>
      </c>
    </row>
    <row r="525" spans="1:14" x14ac:dyDescent="0.25">
      <c r="A525">
        <v>185.58766399999999</v>
      </c>
      <c r="B525" s="1">
        <f>DATE(2010,11,2) + TIME(14,6,14)</f>
        <v>40484.58766203704</v>
      </c>
      <c r="C525">
        <v>80</v>
      </c>
      <c r="D525">
        <v>79.491752625000004</v>
      </c>
      <c r="E525">
        <v>50</v>
      </c>
      <c r="F525">
        <v>47.049335480000003</v>
      </c>
      <c r="G525">
        <v>1320.6070557</v>
      </c>
      <c r="H525">
        <v>1315.9509277</v>
      </c>
      <c r="I525">
        <v>1364.3004149999999</v>
      </c>
      <c r="J525">
        <v>1355.0161132999999</v>
      </c>
      <c r="K525">
        <v>0</v>
      </c>
      <c r="L525">
        <v>2400</v>
      </c>
      <c r="M525">
        <v>2400</v>
      </c>
      <c r="N525">
        <v>0</v>
      </c>
    </row>
    <row r="526" spans="1:14" x14ac:dyDescent="0.25">
      <c r="A526">
        <v>185.70437799999999</v>
      </c>
      <c r="B526" s="1">
        <f>DATE(2010,11,2) + TIME(16,54,18)</f>
        <v>40484.704375000001</v>
      </c>
      <c r="C526">
        <v>80</v>
      </c>
      <c r="D526">
        <v>79.465156554999993</v>
      </c>
      <c r="E526">
        <v>50</v>
      </c>
      <c r="F526">
        <v>47.446483612000002</v>
      </c>
      <c r="G526">
        <v>1320.6040039</v>
      </c>
      <c r="H526">
        <v>1315.9473877</v>
      </c>
      <c r="I526">
        <v>1364.1502685999999</v>
      </c>
      <c r="J526">
        <v>1354.9309082</v>
      </c>
      <c r="K526">
        <v>0</v>
      </c>
      <c r="L526">
        <v>2400</v>
      </c>
      <c r="M526">
        <v>2400</v>
      </c>
      <c r="N526">
        <v>0</v>
      </c>
    </row>
    <row r="527" spans="1:14" x14ac:dyDescent="0.25">
      <c r="A527">
        <v>185.82298399999999</v>
      </c>
      <c r="B527" s="1">
        <f>DATE(2010,11,2) + TIME(19,45,5)</f>
        <v>40484.822974537034</v>
      </c>
      <c r="C527">
        <v>80</v>
      </c>
      <c r="D527">
        <v>79.438385010000005</v>
      </c>
      <c r="E527">
        <v>50</v>
      </c>
      <c r="F527">
        <v>47.79359436</v>
      </c>
      <c r="G527">
        <v>1320.6009521000001</v>
      </c>
      <c r="H527">
        <v>1315.9438477000001</v>
      </c>
      <c r="I527">
        <v>1364.0120850000001</v>
      </c>
      <c r="J527">
        <v>1354.8498535000001</v>
      </c>
      <c r="K527">
        <v>0</v>
      </c>
      <c r="L527">
        <v>2400</v>
      </c>
      <c r="M527">
        <v>2400</v>
      </c>
      <c r="N527">
        <v>0</v>
      </c>
    </row>
    <row r="528" spans="1:14" x14ac:dyDescent="0.25">
      <c r="A528">
        <v>185.94388799999999</v>
      </c>
      <c r="B528" s="1">
        <f>DATE(2010,11,2) + TIME(22,39,11)</f>
        <v>40484.943877314814</v>
      </c>
      <c r="C528">
        <v>80</v>
      </c>
      <c r="D528">
        <v>79.411354064999998</v>
      </c>
      <c r="E528">
        <v>50</v>
      </c>
      <c r="F528">
        <v>48.097084045000003</v>
      </c>
      <c r="G528">
        <v>1320.5979004000001</v>
      </c>
      <c r="H528">
        <v>1315.9401855000001</v>
      </c>
      <c r="I528">
        <v>1363.8839111</v>
      </c>
      <c r="J528">
        <v>1354.7718506000001</v>
      </c>
      <c r="K528">
        <v>0</v>
      </c>
      <c r="L528">
        <v>2400</v>
      </c>
      <c r="M528">
        <v>2400</v>
      </c>
      <c r="N528">
        <v>0</v>
      </c>
    </row>
    <row r="529" spans="1:14" x14ac:dyDescent="0.25">
      <c r="A529">
        <v>186.06724399999999</v>
      </c>
      <c r="B529" s="1">
        <f>DATE(2010,11,3) + TIME(1,36,49)</f>
        <v>40485.067233796297</v>
      </c>
      <c r="C529">
        <v>80</v>
      </c>
      <c r="D529">
        <v>79.384025574000006</v>
      </c>
      <c r="E529">
        <v>50</v>
      </c>
      <c r="F529">
        <v>48.361915588000002</v>
      </c>
      <c r="G529">
        <v>1320.5947266000001</v>
      </c>
      <c r="H529">
        <v>1315.9365233999999</v>
      </c>
      <c r="I529">
        <v>1363.7642822</v>
      </c>
      <c r="J529">
        <v>1354.6965332</v>
      </c>
      <c r="K529">
        <v>0</v>
      </c>
      <c r="L529">
        <v>2400</v>
      </c>
      <c r="M529">
        <v>2400</v>
      </c>
      <c r="N529">
        <v>0</v>
      </c>
    </row>
    <row r="530" spans="1:14" x14ac:dyDescent="0.25">
      <c r="A530">
        <v>186.19361699999999</v>
      </c>
      <c r="B530" s="1">
        <f>DATE(2010,11,3) + TIME(4,38,48)</f>
        <v>40485.193611111114</v>
      </c>
      <c r="C530">
        <v>80</v>
      </c>
      <c r="D530">
        <v>79.356292725000003</v>
      </c>
      <c r="E530">
        <v>50</v>
      </c>
      <c r="F530">
        <v>48.593158721999998</v>
      </c>
      <c r="G530">
        <v>1320.5914307</v>
      </c>
      <c r="H530">
        <v>1315.9326172000001</v>
      </c>
      <c r="I530">
        <v>1363.6517334</v>
      </c>
      <c r="J530">
        <v>1354.6234131000001</v>
      </c>
      <c r="K530">
        <v>0</v>
      </c>
      <c r="L530">
        <v>2400</v>
      </c>
      <c r="M530">
        <v>2400</v>
      </c>
      <c r="N530">
        <v>0</v>
      </c>
    </row>
    <row r="531" spans="1:14" x14ac:dyDescent="0.25">
      <c r="A531">
        <v>186.32356100000001</v>
      </c>
      <c r="B531" s="1">
        <f>DATE(2010,11,3) + TIME(7,45,55)</f>
        <v>40485.323553240742</v>
      </c>
      <c r="C531">
        <v>80</v>
      </c>
      <c r="D531">
        <v>79.328048706000004</v>
      </c>
      <c r="E531">
        <v>50</v>
      </c>
      <c r="F531">
        <v>48.794990540000001</v>
      </c>
      <c r="G531">
        <v>1320.5880127</v>
      </c>
      <c r="H531">
        <v>1315.9287108999999</v>
      </c>
      <c r="I531">
        <v>1363.5452881000001</v>
      </c>
      <c r="J531">
        <v>1354.5520019999999</v>
      </c>
      <c r="K531">
        <v>0</v>
      </c>
      <c r="L531">
        <v>2400</v>
      </c>
      <c r="M531">
        <v>2400</v>
      </c>
      <c r="N531">
        <v>0</v>
      </c>
    </row>
    <row r="532" spans="1:14" x14ac:dyDescent="0.25">
      <c r="A532">
        <v>186.457686</v>
      </c>
      <c r="B532" s="1">
        <f>DATE(2010,11,3) + TIME(10,59,4)</f>
        <v>40485.457685185182</v>
      </c>
      <c r="C532">
        <v>80</v>
      </c>
      <c r="D532">
        <v>79.299179077000005</v>
      </c>
      <c r="E532">
        <v>50</v>
      </c>
      <c r="F532">
        <v>48.970993042000003</v>
      </c>
      <c r="G532">
        <v>1320.5844727000001</v>
      </c>
      <c r="H532">
        <v>1315.9246826000001</v>
      </c>
      <c r="I532">
        <v>1363.4437256000001</v>
      </c>
      <c r="J532">
        <v>1354.4819336</v>
      </c>
      <c r="K532">
        <v>0</v>
      </c>
      <c r="L532">
        <v>2400</v>
      </c>
      <c r="M532">
        <v>2400</v>
      </c>
      <c r="N532">
        <v>0</v>
      </c>
    </row>
    <row r="533" spans="1:14" x14ac:dyDescent="0.25">
      <c r="A533">
        <v>186.59666899999999</v>
      </c>
      <c r="B533" s="1">
        <f>DATE(2010,11,3) + TIME(14,19,12)</f>
        <v>40485.596666666665</v>
      </c>
      <c r="C533">
        <v>80</v>
      </c>
      <c r="D533">
        <v>79.269569396999998</v>
      </c>
      <c r="E533">
        <v>50</v>
      </c>
      <c r="F533">
        <v>49.124237061000002</v>
      </c>
      <c r="G533">
        <v>1320.5809326000001</v>
      </c>
      <c r="H533">
        <v>1315.9204102000001</v>
      </c>
      <c r="I533">
        <v>1363.3463135</v>
      </c>
      <c r="J533">
        <v>1354.4128418</v>
      </c>
      <c r="K533">
        <v>0</v>
      </c>
      <c r="L533">
        <v>2400</v>
      </c>
      <c r="M533">
        <v>2400</v>
      </c>
      <c r="N533">
        <v>0</v>
      </c>
    </row>
    <row r="534" spans="1:14" x14ac:dyDescent="0.25">
      <c r="A534">
        <v>186.74108200000001</v>
      </c>
      <c r="B534" s="1">
        <f>DATE(2010,11,3) + TIME(17,47,9)</f>
        <v>40485.741076388891</v>
      </c>
      <c r="C534">
        <v>80</v>
      </c>
      <c r="D534">
        <v>79.239112853999998</v>
      </c>
      <c r="E534">
        <v>50</v>
      </c>
      <c r="F534">
        <v>49.257236481</v>
      </c>
      <c r="G534">
        <v>1320.5771483999999</v>
      </c>
      <c r="H534">
        <v>1315.9160156</v>
      </c>
      <c r="I534">
        <v>1363.2524414</v>
      </c>
      <c r="J534">
        <v>1354.3444824000001</v>
      </c>
      <c r="K534">
        <v>0</v>
      </c>
      <c r="L534">
        <v>2400</v>
      </c>
      <c r="M534">
        <v>2400</v>
      </c>
      <c r="N534">
        <v>0</v>
      </c>
    </row>
    <row r="535" spans="1:14" x14ac:dyDescent="0.25">
      <c r="A535">
        <v>186.891583</v>
      </c>
      <c r="B535" s="1">
        <f>DATE(2010,11,3) + TIME(21,23,52)</f>
        <v>40485.891574074078</v>
      </c>
      <c r="C535">
        <v>80</v>
      </c>
      <c r="D535">
        <v>79.207695006999998</v>
      </c>
      <c r="E535">
        <v>50</v>
      </c>
      <c r="F535">
        <v>49.372238158999998</v>
      </c>
      <c r="G535">
        <v>1320.5731201000001</v>
      </c>
      <c r="H535">
        <v>1315.911499</v>
      </c>
      <c r="I535">
        <v>1363.1612548999999</v>
      </c>
      <c r="J535">
        <v>1354.2764893000001</v>
      </c>
      <c r="K535">
        <v>0</v>
      </c>
      <c r="L535">
        <v>2400</v>
      </c>
      <c r="M535">
        <v>2400</v>
      </c>
      <c r="N535">
        <v>0</v>
      </c>
    </row>
    <row r="536" spans="1:14" x14ac:dyDescent="0.25">
      <c r="A536">
        <v>187.04907900000001</v>
      </c>
      <c r="B536" s="1">
        <f>DATE(2010,11,4) + TIME(1,10,40)</f>
        <v>40486.049074074072</v>
      </c>
      <c r="C536">
        <v>80</v>
      </c>
      <c r="D536">
        <v>79.175163268999995</v>
      </c>
      <c r="E536">
        <v>50</v>
      </c>
      <c r="F536">
        <v>49.471340179000002</v>
      </c>
      <c r="G536">
        <v>1320.5689697</v>
      </c>
      <c r="H536">
        <v>1315.9067382999999</v>
      </c>
      <c r="I536">
        <v>1363.0723877</v>
      </c>
      <c r="J536">
        <v>1354.2087402</v>
      </c>
      <c r="K536">
        <v>0</v>
      </c>
      <c r="L536">
        <v>2400</v>
      </c>
      <c r="M536">
        <v>2400</v>
      </c>
      <c r="N536">
        <v>0</v>
      </c>
    </row>
    <row r="537" spans="1:14" x14ac:dyDescent="0.25">
      <c r="A537">
        <v>187.214608</v>
      </c>
      <c r="B537" s="1">
        <f>DATE(2010,11,4) + TIME(5,9,2)</f>
        <v>40486.214606481481</v>
      </c>
      <c r="C537">
        <v>80</v>
      </c>
      <c r="D537">
        <v>79.141349792</v>
      </c>
      <c r="E537">
        <v>50</v>
      </c>
      <c r="F537">
        <v>49.556385040000002</v>
      </c>
      <c r="G537">
        <v>1320.5646973</v>
      </c>
      <c r="H537">
        <v>1315.9017334</v>
      </c>
      <c r="I537">
        <v>1362.9852295000001</v>
      </c>
      <c r="J537">
        <v>1354.1408690999999</v>
      </c>
      <c r="K537">
        <v>0</v>
      </c>
      <c r="L537">
        <v>2400</v>
      </c>
      <c r="M537">
        <v>2400</v>
      </c>
      <c r="N537">
        <v>0</v>
      </c>
    </row>
    <row r="538" spans="1:14" x14ac:dyDescent="0.25">
      <c r="A538">
        <v>187.389387</v>
      </c>
      <c r="B538" s="1">
        <f>DATE(2010,11,4) + TIME(9,20,43)</f>
        <v>40486.389386574076</v>
      </c>
      <c r="C538">
        <v>80</v>
      </c>
      <c r="D538">
        <v>79.106056213000002</v>
      </c>
      <c r="E538">
        <v>50</v>
      </c>
      <c r="F538">
        <v>49.628997802999997</v>
      </c>
      <c r="G538">
        <v>1320.5600586</v>
      </c>
      <c r="H538">
        <v>1315.8963623</v>
      </c>
      <c r="I538">
        <v>1362.8992920000001</v>
      </c>
      <c r="J538">
        <v>1354.0727539</v>
      </c>
      <c r="K538">
        <v>0</v>
      </c>
      <c r="L538">
        <v>2400</v>
      </c>
      <c r="M538">
        <v>2400</v>
      </c>
      <c r="N538">
        <v>0</v>
      </c>
    </row>
    <row r="539" spans="1:14" x14ac:dyDescent="0.25">
      <c r="A539">
        <v>187.57456099999999</v>
      </c>
      <c r="B539" s="1">
        <f>DATE(2010,11,4) + TIME(13,47,22)</f>
        <v>40486.574560185189</v>
      </c>
      <c r="C539">
        <v>80</v>
      </c>
      <c r="D539">
        <v>79.069091796999999</v>
      </c>
      <c r="E539">
        <v>50</v>
      </c>
      <c r="F539">
        <v>49.690544127999999</v>
      </c>
      <c r="G539">
        <v>1320.5551757999999</v>
      </c>
      <c r="H539">
        <v>1315.8907471</v>
      </c>
      <c r="I539">
        <v>1362.8140868999999</v>
      </c>
      <c r="J539">
        <v>1354.0039062000001</v>
      </c>
      <c r="K539">
        <v>0</v>
      </c>
      <c r="L539">
        <v>2400</v>
      </c>
      <c r="M539">
        <v>2400</v>
      </c>
      <c r="N539">
        <v>0</v>
      </c>
    </row>
    <row r="540" spans="1:14" x14ac:dyDescent="0.25">
      <c r="A540">
        <v>187.77173199999999</v>
      </c>
      <c r="B540" s="1">
        <f>DATE(2010,11,4) + TIME(18,31,17)</f>
        <v>40486.771724537037</v>
      </c>
      <c r="C540">
        <v>80</v>
      </c>
      <c r="D540">
        <v>79.030220032000003</v>
      </c>
      <c r="E540">
        <v>50</v>
      </c>
      <c r="F540">
        <v>49.742347717000001</v>
      </c>
      <c r="G540">
        <v>1320.5499268000001</v>
      </c>
      <c r="H540">
        <v>1315.8847656</v>
      </c>
      <c r="I540">
        <v>1362.729126</v>
      </c>
      <c r="J540">
        <v>1353.9343262</v>
      </c>
      <c r="K540">
        <v>0</v>
      </c>
      <c r="L540">
        <v>2400</v>
      </c>
      <c r="M540">
        <v>2400</v>
      </c>
      <c r="N540">
        <v>0</v>
      </c>
    </row>
    <row r="541" spans="1:14" x14ac:dyDescent="0.25">
      <c r="A541">
        <v>187.98226099999999</v>
      </c>
      <c r="B541" s="1">
        <f>DATE(2010,11,4) + TIME(23,34,27)</f>
        <v>40486.982256944444</v>
      </c>
      <c r="C541">
        <v>80</v>
      </c>
      <c r="D541">
        <v>78.989227295000006</v>
      </c>
      <c r="E541">
        <v>50</v>
      </c>
      <c r="F541">
        <v>49.785507201999998</v>
      </c>
      <c r="G541">
        <v>1320.5444336</v>
      </c>
      <c r="H541">
        <v>1315.8782959</v>
      </c>
      <c r="I541">
        <v>1362.644043</v>
      </c>
      <c r="J541">
        <v>1353.8636475000001</v>
      </c>
      <c r="K541">
        <v>0</v>
      </c>
      <c r="L541">
        <v>2400</v>
      </c>
      <c r="M541">
        <v>2400</v>
      </c>
      <c r="N541">
        <v>0</v>
      </c>
    </row>
    <row r="542" spans="1:14" x14ac:dyDescent="0.25">
      <c r="A542">
        <v>188.206199</v>
      </c>
      <c r="B542" s="1">
        <f>DATE(2010,11,5) + TIME(4,56,55)</f>
        <v>40487.206192129626</v>
      </c>
      <c r="C542">
        <v>80</v>
      </c>
      <c r="D542">
        <v>78.946113585999996</v>
      </c>
      <c r="E542">
        <v>50</v>
      </c>
      <c r="F542">
        <v>49.820873259999999</v>
      </c>
      <c r="G542">
        <v>1320.5384521000001</v>
      </c>
      <c r="H542">
        <v>1315.8714600000001</v>
      </c>
      <c r="I542">
        <v>1362.5584716999999</v>
      </c>
      <c r="J542">
        <v>1353.7918701000001</v>
      </c>
      <c r="K542">
        <v>0</v>
      </c>
      <c r="L542">
        <v>2400</v>
      </c>
      <c r="M542">
        <v>2400</v>
      </c>
      <c r="N542">
        <v>0</v>
      </c>
    </row>
    <row r="543" spans="1:14" x14ac:dyDescent="0.25">
      <c r="A543">
        <v>188.44485900000001</v>
      </c>
      <c r="B543" s="1">
        <f>DATE(2010,11,5) + TIME(10,40,35)</f>
        <v>40487.444849537038</v>
      </c>
      <c r="C543">
        <v>80</v>
      </c>
      <c r="D543">
        <v>78.900695800999998</v>
      </c>
      <c r="E543">
        <v>50</v>
      </c>
      <c r="F543">
        <v>49.849525452000002</v>
      </c>
      <c r="G543">
        <v>1320.5321045000001</v>
      </c>
      <c r="H543">
        <v>1315.8641356999999</v>
      </c>
      <c r="I543">
        <v>1362.4727783000001</v>
      </c>
      <c r="J543">
        <v>1353.7189940999999</v>
      </c>
      <c r="K543">
        <v>0</v>
      </c>
      <c r="L543">
        <v>2400</v>
      </c>
      <c r="M543">
        <v>2400</v>
      </c>
      <c r="N543">
        <v>0</v>
      </c>
    </row>
    <row r="544" spans="1:14" x14ac:dyDescent="0.25">
      <c r="A544">
        <v>188.689245</v>
      </c>
      <c r="B544" s="1">
        <f>DATE(2010,11,5) + TIME(16,32,30)</f>
        <v>40487.689236111109</v>
      </c>
      <c r="C544">
        <v>80</v>
      </c>
      <c r="D544">
        <v>78.854293823000006</v>
      </c>
      <c r="E544">
        <v>50</v>
      </c>
      <c r="F544">
        <v>49.871746063000003</v>
      </c>
      <c r="G544">
        <v>1320.5252685999999</v>
      </c>
      <c r="H544">
        <v>1315.8563231999999</v>
      </c>
      <c r="I544">
        <v>1362.3869629000001</v>
      </c>
      <c r="J544">
        <v>1353.6453856999999</v>
      </c>
      <c r="K544">
        <v>0</v>
      </c>
      <c r="L544">
        <v>2400</v>
      </c>
      <c r="M544">
        <v>2400</v>
      </c>
      <c r="N544">
        <v>0</v>
      </c>
    </row>
    <row r="545" spans="1:14" x14ac:dyDescent="0.25">
      <c r="A545">
        <v>188.93568300000001</v>
      </c>
      <c r="B545" s="1">
        <f>DATE(2010,11,5) + TIME(22,27,23)</f>
        <v>40487.935682870368</v>
      </c>
      <c r="C545">
        <v>80</v>
      </c>
      <c r="D545">
        <v>78.807525635000005</v>
      </c>
      <c r="E545">
        <v>50</v>
      </c>
      <c r="F545">
        <v>49.888713836999997</v>
      </c>
      <c r="G545">
        <v>1320.5181885</v>
      </c>
      <c r="H545">
        <v>1315.8482666</v>
      </c>
      <c r="I545">
        <v>1362.3039550999999</v>
      </c>
      <c r="J545">
        <v>1353.5736084</v>
      </c>
      <c r="K545">
        <v>0</v>
      </c>
      <c r="L545">
        <v>2400</v>
      </c>
      <c r="M545">
        <v>2400</v>
      </c>
      <c r="N545">
        <v>0</v>
      </c>
    </row>
    <row r="546" spans="1:14" x14ac:dyDescent="0.25">
      <c r="A546">
        <v>189.185438</v>
      </c>
      <c r="B546" s="1">
        <f>DATE(2010,11,6) + TIME(4,27,1)</f>
        <v>40488.185428240744</v>
      </c>
      <c r="C546">
        <v>80</v>
      </c>
      <c r="D546">
        <v>78.760276794000006</v>
      </c>
      <c r="E546">
        <v>50</v>
      </c>
      <c r="F546">
        <v>49.901729584000002</v>
      </c>
      <c r="G546">
        <v>1320.5109863</v>
      </c>
      <c r="H546">
        <v>1315.8400879000001</v>
      </c>
      <c r="I546">
        <v>1362.2243652</v>
      </c>
      <c r="J546">
        <v>1353.5045166</v>
      </c>
      <c r="K546">
        <v>0</v>
      </c>
      <c r="L546">
        <v>2400</v>
      </c>
      <c r="M546">
        <v>2400</v>
      </c>
      <c r="N546">
        <v>0</v>
      </c>
    </row>
    <row r="547" spans="1:14" x14ac:dyDescent="0.25">
      <c r="A547">
        <v>189.43880100000001</v>
      </c>
      <c r="B547" s="1">
        <f>DATE(2010,11,6) + TIME(10,31,52)</f>
        <v>40488.438796296294</v>
      </c>
      <c r="C547">
        <v>80</v>
      </c>
      <c r="D547">
        <v>78.712547302000004</v>
      </c>
      <c r="E547">
        <v>50</v>
      </c>
      <c r="F547">
        <v>49.911716460999997</v>
      </c>
      <c r="G547">
        <v>1320.5036620999999</v>
      </c>
      <c r="H547">
        <v>1315.8316649999999</v>
      </c>
      <c r="I547">
        <v>1362.1477050999999</v>
      </c>
      <c r="J547">
        <v>1353.4378661999999</v>
      </c>
      <c r="K547">
        <v>0</v>
      </c>
      <c r="L547">
        <v>2400</v>
      </c>
      <c r="M547">
        <v>2400</v>
      </c>
      <c r="N547">
        <v>0</v>
      </c>
    </row>
    <row r="548" spans="1:14" x14ac:dyDescent="0.25">
      <c r="A548">
        <v>189.696967</v>
      </c>
      <c r="B548" s="1">
        <f>DATE(2010,11,6) + TIME(16,43,37)</f>
        <v>40488.696956018517</v>
      </c>
      <c r="C548">
        <v>80</v>
      </c>
      <c r="D548">
        <v>78.664215088000006</v>
      </c>
      <c r="E548">
        <v>50</v>
      </c>
      <c r="F548">
        <v>49.919403076000002</v>
      </c>
      <c r="G548">
        <v>1320.4962158000001</v>
      </c>
      <c r="H548">
        <v>1315.8231201000001</v>
      </c>
      <c r="I548">
        <v>1362.0737305</v>
      </c>
      <c r="J548">
        <v>1353.3731689000001</v>
      </c>
      <c r="K548">
        <v>0</v>
      </c>
      <c r="L548">
        <v>2400</v>
      </c>
      <c r="M548">
        <v>2400</v>
      </c>
      <c r="N548">
        <v>0</v>
      </c>
    </row>
    <row r="549" spans="1:14" x14ac:dyDescent="0.25">
      <c r="A549">
        <v>189.961242</v>
      </c>
      <c r="B549" s="1">
        <f>DATE(2010,11,6) + TIME(23,4,11)</f>
        <v>40488.961238425924</v>
      </c>
      <c r="C549">
        <v>80</v>
      </c>
      <c r="D549">
        <v>78.615119934000006</v>
      </c>
      <c r="E549">
        <v>50</v>
      </c>
      <c r="F549">
        <v>49.925342559999997</v>
      </c>
      <c r="G549">
        <v>1320.4886475000001</v>
      </c>
      <c r="H549">
        <v>1315.8144531</v>
      </c>
      <c r="I549">
        <v>1362.0015868999999</v>
      </c>
      <c r="J549">
        <v>1353.3101807</v>
      </c>
      <c r="K549">
        <v>0</v>
      </c>
      <c r="L549">
        <v>2400</v>
      </c>
      <c r="M549">
        <v>2400</v>
      </c>
      <c r="N549">
        <v>0</v>
      </c>
    </row>
    <row r="550" spans="1:14" x14ac:dyDescent="0.25">
      <c r="A550">
        <v>190.232934</v>
      </c>
      <c r="B550" s="1">
        <f>DATE(2010,11,7) + TIME(5,35,25)</f>
        <v>40489.232928240737</v>
      </c>
      <c r="C550">
        <v>80</v>
      </c>
      <c r="D550">
        <v>78.565078735</v>
      </c>
      <c r="E550">
        <v>50</v>
      </c>
      <c r="F550">
        <v>49.929935454999999</v>
      </c>
      <c r="G550">
        <v>1320.4808350000001</v>
      </c>
      <c r="H550">
        <v>1315.8054199000001</v>
      </c>
      <c r="I550">
        <v>1361.9311522999999</v>
      </c>
      <c r="J550">
        <v>1353.2484131000001</v>
      </c>
      <c r="K550">
        <v>0</v>
      </c>
      <c r="L550">
        <v>2400</v>
      </c>
      <c r="M550">
        <v>2400</v>
      </c>
      <c r="N550">
        <v>0</v>
      </c>
    </row>
    <row r="551" spans="1:14" x14ac:dyDescent="0.25">
      <c r="A551">
        <v>190.51311100000001</v>
      </c>
      <c r="B551" s="1">
        <f>DATE(2010,11,7) + TIME(12,18,52)</f>
        <v>40489.513101851851</v>
      </c>
      <c r="C551">
        <v>80</v>
      </c>
      <c r="D551">
        <v>78.513961792000003</v>
      </c>
      <c r="E551">
        <v>50</v>
      </c>
      <c r="F551">
        <v>49.933498383</v>
      </c>
      <c r="G551">
        <v>1320.4727783000001</v>
      </c>
      <c r="H551">
        <v>1315.7960204999999</v>
      </c>
      <c r="I551">
        <v>1361.8618164</v>
      </c>
      <c r="J551">
        <v>1353.1876221</v>
      </c>
      <c r="K551">
        <v>0</v>
      </c>
      <c r="L551">
        <v>2400</v>
      </c>
      <c r="M551">
        <v>2400</v>
      </c>
      <c r="N551">
        <v>0</v>
      </c>
    </row>
    <row r="552" spans="1:14" x14ac:dyDescent="0.25">
      <c r="A552">
        <v>190.802684</v>
      </c>
      <c r="B552" s="1">
        <f>DATE(2010,11,7) + TIME(19,15,51)</f>
        <v>40489.802673611113</v>
      </c>
      <c r="C552">
        <v>80</v>
      </c>
      <c r="D552">
        <v>78.461647033999995</v>
      </c>
      <c r="E552">
        <v>50</v>
      </c>
      <c r="F552">
        <v>49.936256409000002</v>
      </c>
      <c r="G552">
        <v>1320.4643555</v>
      </c>
      <c r="H552">
        <v>1315.7863769999999</v>
      </c>
      <c r="I552">
        <v>1361.793457</v>
      </c>
      <c r="J552">
        <v>1353.1275635</v>
      </c>
      <c r="K552">
        <v>0</v>
      </c>
      <c r="L552">
        <v>2400</v>
      </c>
      <c r="M552">
        <v>2400</v>
      </c>
      <c r="N552">
        <v>0</v>
      </c>
    </row>
    <row r="553" spans="1:14" x14ac:dyDescent="0.25">
      <c r="A553">
        <v>191.10328699999999</v>
      </c>
      <c r="B553" s="1">
        <f>DATE(2010,11,8) + TIME(2,28,43)</f>
        <v>40490.103275462963</v>
      </c>
      <c r="C553">
        <v>80</v>
      </c>
      <c r="D553">
        <v>78.407913207999997</v>
      </c>
      <c r="E553">
        <v>50</v>
      </c>
      <c r="F553">
        <v>49.938404083000002</v>
      </c>
      <c r="G553">
        <v>1320.4556885</v>
      </c>
      <c r="H553">
        <v>1315.7762451000001</v>
      </c>
      <c r="I553">
        <v>1361.7257079999999</v>
      </c>
      <c r="J553">
        <v>1353.0681152</v>
      </c>
      <c r="K553">
        <v>0</v>
      </c>
      <c r="L553">
        <v>2400</v>
      </c>
      <c r="M553">
        <v>2400</v>
      </c>
      <c r="N553">
        <v>0</v>
      </c>
    </row>
    <row r="554" spans="1:14" x14ac:dyDescent="0.25">
      <c r="A554">
        <v>191.41646700000001</v>
      </c>
      <c r="B554" s="1">
        <f>DATE(2010,11,8) + TIME(9,59,42)</f>
        <v>40490.416458333333</v>
      </c>
      <c r="C554">
        <v>80</v>
      </c>
      <c r="D554">
        <v>78.352554321</v>
      </c>
      <c r="E554">
        <v>50</v>
      </c>
      <c r="F554">
        <v>49.940078735</v>
      </c>
      <c r="G554">
        <v>1320.4466553</v>
      </c>
      <c r="H554">
        <v>1315.7657471</v>
      </c>
      <c r="I554">
        <v>1361.6583252</v>
      </c>
      <c r="J554">
        <v>1353.0090332</v>
      </c>
      <c r="K554">
        <v>0</v>
      </c>
      <c r="L554">
        <v>2400</v>
      </c>
      <c r="M554">
        <v>2400</v>
      </c>
      <c r="N554">
        <v>0</v>
      </c>
    </row>
    <row r="555" spans="1:14" x14ac:dyDescent="0.25">
      <c r="A555">
        <v>191.74361200000001</v>
      </c>
      <c r="B555" s="1">
        <f>DATE(2010,11,8) + TIME(17,50,48)</f>
        <v>40490.743611111109</v>
      </c>
      <c r="C555">
        <v>80</v>
      </c>
      <c r="D555">
        <v>78.295387267999999</v>
      </c>
      <c r="E555">
        <v>50</v>
      </c>
      <c r="F555">
        <v>49.941390990999999</v>
      </c>
      <c r="G555">
        <v>1320.4371338000001</v>
      </c>
      <c r="H555">
        <v>1315.7546387</v>
      </c>
      <c r="I555">
        <v>1361.5910644999999</v>
      </c>
      <c r="J555">
        <v>1352.9500731999999</v>
      </c>
      <c r="K555">
        <v>0</v>
      </c>
      <c r="L555">
        <v>2400</v>
      </c>
      <c r="M555">
        <v>2400</v>
      </c>
      <c r="N555">
        <v>0</v>
      </c>
    </row>
    <row r="556" spans="1:14" x14ac:dyDescent="0.25">
      <c r="A556">
        <v>192.08657400000001</v>
      </c>
      <c r="B556" s="1">
        <f>DATE(2010,11,9) + TIME(2,4,40)</f>
        <v>40491.086574074077</v>
      </c>
      <c r="C556">
        <v>80</v>
      </c>
      <c r="D556">
        <v>78.236175536999994</v>
      </c>
      <c r="E556">
        <v>50</v>
      </c>
      <c r="F556">
        <v>49.942417145</v>
      </c>
      <c r="G556">
        <v>1320.427124</v>
      </c>
      <c r="H556">
        <v>1315.7430420000001</v>
      </c>
      <c r="I556">
        <v>1361.5238036999999</v>
      </c>
      <c r="J556">
        <v>1352.8911132999999</v>
      </c>
      <c r="K556">
        <v>0</v>
      </c>
      <c r="L556">
        <v>2400</v>
      </c>
      <c r="M556">
        <v>2400</v>
      </c>
      <c r="N556">
        <v>0</v>
      </c>
    </row>
    <row r="557" spans="1:14" x14ac:dyDescent="0.25">
      <c r="A557">
        <v>192.447191</v>
      </c>
      <c r="B557" s="1">
        <f>DATE(2010,11,9) + TIME(10,43,57)</f>
        <v>40491.447187500002</v>
      </c>
      <c r="C557">
        <v>80</v>
      </c>
      <c r="D557">
        <v>78.174674988000007</v>
      </c>
      <c r="E557">
        <v>50</v>
      </c>
      <c r="F557">
        <v>49.943229674999998</v>
      </c>
      <c r="G557">
        <v>1320.416626</v>
      </c>
      <c r="H557">
        <v>1315.7307129000001</v>
      </c>
      <c r="I557">
        <v>1361.4562988</v>
      </c>
      <c r="J557">
        <v>1352.8317870999999</v>
      </c>
      <c r="K557">
        <v>0</v>
      </c>
      <c r="L557">
        <v>2400</v>
      </c>
      <c r="M557">
        <v>2400</v>
      </c>
      <c r="N557">
        <v>0</v>
      </c>
    </row>
    <row r="558" spans="1:14" x14ac:dyDescent="0.25">
      <c r="A558">
        <v>192.82752600000001</v>
      </c>
      <c r="B558" s="1">
        <f>DATE(2010,11,9) + TIME(19,51,38)</f>
        <v>40491.827523148146</v>
      </c>
      <c r="C558">
        <v>80</v>
      </c>
      <c r="D558">
        <v>78.110618591000005</v>
      </c>
      <c r="E558">
        <v>50</v>
      </c>
      <c r="F558">
        <v>49.943870543999999</v>
      </c>
      <c r="G558">
        <v>1320.4053954999999</v>
      </c>
      <c r="H558">
        <v>1315.7175293</v>
      </c>
      <c r="I558">
        <v>1361.3883057</v>
      </c>
      <c r="J558">
        <v>1352.7722168</v>
      </c>
      <c r="K558">
        <v>0</v>
      </c>
      <c r="L558">
        <v>2400</v>
      </c>
      <c r="M558">
        <v>2400</v>
      </c>
      <c r="N558">
        <v>0</v>
      </c>
    </row>
    <row r="559" spans="1:14" x14ac:dyDescent="0.25">
      <c r="A559">
        <v>193.219864</v>
      </c>
      <c r="B559" s="1">
        <f>DATE(2010,11,10) + TIME(5,16,36)</f>
        <v>40492.219861111109</v>
      </c>
      <c r="C559">
        <v>80</v>
      </c>
      <c r="D559">
        <v>78.044891356999997</v>
      </c>
      <c r="E559">
        <v>50</v>
      </c>
      <c r="F559">
        <v>49.94437027</v>
      </c>
      <c r="G559">
        <v>1320.3935547000001</v>
      </c>
      <c r="H559">
        <v>1315.7036132999999</v>
      </c>
      <c r="I559">
        <v>1361.3195800999999</v>
      </c>
      <c r="J559">
        <v>1352.7120361</v>
      </c>
      <c r="K559">
        <v>0</v>
      </c>
      <c r="L559">
        <v>2400</v>
      </c>
      <c r="M559">
        <v>2400</v>
      </c>
      <c r="N559">
        <v>0</v>
      </c>
    </row>
    <row r="560" spans="1:14" x14ac:dyDescent="0.25">
      <c r="A560">
        <v>193.614476</v>
      </c>
      <c r="B560" s="1">
        <f>DATE(2010,11,10) + TIME(14,44,50)</f>
        <v>40492.61446759259</v>
      </c>
      <c r="C560">
        <v>80</v>
      </c>
      <c r="D560">
        <v>77.978713988999999</v>
      </c>
      <c r="E560">
        <v>50</v>
      </c>
      <c r="F560">
        <v>49.944755553999997</v>
      </c>
      <c r="G560">
        <v>1320.3811035000001</v>
      </c>
      <c r="H560">
        <v>1315.6892089999999</v>
      </c>
      <c r="I560">
        <v>1361.2517089999999</v>
      </c>
      <c r="J560">
        <v>1352.6527100000001</v>
      </c>
      <c r="K560">
        <v>0</v>
      </c>
      <c r="L560">
        <v>2400</v>
      </c>
      <c r="M560">
        <v>2400</v>
      </c>
      <c r="N560">
        <v>0</v>
      </c>
    </row>
    <row r="561" spans="1:14" x14ac:dyDescent="0.25">
      <c r="A561">
        <v>194.013474</v>
      </c>
      <c r="B561" s="1">
        <f>DATE(2010,11,11) + TIME(0,19,24)</f>
        <v>40493.013472222221</v>
      </c>
      <c r="C561">
        <v>80</v>
      </c>
      <c r="D561">
        <v>77.912040709999999</v>
      </c>
      <c r="E561">
        <v>50</v>
      </c>
      <c r="F561">
        <v>49.945056915000002</v>
      </c>
      <c r="G561">
        <v>1320.3685303</v>
      </c>
      <c r="H561">
        <v>1315.6744385</v>
      </c>
      <c r="I561">
        <v>1361.1864014</v>
      </c>
      <c r="J561">
        <v>1352.5957031</v>
      </c>
      <c r="K561">
        <v>0</v>
      </c>
      <c r="L561">
        <v>2400</v>
      </c>
      <c r="M561">
        <v>2400</v>
      </c>
      <c r="N561">
        <v>0</v>
      </c>
    </row>
    <row r="562" spans="1:14" x14ac:dyDescent="0.25">
      <c r="A562">
        <v>194.41849099999999</v>
      </c>
      <c r="B562" s="1">
        <f>DATE(2010,11,11) + TIME(10,2,37)</f>
        <v>40493.418483796297</v>
      </c>
      <c r="C562">
        <v>80</v>
      </c>
      <c r="D562">
        <v>77.844818114999995</v>
      </c>
      <c r="E562">
        <v>50</v>
      </c>
      <c r="F562">
        <v>49.945297240999999</v>
      </c>
      <c r="G562">
        <v>1320.3557129000001</v>
      </c>
      <c r="H562">
        <v>1315.6593018000001</v>
      </c>
      <c r="I562">
        <v>1361.1231689000001</v>
      </c>
      <c r="J562">
        <v>1352.5402832</v>
      </c>
      <c r="K562">
        <v>0</v>
      </c>
      <c r="L562">
        <v>2400</v>
      </c>
      <c r="M562">
        <v>2400</v>
      </c>
      <c r="N562">
        <v>0</v>
      </c>
    </row>
    <row r="563" spans="1:14" x14ac:dyDescent="0.25">
      <c r="A563">
        <v>194.83040399999999</v>
      </c>
      <c r="B563" s="1">
        <f>DATE(2010,11,11) + TIME(19,55,46)</f>
        <v>40493.830393518518</v>
      </c>
      <c r="C563">
        <v>80</v>
      </c>
      <c r="D563">
        <v>77.777008057000003</v>
      </c>
      <c r="E563">
        <v>50</v>
      </c>
      <c r="F563">
        <v>49.945491791000002</v>
      </c>
      <c r="G563">
        <v>1320.3425293</v>
      </c>
      <c r="H563">
        <v>1315.6436768000001</v>
      </c>
      <c r="I563">
        <v>1361.0614014</v>
      </c>
      <c r="J563">
        <v>1352.4864502</v>
      </c>
      <c r="K563">
        <v>0</v>
      </c>
      <c r="L563">
        <v>2400</v>
      </c>
      <c r="M563">
        <v>2400</v>
      </c>
      <c r="N563">
        <v>0</v>
      </c>
    </row>
    <row r="564" spans="1:14" x14ac:dyDescent="0.25">
      <c r="A564">
        <v>195.25131999999999</v>
      </c>
      <c r="B564" s="1">
        <f>DATE(2010,11,12) + TIME(6,1,54)</f>
        <v>40494.251319444447</v>
      </c>
      <c r="C564">
        <v>80</v>
      </c>
      <c r="D564">
        <v>77.708412170000003</v>
      </c>
      <c r="E564">
        <v>50</v>
      </c>
      <c r="F564">
        <v>49.945644379000001</v>
      </c>
      <c r="G564">
        <v>1320.3291016000001</v>
      </c>
      <c r="H564">
        <v>1315.6276855000001</v>
      </c>
      <c r="I564">
        <v>1361.0012207</v>
      </c>
      <c r="J564">
        <v>1352.4339600000001</v>
      </c>
      <c r="K564">
        <v>0</v>
      </c>
      <c r="L564">
        <v>2400</v>
      </c>
      <c r="M564">
        <v>2400</v>
      </c>
      <c r="N564">
        <v>0</v>
      </c>
    </row>
    <row r="565" spans="1:14" x14ac:dyDescent="0.25">
      <c r="A565">
        <v>195.683412</v>
      </c>
      <c r="B565" s="1">
        <f>DATE(2010,11,12) + TIME(16,24,6)</f>
        <v>40494.68340277778</v>
      </c>
      <c r="C565">
        <v>80</v>
      </c>
      <c r="D565">
        <v>77.638801575000002</v>
      </c>
      <c r="E565">
        <v>50</v>
      </c>
      <c r="F565">
        <v>49.945774077999999</v>
      </c>
      <c r="G565">
        <v>1320.3151855000001</v>
      </c>
      <c r="H565">
        <v>1315.6112060999999</v>
      </c>
      <c r="I565">
        <v>1360.9420166</v>
      </c>
      <c r="J565">
        <v>1352.3823242000001</v>
      </c>
      <c r="K565">
        <v>0</v>
      </c>
      <c r="L565">
        <v>2400</v>
      </c>
      <c r="M565">
        <v>2400</v>
      </c>
      <c r="N565">
        <v>0</v>
      </c>
    </row>
    <row r="566" spans="1:14" x14ac:dyDescent="0.25">
      <c r="A566">
        <v>196.12785700000001</v>
      </c>
      <c r="B566" s="1">
        <f>DATE(2010,11,13) + TIME(3,4,6)</f>
        <v>40495.127847222226</v>
      </c>
      <c r="C566">
        <v>80</v>
      </c>
      <c r="D566">
        <v>77.568038939999994</v>
      </c>
      <c r="E566">
        <v>50</v>
      </c>
      <c r="F566">
        <v>49.945880889999998</v>
      </c>
      <c r="G566">
        <v>1320.3007812000001</v>
      </c>
      <c r="H566">
        <v>1315.5939940999999</v>
      </c>
      <c r="I566">
        <v>1360.8835449000001</v>
      </c>
      <c r="J566">
        <v>1352.3314209</v>
      </c>
      <c r="K566">
        <v>0</v>
      </c>
      <c r="L566">
        <v>2400</v>
      </c>
      <c r="M566">
        <v>2400</v>
      </c>
      <c r="N566">
        <v>0</v>
      </c>
    </row>
    <row r="567" spans="1:14" x14ac:dyDescent="0.25">
      <c r="A567">
        <v>196.58661699999999</v>
      </c>
      <c r="B567" s="1">
        <f>DATE(2010,11,13) + TIME(14,4,43)</f>
        <v>40495.586608796293</v>
      </c>
      <c r="C567">
        <v>80</v>
      </c>
      <c r="D567">
        <v>77.495887756000002</v>
      </c>
      <c r="E567">
        <v>50</v>
      </c>
      <c r="F567">
        <v>49.945968628000003</v>
      </c>
      <c r="G567">
        <v>1320.2857666</v>
      </c>
      <c r="H567">
        <v>1315.5760498</v>
      </c>
      <c r="I567">
        <v>1360.8256836</v>
      </c>
      <c r="J567">
        <v>1352.2811279</v>
      </c>
      <c r="K567">
        <v>0</v>
      </c>
      <c r="L567">
        <v>2400</v>
      </c>
      <c r="M567">
        <v>2400</v>
      </c>
      <c r="N567">
        <v>0</v>
      </c>
    </row>
    <row r="568" spans="1:14" x14ac:dyDescent="0.25">
      <c r="A568">
        <v>197.06178499999999</v>
      </c>
      <c r="B568" s="1">
        <f>DATE(2010,11,14) + TIME(1,28,58)</f>
        <v>40496.061782407407</v>
      </c>
      <c r="C568">
        <v>80</v>
      </c>
      <c r="D568">
        <v>77.422119140999996</v>
      </c>
      <c r="E568">
        <v>50</v>
      </c>
      <c r="F568">
        <v>49.946041106999999</v>
      </c>
      <c r="G568">
        <v>1320.2702637</v>
      </c>
      <c r="H568">
        <v>1315.5573730000001</v>
      </c>
      <c r="I568">
        <v>1360.7681885</v>
      </c>
      <c r="J568">
        <v>1352.2310791</v>
      </c>
      <c r="K568">
        <v>0</v>
      </c>
      <c r="L568">
        <v>2400</v>
      </c>
      <c r="M568">
        <v>2400</v>
      </c>
      <c r="N568">
        <v>0</v>
      </c>
    </row>
    <row r="569" spans="1:14" x14ac:dyDescent="0.25">
      <c r="A569">
        <v>197.55517900000001</v>
      </c>
      <c r="B569" s="1">
        <f>DATE(2010,11,14) + TIME(13,19,27)</f>
        <v>40496.555173611108</v>
      </c>
      <c r="C569">
        <v>80</v>
      </c>
      <c r="D569">
        <v>77.346519470000004</v>
      </c>
      <c r="E569">
        <v>50</v>
      </c>
      <c r="F569">
        <v>49.946105957</v>
      </c>
      <c r="G569">
        <v>1320.2539062000001</v>
      </c>
      <c r="H569">
        <v>1315.5377197</v>
      </c>
      <c r="I569">
        <v>1360.7109375</v>
      </c>
      <c r="J569">
        <v>1352.1813964999999</v>
      </c>
      <c r="K569">
        <v>0</v>
      </c>
      <c r="L569">
        <v>2400</v>
      </c>
      <c r="M569">
        <v>2400</v>
      </c>
      <c r="N569">
        <v>0</v>
      </c>
    </row>
    <row r="570" spans="1:14" x14ac:dyDescent="0.25">
      <c r="A570">
        <v>198.069188</v>
      </c>
      <c r="B570" s="1">
        <f>DATE(2010,11,15) + TIME(1,39,37)</f>
        <v>40497.069178240738</v>
      </c>
      <c r="C570">
        <v>80</v>
      </c>
      <c r="D570">
        <v>77.268806458</v>
      </c>
      <c r="E570">
        <v>50</v>
      </c>
      <c r="F570">
        <v>49.946159363</v>
      </c>
      <c r="G570">
        <v>1320.2368164</v>
      </c>
      <c r="H570">
        <v>1315.5170897999999</v>
      </c>
      <c r="I570">
        <v>1360.6538086</v>
      </c>
      <c r="J570">
        <v>1352.1317139</v>
      </c>
      <c r="K570">
        <v>0</v>
      </c>
      <c r="L570">
        <v>2400</v>
      </c>
      <c r="M570">
        <v>2400</v>
      </c>
      <c r="N570">
        <v>0</v>
      </c>
    </row>
    <row r="571" spans="1:14" x14ac:dyDescent="0.25">
      <c r="A571">
        <v>198.60562100000001</v>
      </c>
      <c r="B571" s="1">
        <f>DATE(2010,11,15) + TIME(14,32,5)</f>
        <v>40497.605613425927</v>
      </c>
      <c r="C571">
        <v>80</v>
      </c>
      <c r="D571">
        <v>77.188789368000002</v>
      </c>
      <c r="E571">
        <v>50</v>
      </c>
      <c r="F571">
        <v>49.946205139</v>
      </c>
      <c r="G571">
        <v>1320.21875</v>
      </c>
      <c r="H571">
        <v>1315.4953613</v>
      </c>
      <c r="I571">
        <v>1360.5964355000001</v>
      </c>
      <c r="J571">
        <v>1352.0819091999999</v>
      </c>
      <c r="K571">
        <v>0</v>
      </c>
      <c r="L571">
        <v>2400</v>
      </c>
      <c r="M571">
        <v>2400</v>
      </c>
      <c r="N571">
        <v>0</v>
      </c>
    </row>
    <row r="572" spans="1:14" x14ac:dyDescent="0.25">
      <c r="A572">
        <v>199.145816</v>
      </c>
      <c r="B572" s="1">
        <f>DATE(2010,11,16) + TIME(3,29,58)</f>
        <v>40498.145810185182</v>
      </c>
      <c r="C572">
        <v>80</v>
      </c>
      <c r="D572">
        <v>77.108139038000004</v>
      </c>
      <c r="E572">
        <v>50</v>
      </c>
      <c r="F572">
        <v>49.946243285999998</v>
      </c>
      <c r="G572">
        <v>1320.199707</v>
      </c>
      <c r="H572">
        <v>1315.4724120999999</v>
      </c>
      <c r="I572">
        <v>1360.5388184000001</v>
      </c>
      <c r="J572">
        <v>1352.0319824000001</v>
      </c>
      <c r="K572">
        <v>0</v>
      </c>
      <c r="L572">
        <v>2400</v>
      </c>
      <c r="M572">
        <v>2400</v>
      </c>
      <c r="N572">
        <v>0</v>
      </c>
    </row>
    <row r="573" spans="1:14" x14ac:dyDescent="0.25">
      <c r="A573">
        <v>199.69104300000001</v>
      </c>
      <c r="B573" s="1">
        <f>DATE(2010,11,16) + TIME(16,35,6)</f>
        <v>40498.691041666665</v>
      </c>
      <c r="C573">
        <v>80</v>
      </c>
      <c r="D573">
        <v>77.027099609000004</v>
      </c>
      <c r="E573">
        <v>50</v>
      </c>
      <c r="F573">
        <v>49.946277618000003</v>
      </c>
      <c r="G573">
        <v>1320.1802978999999</v>
      </c>
      <c r="H573">
        <v>1315.4488524999999</v>
      </c>
      <c r="I573">
        <v>1360.4830322</v>
      </c>
      <c r="J573">
        <v>1351.9836425999999</v>
      </c>
      <c r="K573">
        <v>0</v>
      </c>
      <c r="L573">
        <v>2400</v>
      </c>
      <c r="M573">
        <v>2400</v>
      </c>
      <c r="N573">
        <v>0</v>
      </c>
    </row>
    <row r="574" spans="1:14" x14ac:dyDescent="0.25">
      <c r="A574">
        <v>200.24297100000001</v>
      </c>
      <c r="B574" s="1">
        <f>DATE(2010,11,17) + TIME(5,49,52)</f>
        <v>40499.242962962962</v>
      </c>
      <c r="C574">
        <v>80</v>
      </c>
      <c r="D574">
        <v>76.945716857999997</v>
      </c>
      <c r="E574">
        <v>50</v>
      </c>
      <c r="F574">
        <v>49.946304321</v>
      </c>
      <c r="G574">
        <v>1320.1605225000001</v>
      </c>
      <c r="H574">
        <v>1315.4246826000001</v>
      </c>
      <c r="I574">
        <v>1360.4287108999999</v>
      </c>
      <c r="J574">
        <v>1351.9367675999999</v>
      </c>
      <c r="K574">
        <v>0</v>
      </c>
      <c r="L574">
        <v>2400</v>
      </c>
      <c r="M574">
        <v>2400</v>
      </c>
      <c r="N574">
        <v>0</v>
      </c>
    </row>
    <row r="575" spans="1:14" x14ac:dyDescent="0.25">
      <c r="A575">
        <v>200.80446800000001</v>
      </c>
      <c r="B575" s="1">
        <f>DATE(2010,11,17) + TIME(19,18,26)</f>
        <v>40499.804467592592</v>
      </c>
      <c r="C575">
        <v>80</v>
      </c>
      <c r="D575">
        <v>76.863822936999995</v>
      </c>
      <c r="E575">
        <v>50</v>
      </c>
      <c r="F575">
        <v>49.946331024000003</v>
      </c>
      <c r="G575">
        <v>1320.1402588000001</v>
      </c>
      <c r="H575">
        <v>1315.3999022999999</v>
      </c>
      <c r="I575">
        <v>1360.3758545000001</v>
      </c>
      <c r="J575">
        <v>1351.8909911999999</v>
      </c>
      <c r="K575">
        <v>0</v>
      </c>
      <c r="L575">
        <v>2400</v>
      </c>
      <c r="M575">
        <v>2400</v>
      </c>
      <c r="N575">
        <v>0</v>
      </c>
    </row>
    <row r="576" spans="1:14" x14ac:dyDescent="0.25">
      <c r="A576">
        <v>201.378389</v>
      </c>
      <c r="B576" s="1">
        <f>DATE(2010,11,18) + TIME(9,4,52)</f>
        <v>40500.378379629627</v>
      </c>
      <c r="C576">
        <v>80</v>
      </c>
      <c r="D576">
        <v>76.781188964999998</v>
      </c>
      <c r="E576">
        <v>50</v>
      </c>
      <c r="F576">
        <v>49.946353911999999</v>
      </c>
      <c r="G576">
        <v>1320.1193848</v>
      </c>
      <c r="H576">
        <v>1315.3742675999999</v>
      </c>
      <c r="I576">
        <v>1360.3239745999999</v>
      </c>
      <c r="J576">
        <v>1351.8460693</v>
      </c>
      <c r="K576">
        <v>0</v>
      </c>
      <c r="L576">
        <v>2400</v>
      </c>
      <c r="M576">
        <v>2400</v>
      </c>
      <c r="N576">
        <v>0</v>
      </c>
    </row>
    <row r="577" spans="1:14" x14ac:dyDescent="0.25">
      <c r="A577">
        <v>201.96532199999999</v>
      </c>
      <c r="B577" s="1">
        <f>DATE(2010,11,18) + TIME(23,10,3)</f>
        <v>40500.965312499997</v>
      </c>
      <c r="C577">
        <v>80</v>
      </c>
      <c r="D577">
        <v>76.697731017999999</v>
      </c>
      <c r="E577">
        <v>50</v>
      </c>
      <c r="F577">
        <v>49.946376801</v>
      </c>
      <c r="G577">
        <v>1320.0977783000001</v>
      </c>
      <c r="H577">
        <v>1315.3476562000001</v>
      </c>
      <c r="I577">
        <v>1360.2727050999999</v>
      </c>
      <c r="J577">
        <v>1351.8018798999999</v>
      </c>
      <c r="K577">
        <v>0</v>
      </c>
      <c r="L577">
        <v>2400</v>
      </c>
      <c r="M577">
        <v>2400</v>
      </c>
      <c r="N577">
        <v>0</v>
      </c>
    </row>
    <row r="578" spans="1:14" x14ac:dyDescent="0.25">
      <c r="A578">
        <v>202.56841800000001</v>
      </c>
      <c r="B578" s="1">
        <f>DATE(2010,11,19) + TIME(13,38,31)</f>
        <v>40501.568414351852</v>
      </c>
      <c r="C578">
        <v>80</v>
      </c>
      <c r="D578">
        <v>76.613159179999997</v>
      </c>
      <c r="E578">
        <v>50</v>
      </c>
      <c r="F578">
        <v>49.946399689000003</v>
      </c>
      <c r="G578">
        <v>1320.0754394999999</v>
      </c>
      <c r="H578">
        <v>1315.3201904</v>
      </c>
      <c r="I578">
        <v>1360.222168</v>
      </c>
      <c r="J578">
        <v>1351.7583007999999</v>
      </c>
      <c r="K578">
        <v>0</v>
      </c>
      <c r="L578">
        <v>2400</v>
      </c>
      <c r="M578">
        <v>2400</v>
      </c>
      <c r="N578">
        <v>0</v>
      </c>
    </row>
    <row r="579" spans="1:14" x14ac:dyDescent="0.25">
      <c r="A579">
        <v>203.189595</v>
      </c>
      <c r="B579" s="1">
        <f>DATE(2010,11,20) + TIME(4,33,1)</f>
        <v>40502.18959490741</v>
      </c>
      <c r="C579">
        <v>80</v>
      </c>
      <c r="D579">
        <v>76.527259826999995</v>
      </c>
      <c r="E579">
        <v>50</v>
      </c>
      <c r="F579">
        <v>49.946422577</v>
      </c>
      <c r="G579">
        <v>1320.0522461</v>
      </c>
      <c r="H579">
        <v>1315.2915039</v>
      </c>
      <c r="I579">
        <v>1360.1719971</v>
      </c>
      <c r="J579">
        <v>1351.7150879000001</v>
      </c>
      <c r="K579">
        <v>0</v>
      </c>
      <c r="L579">
        <v>2400</v>
      </c>
      <c r="M579">
        <v>2400</v>
      </c>
      <c r="N579">
        <v>0</v>
      </c>
    </row>
    <row r="580" spans="1:14" x14ac:dyDescent="0.25">
      <c r="A580">
        <v>203.83153300000001</v>
      </c>
      <c r="B580" s="1">
        <f>DATE(2010,11,20) + TIME(19,57,24)</f>
        <v>40502.83152777778</v>
      </c>
      <c r="C580">
        <v>80</v>
      </c>
      <c r="D580">
        <v>76.439773560000006</v>
      </c>
      <c r="E580">
        <v>50</v>
      </c>
      <c r="F580">
        <v>49.946445464999996</v>
      </c>
      <c r="G580">
        <v>1320.0279541</v>
      </c>
      <c r="H580">
        <v>1315.2614745999999</v>
      </c>
      <c r="I580">
        <v>1360.1220702999999</v>
      </c>
      <c r="J580">
        <v>1351.6721190999999</v>
      </c>
      <c r="K580">
        <v>0</v>
      </c>
      <c r="L580">
        <v>2400</v>
      </c>
      <c r="M580">
        <v>2400</v>
      </c>
      <c r="N580">
        <v>0</v>
      </c>
    </row>
    <row r="581" spans="1:14" x14ac:dyDescent="0.25">
      <c r="A581">
        <v>204.495735</v>
      </c>
      <c r="B581" s="1">
        <f>DATE(2010,11,21) + TIME(11,53,51)</f>
        <v>40503.495729166665</v>
      </c>
      <c r="C581">
        <v>80</v>
      </c>
      <c r="D581">
        <v>76.350517272999994</v>
      </c>
      <c r="E581">
        <v>50</v>
      </c>
      <c r="F581">
        <v>49.946472168</v>
      </c>
      <c r="G581">
        <v>1320.0026855000001</v>
      </c>
      <c r="H581">
        <v>1315.2299805</v>
      </c>
      <c r="I581">
        <v>1360.0723877</v>
      </c>
      <c r="J581">
        <v>1351.6291504000001</v>
      </c>
      <c r="K581">
        <v>0</v>
      </c>
      <c r="L581">
        <v>2400</v>
      </c>
      <c r="M581">
        <v>2400</v>
      </c>
      <c r="N581">
        <v>0</v>
      </c>
    </row>
    <row r="582" spans="1:14" x14ac:dyDescent="0.25">
      <c r="A582">
        <v>205.186271</v>
      </c>
      <c r="B582" s="1">
        <f>DATE(2010,11,22) + TIME(4,28,13)</f>
        <v>40504.186261574076</v>
      </c>
      <c r="C582">
        <v>80</v>
      </c>
      <c r="D582">
        <v>76.259140015</v>
      </c>
      <c r="E582">
        <v>50</v>
      </c>
      <c r="F582">
        <v>49.946495056000003</v>
      </c>
      <c r="G582">
        <v>1319.9761963000001</v>
      </c>
      <c r="H582">
        <v>1315.1970214999999</v>
      </c>
      <c r="I582">
        <v>1360.0225829999999</v>
      </c>
      <c r="J582">
        <v>1351.5864257999999</v>
      </c>
      <c r="K582">
        <v>0</v>
      </c>
      <c r="L582">
        <v>2400</v>
      </c>
      <c r="M582">
        <v>2400</v>
      </c>
      <c r="N582">
        <v>0</v>
      </c>
    </row>
    <row r="583" spans="1:14" x14ac:dyDescent="0.25">
      <c r="A583">
        <v>205.889635</v>
      </c>
      <c r="B583" s="1">
        <f>DATE(2010,11,22) + TIME(21,21,4)</f>
        <v>40504.88962962963</v>
      </c>
      <c r="C583">
        <v>80</v>
      </c>
      <c r="D583">
        <v>76.166557311999995</v>
      </c>
      <c r="E583">
        <v>50</v>
      </c>
      <c r="F583">
        <v>49.946521758999999</v>
      </c>
      <c r="G583">
        <v>1319.9483643000001</v>
      </c>
      <c r="H583">
        <v>1315.1622314000001</v>
      </c>
      <c r="I583">
        <v>1359.9726562000001</v>
      </c>
      <c r="J583">
        <v>1351.543457</v>
      </c>
      <c r="K583">
        <v>0</v>
      </c>
      <c r="L583">
        <v>2400</v>
      </c>
      <c r="M583">
        <v>2400</v>
      </c>
      <c r="N583">
        <v>0</v>
      </c>
    </row>
    <row r="584" spans="1:14" x14ac:dyDescent="0.25">
      <c r="A584">
        <v>206.59792200000001</v>
      </c>
      <c r="B584" s="1">
        <f>DATE(2010,11,23) + TIME(14,21,0)</f>
        <v>40505.597916666666</v>
      </c>
      <c r="C584">
        <v>80</v>
      </c>
      <c r="D584">
        <v>76.073646545000003</v>
      </c>
      <c r="E584">
        <v>50</v>
      </c>
      <c r="F584">
        <v>49.946548462000003</v>
      </c>
      <c r="G584">
        <v>1319.9195557</v>
      </c>
      <c r="H584">
        <v>1315.1263428</v>
      </c>
      <c r="I584">
        <v>1359.9235839999999</v>
      </c>
      <c r="J584">
        <v>1351.5013428</v>
      </c>
      <c r="K584">
        <v>0</v>
      </c>
      <c r="L584">
        <v>2400</v>
      </c>
      <c r="M584">
        <v>2400</v>
      </c>
      <c r="N584">
        <v>0</v>
      </c>
    </row>
    <row r="585" spans="1:14" x14ac:dyDescent="0.25">
      <c r="A585">
        <v>207.315078</v>
      </c>
      <c r="B585" s="1">
        <f>DATE(2010,11,24) + TIME(7,33,42)</f>
        <v>40506.315069444441</v>
      </c>
      <c r="C585">
        <v>80</v>
      </c>
      <c r="D585">
        <v>75.980484008999994</v>
      </c>
      <c r="E585">
        <v>50</v>
      </c>
      <c r="F585">
        <v>49.946578979000002</v>
      </c>
      <c r="G585">
        <v>1319.8902588000001</v>
      </c>
      <c r="H585">
        <v>1315.0894774999999</v>
      </c>
      <c r="I585">
        <v>1359.8758545000001</v>
      </c>
      <c r="J585">
        <v>1351.4603271000001</v>
      </c>
      <c r="K585">
        <v>0</v>
      </c>
      <c r="L585">
        <v>2400</v>
      </c>
      <c r="M585">
        <v>2400</v>
      </c>
      <c r="N585">
        <v>0</v>
      </c>
    </row>
    <row r="586" spans="1:14" x14ac:dyDescent="0.25">
      <c r="A586">
        <v>208.04264000000001</v>
      </c>
      <c r="B586" s="1">
        <f>DATE(2010,11,25) + TIME(1,1,24)</f>
        <v>40507.042638888888</v>
      </c>
      <c r="C586">
        <v>80</v>
      </c>
      <c r="D586">
        <v>75.887084960999999</v>
      </c>
      <c r="E586">
        <v>50</v>
      </c>
      <c r="F586">
        <v>49.946605681999998</v>
      </c>
      <c r="G586">
        <v>1319.8601074000001</v>
      </c>
      <c r="H586">
        <v>1315.0516356999999</v>
      </c>
      <c r="I586">
        <v>1359.8291016000001</v>
      </c>
      <c r="J586">
        <v>1351.4202881000001</v>
      </c>
      <c r="K586">
        <v>0</v>
      </c>
      <c r="L586">
        <v>2400</v>
      </c>
      <c r="M586">
        <v>2400</v>
      </c>
      <c r="N586">
        <v>0</v>
      </c>
    </row>
    <row r="587" spans="1:14" x14ac:dyDescent="0.25">
      <c r="A587">
        <v>208.78311500000001</v>
      </c>
      <c r="B587" s="1">
        <f>DATE(2010,11,25) + TIME(18,47,41)</f>
        <v>40507.783113425925</v>
      </c>
      <c r="C587">
        <v>80</v>
      </c>
      <c r="D587">
        <v>75.793312072999996</v>
      </c>
      <c r="E587">
        <v>50</v>
      </c>
      <c r="F587">
        <v>49.9466362</v>
      </c>
      <c r="G587">
        <v>1319.8292236</v>
      </c>
      <c r="H587">
        <v>1315.0125731999999</v>
      </c>
      <c r="I587">
        <v>1359.7833252</v>
      </c>
      <c r="J587">
        <v>1351.3809814000001</v>
      </c>
      <c r="K587">
        <v>0</v>
      </c>
      <c r="L587">
        <v>2400</v>
      </c>
      <c r="M587">
        <v>2400</v>
      </c>
      <c r="N587">
        <v>0</v>
      </c>
    </row>
    <row r="588" spans="1:14" x14ac:dyDescent="0.25">
      <c r="A588">
        <v>209.54040599999999</v>
      </c>
      <c r="B588" s="1">
        <f>DATE(2010,11,26) + TIME(12,58,11)</f>
        <v>40508.540405092594</v>
      </c>
      <c r="C588">
        <v>80</v>
      </c>
      <c r="D588">
        <v>75.698875427000004</v>
      </c>
      <c r="E588">
        <v>50</v>
      </c>
      <c r="F588">
        <v>49.946670531999999</v>
      </c>
      <c r="G588">
        <v>1319.7973632999999</v>
      </c>
      <c r="H588">
        <v>1314.9722899999999</v>
      </c>
      <c r="I588">
        <v>1359.7381591999999</v>
      </c>
      <c r="J588">
        <v>1351.3422852000001</v>
      </c>
      <c r="K588">
        <v>0</v>
      </c>
      <c r="L588">
        <v>2400</v>
      </c>
      <c r="M588">
        <v>2400</v>
      </c>
      <c r="N588">
        <v>0</v>
      </c>
    </row>
    <row r="589" spans="1:14" x14ac:dyDescent="0.25">
      <c r="A589">
        <v>210.31588400000001</v>
      </c>
      <c r="B589" s="1">
        <f>DATE(2010,11,27) + TIME(7,34,52)</f>
        <v>40509.315879629627</v>
      </c>
      <c r="C589">
        <v>80</v>
      </c>
      <c r="D589">
        <v>75.603599548000005</v>
      </c>
      <c r="E589">
        <v>50</v>
      </c>
      <c r="F589">
        <v>49.946704865000001</v>
      </c>
      <c r="G589">
        <v>1319.7644043</v>
      </c>
      <c r="H589">
        <v>1314.9305420000001</v>
      </c>
      <c r="I589">
        <v>1359.6934814000001</v>
      </c>
      <c r="J589">
        <v>1351.3040771000001</v>
      </c>
      <c r="K589">
        <v>0</v>
      </c>
      <c r="L589">
        <v>2400</v>
      </c>
      <c r="M589">
        <v>2400</v>
      </c>
      <c r="N589">
        <v>0</v>
      </c>
    </row>
    <row r="590" spans="1:14" x14ac:dyDescent="0.25">
      <c r="A590">
        <v>211.11319399999999</v>
      </c>
      <c r="B590" s="1">
        <f>DATE(2010,11,28) + TIME(2,42,59)</f>
        <v>40510.113182870373</v>
      </c>
      <c r="C590">
        <v>80</v>
      </c>
      <c r="D590">
        <v>75.50718689</v>
      </c>
      <c r="E590">
        <v>50</v>
      </c>
      <c r="F590">
        <v>49.946739196999999</v>
      </c>
      <c r="G590">
        <v>1319.7303466999999</v>
      </c>
      <c r="H590">
        <v>1314.8870850000001</v>
      </c>
      <c r="I590">
        <v>1359.6492920000001</v>
      </c>
      <c r="J590">
        <v>1351.2662353999999</v>
      </c>
      <c r="K590">
        <v>0</v>
      </c>
      <c r="L590">
        <v>2400</v>
      </c>
      <c r="M590">
        <v>2400</v>
      </c>
      <c r="N590">
        <v>0</v>
      </c>
    </row>
    <row r="591" spans="1:14" x14ac:dyDescent="0.25">
      <c r="A591">
        <v>211.93421900000001</v>
      </c>
      <c r="B591" s="1">
        <f>DATE(2010,11,28) + TIME(22,25,16)</f>
        <v>40510.934212962966</v>
      </c>
      <c r="C591">
        <v>80</v>
      </c>
      <c r="D591">
        <v>75.409439086999996</v>
      </c>
      <c r="E591">
        <v>50</v>
      </c>
      <c r="F591">
        <v>49.946777343999997</v>
      </c>
      <c r="G591">
        <v>1319.6948242000001</v>
      </c>
      <c r="H591">
        <v>1314.8419189000001</v>
      </c>
      <c r="I591">
        <v>1359.6052245999999</v>
      </c>
      <c r="J591">
        <v>1351.2286377</v>
      </c>
      <c r="K591">
        <v>0</v>
      </c>
      <c r="L591">
        <v>2400</v>
      </c>
      <c r="M591">
        <v>2400</v>
      </c>
      <c r="N591">
        <v>0</v>
      </c>
    </row>
    <row r="592" spans="1:14" x14ac:dyDescent="0.25">
      <c r="A592">
        <v>212.783064</v>
      </c>
      <c r="B592" s="1">
        <f>DATE(2010,11,29) + TIME(18,47,36)</f>
        <v>40511.783055555556</v>
      </c>
      <c r="C592">
        <v>80</v>
      </c>
      <c r="D592">
        <v>75.310035705999994</v>
      </c>
      <c r="E592">
        <v>50</v>
      </c>
      <c r="F592">
        <v>49.946819304999998</v>
      </c>
      <c r="G592">
        <v>1319.6578368999999</v>
      </c>
      <c r="H592">
        <v>1314.7946777</v>
      </c>
      <c r="I592">
        <v>1359.5614014</v>
      </c>
      <c r="J592">
        <v>1351.1911620999999</v>
      </c>
      <c r="K592">
        <v>0</v>
      </c>
      <c r="L592">
        <v>2400</v>
      </c>
      <c r="M592">
        <v>2400</v>
      </c>
      <c r="N592">
        <v>0</v>
      </c>
    </row>
    <row r="593" spans="1:14" x14ac:dyDescent="0.25">
      <c r="A593">
        <v>213.66102799999999</v>
      </c>
      <c r="B593" s="1">
        <f>DATE(2010,11,30) + TIME(15,51,52)</f>
        <v>40512.66101851852</v>
      </c>
      <c r="C593">
        <v>80</v>
      </c>
      <c r="D593">
        <v>75.208808899000005</v>
      </c>
      <c r="E593">
        <v>50</v>
      </c>
      <c r="F593">
        <v>49.946861267000003</v>
      </c>
      <c r="G593">
        <v>1319.6191406</v>
      </c>
      <c r="H593">
        <v>1314.7452393000001</v>
      </c>
      <c r="I593">
        <v>1359.5174560999999</v>
      </c>
      <c r="J593">
        <v>1351.1535644999999</v>
      </c>
      <c r="K593">
        <v>0</v>
      </c>
      <c r="L593">
        <v>2400</v>
      </c>
      <c r="M593">
        <v>2400</v>
      </c>
      <c r="N593">
        <v>0</v>
      </c>
    </row>
    <row r="594" spans="1:14" x14ac:dyDescent="0.25">
      <c r="A594">
        <v>214</v>
      </c>
      <c r="B594" s="1">
        <f>DATE(2010,12,1) + TIME(0,0,0)</f>
        <v>40513</v>
      </c>
      <c r="C594">
        <v>80</v>
      </c>
      <c r="D594">
        <v>75.152603149000001</v>
      </c>
      <c r="E594">
        <v>50</v>
      </c>
      <c r="F594">
        <v>49.946868895999998</v>
      </c>
      <c r="G594">
        <v>1319.5799560999999</v>
      </c>
      <c r="H594">
        <v>1314.697876</v>
      </c>
      <c r="I594">
        <v>1359.4729004000001</v>
      </c>
      <c r="J594">
        <v>1351.1156006000001</v>
      </c>
      <c r="K594">
        <v>0</v>
      </c>
      <c r="L594">
        <v>2400</v>
      </c>
      <c r="M594">
        <v>2400</v>
      </c>
      <c r="N594">
        <v>0</v>
      </c>
    </row>
    <row r="595" spans="1:14" x14ac:dyDescent="0.25">
      <c r="A595">
        <v>214.884333</v>
      </c>
      <c r="B595" s="1">
        <f>DATE(2010,12,1) + TIME(21,13,26)</f>
        <v>40513.884328703702</v>
      </c>
      <c r="C595">
        <v>80</v>
      </c>
      <c r="D595">
        <v>75.059494018999999</v>
      </c>
      <c r="E595">
        <v>50</v>
      </c>
      <c r="F595">
        <v>49.946922301999997</v>
      </c>
      <c r="G595">
        <v>1319.5616454999999</v>
      </c>
      <c r="H595">
        <v>1314.6706543</v>
      </c>
      <c r="I595">
        <v>1359.4569091999999</v>
      </c>
      <c r="J595">
        <v>1351.1019286999999</v>
      </c>
      <c r="K595">
        <v>0</v>
      </c>
      <c r="L595">
        <v>2400</v>
      </c>
      <c r="M595">
        <v>2400</v>
      </c>
      <c r="N595">
        <v>0</v>
      </c>
    </row>
    <row r="596" spans="1:14" x14ac:dyDescent="0.25">
      <c r="A596">
        <v>215.78157100000001</v>
      </c>
      <c r="B596" s="1">
        <f>DATE(2010,12,2) + TIME(18,45,27)</f>
        <v>40514.7815625</v>
      </c>
      <c r="C596">
        <v>80</v>
      </c>
      <c r="D596">
        <v>74.962036132999998</v>
      </c>
      <c r="E596">
        <v>50</v>
      </c>
      <c r="F596">
        <v>49.946968079000001</v>
      </c>
      <c r="G596">
        <v>1319.5207519999999</v>
      </c>
      <c r="H596">
        <v>1314.6186522999999</v>
      </c>
      <c r="I596">
        <v>1359.4145507999999</v>
      </c>
      <c r="J596">
        <v>1351.065918</v>
      </c>
      <c r="K596">
        <v>0</v>
      </c>
      <c r="L596">
        <v>2400</v>
      </c>
      <c r="M596">
        <v>2400</v>
      </c>
      <c r="N596">
        <v>0</v>
      </c>
    </row>
    <row r="597" spans="1:14" x14ac:dyDescent="0.25">
      <c r="A597">
        <v>216.691518</v>
      </c>
      <c r="B597" s="1">
        <f>DATE(2010,12,3) + TIME(16,35,47)</f>
        <v>40515.691516203704</v>
      </c>
      <c r="C597">
        <v>80</v>
      </c>
      <c r="D597">
        <v>74.862312317000004</v>
      </c>
      <c r="E597">
        <v>50</v>
      </c>
      <c r="F597">
        <v>49.947017670000001</v>
      </c>
      <c r="G597">
        <v>1319.4785156</v>
      </c>
      <c r="H597">
        <v>1314.5642089999999</v>
      </c>
      <c r="I597">
        <v>1359.3730469</v>
      </c>
      <c r="J597">
        <v>1351.0303954999999</v>
      </c>
      <c r="K597">
        <v>0</v>
      </c>
      <c r="L597">
        <v>2400</v>
      </c>
      <c r="M597">
        <v>2400</v>
      </c>
      <c r="N597">
        <v>0</v>
      </c>
    </row>
    <row r="598" spans="1:14" x14ac:dyDescent="0.25">
      <c r="A598">
        <v>217.61899099999999</v>
      </c>
      <c r="B598" s="1">
        <f>DATE(2010,12,4) + TIME(14,51,20)</f>
        <v>40516.618981481479</v>
      </c>
      <c r="C598">
        <v>80</v>
      </c>
      <c r="D598">
        <v>74.761230468999997</v>
      </c>
      <c r="E598">
        <v>50</v>
      </c>
      <c r="F598">
        <v>49.947067261000001</v>
      </c>
      <c r="G598">
        <v>1319.4348144999999</v>
      </c>
      <c r="H598">
        <v>1314.5080565999999</v>
      </c>
      <c r="I598">
        <v>1359.3321533000001</v>
      </c>
      <c r="J598">
        <v>1350.9956055</v>
      </c>
      <c r="K598">
        <v>0</v>
      </c>
      <c r="L598">
        <v>2400</v>
      </c>
      <c r="M598">
        <v>2400</v>
      </c>
      <c r="N598">
        <v>0</v>
      </c>
    </row>
    <row r="599" spans="1:14" x14ac:dyDescent="0.25">
      <c r="A599">
        <v>218.56562600000001</v>
      </c>
      <c r="B599" s="1">
        <f>DATE(2010,12,5) + TIME(13,34,30)</f>
        <v>40517.565625000003</v>
      </c>
      <c r="C599">
        <v>80</v>
      </c>
      <c r="D599">
        <v>74.659133910999998</v>
      </c>
      <c r="E599">
        <v>50</v>
      </c>
      <c r="F599">
        <v>49.947120667</v>
      </c>
      <c r="G599">
        <v>1319.3897704999999</v>
      </c>
      <c r="H599">
        <v>1314.449707</v>
      </c>
      <c r="I599">
        <v>1359.2917480000001</v>
      </c>
      <c r="J599">
        <v>1350.9613036999999</v>
      </c>
      <c r="K599">
        <v>0</v>
      </c>
      <c r="L599">
        <v>2400</v>
      </c>
      <c r="M599">
        <v>2400</v>
      </c>
      <c r="N599">
        <v>0</v>
      </c>
    </row>
    <row r="600" spans="1:14" x14ac:dyDescent="0.25">
      <c r="A600">
        <v>219.535595</v>
      </c>
      <c r="B600" s="1">
        <f>DATE(2010,12,6) + TIME(12,51,15)</f>
        <v>40518.535590277781</v>
      </c>
      <c r="C600">
        <v>80</v>
      </c>
      <c r="D600">
        <v>74.556015015</v>
      </c>
      <c r="E600">
        <v>50</v>
      </c>
      <c r="F600">
        <v>49.947174072000003</v>
      </c>
      <c r="G600">
        <v>1319.3432617000001</v>
      </c>
      <c r="H600">
        <v>1314.3894043</v>
      </c>
      <c r="I600">
        <v>1359.2517089999999</v>
      </c>
      <c r="J600">
        <v>1350.9272461</v>
      </c>
      <c r="K600">
        <v>0</v>
      </c>
      <c r="L600">
        <v>2400</v>
      </c>
      <c r="M600">
        <v>2400</v>
      </c>
      <c r="N600">
        <v>0</v>
      </c>
    </row>
    <row r="601" spans="1:14" x14ac:dyDescent="0.25">
      <c r="A601">
        <v>220.531364</v>
      </c>
      <c r="B601" s="1">
        <f>DATE(2010,12,7) + TIME(12,45,9)</f>
        <v>40519.531354166669</v>
      </c>
      <c r="C601">
        <v>80</v>
      </c>
      <c r="D601">
        <v>74.451782226999995</v>
      </c>
      <c r="E601">
        <v>50</v>
      </c>
      <c r="F601">
        <v>49.947231293000002</v>
      </c>
      <c r="G601">
        <v>1319.2949219</v>
      </c>
      <c r="H601">
        <v>1314.3267822</v>
      </c>
      <c r="I601">
        <v>1359.2120361</v>
      </c>
      <c r="J601">
        <v>1350.8935547000001</v>
      </c>
      <c r="K601">
        <v>0</v>
      </c>
      <c r="L601">
        <v>2400</v>
      </c>
      <c r="M601">
        <v>2400</v>
      </c>
      <c r="N601">
        <v>0</v>
      </c>
    </row>
    <row r="602" spans="1:14" x14ac:dyDescent="0.25">
      <c r="A602">
        <v>221.557061</v>
      </c>
      <c r="B602" s="1">
        <f>DATE(2010,12,8) + TIME(13,22,10)</f>
        <v>40520.557060185187</v>
      </c>
      <c r="C602">
        <v>80</v>
      </c>
      <c r="D602">
        <v>74.346206664999997</v>
      </c>
      <c r="E602">
        <v>50</v>
      </c>
      <c r="F602">
        <v>49.947288512999997</v>
      </c>
      <c r="G602">
        <v>1319.2448730000001</v>
      </c>
      <c r="H602">
        <v>1314.2614745999999</v>
      </c>
      <c r="I602">
        <v>1359.1726074000001</v>
      </c>
      <c r="J602">
        <v>1350.8599853999999</v>
      </c>
      <c r="K602">
        <v>0</v>
      </c>
      <c r="L602">
        <v>2400</v>
      </c>
      <c r="M602">
        <v>2400</v>
      </c>
      <c r="N602">
        <v>0</v>
      </c>
    </row>
    <row r="603" spans="1:14" x14ac:dyDescent="0.25">
      <c r="A603">
        <v>222.61458099999999</v>
      </c>
      <c r="B603" s="1">
        <f>DATE(2010,12,9) + TIME(14,44,59)</f>
        <v>40521.614571759259</v>
      </c>
      <c r="C603">
        <v>80</v>
      </c>
      <c r="D603">
        <v>74.239128113000007</v>
      </c>
      <c r="E603">
        <v>50</v>
      </c>
      <c r="F603">
        <v>49.947349547999998</v>
      </c>
      <c r="G603">
        <v>1319.1926269999999</v>
      </c>
      <c r="H603">
        <v>1314.1934814000001</v>
      </c>
      <c r="I603">
        <v>1359.1330565999999</v>
      </c>
      <c r="J603">
        <v>1350.8265381000001</v>
      </c>
      <c r="K603">
        <v>0</v>
      </c>
      <c r="L603">
        <v>2400</v>
      </c>
      <c r="M603">
        <v>2400</v>
      </c>
      <c r="N603">
        <v>0</v>
      </c>
    </row>
    <row r="604" spans="1:14" x14ac:dyDescent="0.25">
      <c r="A604">
        <v>223.67513099999999</v>
      </c>
      <c r="B604" s="1">
        <f>DATE(2010,12,10) + TIME(16,12,11)</f>
        <v>40522.675127314818</v>
      </c>
      <c r="C604">
        <v>80</v>
      </c>
      <c r="D604">
        <v>74.131790160999998</v>
      </c>
      <c r="E604">
        <v>50</v>
      </c>
      <c r="F604">
        <v>49.947414397999999</v>
      </c>
      <c r="G604">
        <v>1319.1383057</v>
      </c>
      <c r="H604">
        <v>1314.1226807</v>
      </c>
      <c r="I604">
        <v>1359.0936279</v>
      </c>
      <c r="J604">
        <v>1350.7930908000001</v>
      </c>
      <c r="K604">
        <v>0</v>
      </c>
      <c r="L604">
        <v>2400</v>
      </c>
      <c r="M604">
        <v>2400</v>
      </c>
      <c r="N604">
        <v>0</v>
      </c>
    </row>
    <row r="605" spans="1:14" x14ac:dyDescent="0.25">
      <c r="A605">
        <v>224.744654</v>
      </c>
      <c r="B605" s="1">
        <f>DATE(2010,12,11) + TIME(17,52,18)</f>
        <v>40523.744652777779</v>
      </c>
      <c r="C605">
        <v>80</v>
      </c>
      <c r="D605">
        <v>74.024780273000005</v>
      </c>
      <c r="E605">
        <v>50</v>
      </c>
      <c r="F605">
        <v>49.947475433000001</v>
      </c>
      <c r="G605">
        <v>1319.0830077999999</v>
      </c>
      <c r="H605">
        <v>1314.050293</v>
      </c>
      <c r="I605">
        <v>1359.0551757999999</v>
      </c>
      <c r="J605">
        <v>1350.7604980000001</v>
      </c>
      <c r="K605">
        <v>0</v>
      </c>
      <c r="L605">
        <v>2400</v>
      </c>
      <c r="M605">
        <v>2400</v>
      </c>
      <c r="N605">
        <v>0</v>
      </c>
    </row>
    <row r="606" spans="1:14" x14ac:dyDescent="0.25">
      <c r="A606">
        <v>225.82888500000001</v>
      </c>
      <c r="B606" s="1">
        <f>DATE(2010,12,12) + TIME(19,53,35)</f>
        <v>40524.828877314816</v>
      </c>
      <c r="C606">
        <v>80</v>
      </c>
      <c r="D606">
        <v>73.918022156000006</v>
      </c>
      <c r="E606">
        <v>50</v>
      </c>
      <c r="F606">
        <v>49.947540283000002</v>
      </c>
      <c r="G606">
        <v>1319.0264893000001</v>
      </c>
      <c r="H606">
        <v>1313.9763184000001</v>
      </c>
      <c r="I606">
        <v>1359.0177002</v>
      </c>
      <c r="J606">
        <v>1350.7286377</v>
      </c>
      <c r="K606">
        <v>0</v>
      </c>
      <c r="L606">
        <v>2400</v>
      </c>
      <c r="M606">
        <v>2400</v>
      </c>
      <c r="N606">
        <v>0</v>
      </c>
    </row>
    <row r="607" spans="1:14" x14ac:dyDescent="0.25">
      <c r="A607">
        <v>226.930993</v>
      </c>
      <c r="B607" s="1">
        <f>DATE(2010,12,13) + TIME(22,20,37)</f>
        <v>40525.930983796294</v>
      </c>
      <c r="C607">
        <v>80</v>
      </c>
      <c r="D607">
        <v>73.811332703000005</v>
      </c>
      <c r="E607">
        <v>50</v>
      </c>
      <c r="F607">
        <v>49.947608948000003</v>
      </c>
      <c r="G607">
        <v>1318.9686279</v>
      </c>
      <c r="H607">
        <v>1313.9002685999999</v>
      </c>
      <c r="I607">
        <v>1358.9807129000001</v>
      </c>
      <c r="J607">
        <v>1350.6973877</v>
      </c>
      <c r="K607">
        <v>0</v>
      </c>
      <c r="L607">
        <v>2400</v>
      </c>
      <c r="M607">
        <v>2400</v>
      </c>
      <c r="N607">
        <v>0</v>
      </c>
    </row>
    <row r="608" spans="1:14" x14ac:dyDescent="0.25">
      <c r="A608">
        <v>228.0539</v>
      </c>
      <c r="B608" s="1">
        <f>DATE(2010,12,15) + TIME(1,17,36)</f>
        <v>40527.053888888891</v>
      </c>
      <c r="C608">
        <v>80</v>
      </c>
      <c r="D608">
        <v>73.704475403000004</v>
      </c>
      <c r="E608">
        <v>50</v>
      </c>
      <c r="F608">
        <v>49.947677612</v>
      </c>
      <c r="G608">
        <v>1318.9091797000001</v>
      </c>
      <c r="H608">
        <v>1313.8221435999999</v>
      </c>
      <c r="I608">
        <v>1358.9442139</v>
      </c>
      <c r="J608">
        <v>1350.6665039</v>
      </c>
      <c r="K608">
        <v>0</v>
      </c>
      <c r="L608">
        <v>2400</v>
      </c>
      <c r="M608">
        <v>2400</v>
      </c>
      <c r="N608">
        <v>0</v>
      </c>
    </row>
    <row r="609" spans="1:14" x14ac:dyDescent="0.25">
      <c r="A609">
        <v>229.20336399999999</v>
      </c>
      <c r="B609" s="1">
        <f>DATE(2010,12,16) + TIME(4,52,50)</f>
        <v>40528.203356481485</v>
      </c>
      <c r="C609">
        <v>80</v>
      </c>
      <c r="D609">
        <v>73.597091675000001</v>
      </c>
      <c r="E609">
        <v>50</v>
      </c>
      <c r="F609">
        <v>49.947750092</v>
      </c>
      <c r="G609">
        <v>1318.8480225000001</v>
      </c>
      <c r="H609">
        <v>1313.7414550999999</v>
      </c>
      <c r="I609">
        <v>1358.9082031</v>
      </c>
      <c r="J609">
        <v>1350.6359863</v>
      </c>
      <c r="K609">
        <v>0</v>
      </c>
      <c r="L609">
        <v>2400</v>
      </c>
      <c r="M609">
        <v>2400</v>
      </c>
      <c r="N609">
        <v>0</v>
      </c>
    </row>
    <row r="610" spans="1:14" x14ac:dyDescent="0.25">
      <c r="A610">
        <v>230.380596</v>
      </c>
      <c r="B610" s="1">
        <f>DATE(2010,12,17) + TIME(9,8,3)</f>
        <v>40529.380590277775</v>
      </c>
      <c r="C610">
        <v>80</v>
      </c>
      <c r="D610">
        <v>73.488952636999997</v>
      </c>
      <c r="E610">
        <v>50</v>
      </c>
      <c r="F610">
        <v>49.947822571000003</v>
      </c>
      <c r="G610">
        <v>1318.784668</v>
      </c>
      <c r="H610">
        <v>1313.6579589999999</v>
      </c>
      <c r="I610">
        <v>1358.8723144999999</v>
      </c>
      <c r="J610">
        <v>1350.6057129000001</v>
      </c>
      <c r="K610">
        <v>0</v>
      </c>
      <c r="L610">
        <v>2400</v>
      </c>
      <c r="M610">
        <v>2400</v>
      </c>
      <c r="N610">
        <v>0</v>
      </c>
    </row>
    <row r="611" spans="1:14" x14ac:dyDescent="0.25">
      <c r="A611">
        <v>231.59207000000001</v>
      </c>
      <c r="B611" s="1">
        <f>DATE(2010,12,18) + TIME(14,12,34)</f>
        <v>40530.592060185183</v>
      </c>
      <c r="C611">
        <v>80</v>
      </c>
      <c r="D611">
        <v>73.379722595000004</v>
      </c>
      <c r="E611">
        <v>50</v>
      </c>
      <c r="F611">
        <v>49.947898864999999</v>
      </c>
      <c r="G611">
        <v>1318.7191161999999</v>
      </c>
      <c r="H611">
        <v>1313.5714111</v>
      </c>
      <c r="I611">
        <v>1358.8366699000001</v>
      </c>
      <c r="J611">
        <v>1350.5755615</v>
      </c>
      <c r="K611">
        <v>0</v>
      </c>
      <c r="L611">
        <v>2400</v>
      </c>
      <c r="M611">
        <v>2400</v>
      </c>
      <c r="N611">
        <v>0</v>
      </c>
    </row>
    <row r="612" spans="1:14" x14ac:dyDescent="0.25">
      <c r="A612">
        <v>232.839213</v>
      </c>
      <c r="B612" s="1">
        <f>DATE(2010,12,19) + TIME(20,8,27)</f>
        <v>40531.839201388888</v>
      </c>
      <c r="C612">
        <v>80</v>
      </c>
      <c r="D612">
        <v>73.269157410000005</v>
      </c>
      <c r="E612">
        <v>50</v>
      </c>
      <c r="F612">
        <v>49.947978972999998</v>
      </c>
      <c r="G612">
        <v>1318.651001</v>
      </c>
      <c r="H612">
        <v>1313.4813231999999</v>
      </c>
      <c r="I612">
        <v>1358.8010254000001</v>
      </c>
      <c r="J612">
        <v>1350.5454102000001</v>
      </c>
      <c r="K612">
        <v>0</v>
      </c>
      <c r="L612">
        <v>2400</v>
      </c>
      <c r="M612">
        <v>2400</v>
      </c>
      <c r="N612">
        <v>0</v>
      </c>
    </row>
    <row r="613" spans="1:14" x14ac:dyDescent="0.25">
      <c r="A613">
        <v>234.09398899999999</v>
      </c>
      <c r="B613" s="1">
        <f>DATE(2010,12,21) + TIME(2,15,20)</f>
        <v>40533.093981481485</v>
      </c>
      <c r="C613">
        <v>80</v>
      </c>
      <c r="D613">
        <v>73.158180236999996</v>
      </c>
      <c r="E613">
        <v>50</v>
      </c>
      <c r="F613">
        <v>49.948059082</v>
      </c>
      <c r="G613">
        <v>1318.5802002</v>
      </c>
      <c r="H613">
        <v>1313.3875731999999</v>
      </c>
      <c r="I613">
        <v>1358.7652588000001</v>
      </c>
      <c r="J613">
        <v>1350.5153809000001</v>
      </c>
      <c r="K613">
        <v>0</v>
      </c>
      <c r="L613">
        <v>2400</v>
      </c>
      <c r="M613">
        <v>2400</v>
      </c>
      <c r="N613">
        <v>0</v>
      </c>
    </row>
    <row r="614" spans="1:14" x14ac:dyDescent="0.25">
      <c r="A614">
        <v>235.361279</v>
      </c>
      <c r="B614" s="1">
        <f>DATE(2010,12,22) + TIME(8,40,14)</f>
        <v>40534.361273148148</v>
      </c>
      <c r="C614">
        <v>80</v>
      </c>
      <c r="D614">
        <v>73.047431946000003</v>
      </c>
      <c r="E614">
        <v>50</v>
      </c>
      <c r="F614">
        <v>49.948143004999999</v>
      </c>
      <c r="G614">
        <v>1318.5080565999999</v>
      </c>
      <c r="H614">
        <v>1313.2917480000001</v>
      </c>
      <c r="I614">
        <v>1358.7304687999999</v>
      </c>
      <c r="J614">
        <v>1350.4859618999999</v>
      </c>
      <c r="K614">
        <v>0</v>
      </c>
      <c r="L614">
        <v>2400</v>
      </c>
      <c r="M614">
        <v>2400</v>
      </c>
      <c r="N614">
        <v>0</v>
      </c>
    </row>
    <row r="615" spans="1:14" x14ac:dyDescent="0.25">
      <c r="A615">
        <v>236.644578</v>
      </c>
      <c r="B615" s="1">
        <f>DATE(2010,12,23) + TIME(15,28,11)</f>
        <v>40535.644571759258</v>
      </c>
      <c r="C615">
        <v>80</v>
      </c>
      <c r="D615">
        <v>72.936973571999999</v>
      </c>
      <c r="E615">
        <v>50</v>
      </c>
      <c r="F615">
        <v>49.948226929</v>
      </c>
      <c r="G615">
        <v>1318.4343262</v>
      </c>
      <c r="H615">
        <v>1313.1937256000001</v>
      </c>
      <c r="I615">
        <v>1358.6961670000001</v>
      </c>
      <c r="J615">
        <v>1350.4570312000001</v>
      </c>
      <c r="K615">
        <v>0</v>
      </c>
      <c r="L615">
        <v>2400</v>
      </c>
      <c r="M615">
        <v>2400</v>
      </c>
      <c r="N615">
        <v>0</v>
      </c>
    </row>
    <row r="616" spans="1:14" x14ac:dyDescent="0.25">
      <c r="A616">
        <v>237.94709900000001</v>
      </c>
      <c r="B616" s="1">
        <f>DATE(2010,12,24) + TIME(22,43,49)</f>
        <v>40536.947094907409</v>
      </c>
      <c r="C616">
        <v>80</v>
      </c>
      <c r="D616">
        <v>72.826652526999993</v>
      </c>
      <c r="E616">
        <v>50</v>
      </c>
      <c r="F616">
        <v>49.948310851999999</v>
      </c>
      <c r="G616">
        <v>1318.3588867000001</v>
      </c>
      <c r="H616">
        <v>1313.0932617000001</v>
      </c>
      <c r="I616">
        <v>1358.6624756000001</v>
      </c>
      <c r="J616">
        <v>1350.4287108999999</v>
      </c>
      <c r="K616">
        <v>0</v>
      </c>
      <c r="L616">
        <v>2400</v>
      </c>
      <c r="M616">
        <v>2400</v>
      </c>
      <c r="N616">
        <v>0</v>
      </c>
    </row>
    <row r="617" spans="1:14" x14ac:dyDescent="0.25">
      <c r="A617">
        <v>239.275924</v>
      </c>
      <c r="B617" s="1">
        <f>DATE(2010,12,26) + TIME(6,37,19)</f>
        <v>40538.275914351849</v>
      </c>
      <c r="C617">
        <v>80</v>
      </c>
      <c r="D617">
        <v>72.716125488000003</v>
      </c>
      <c r="E617">
        <v>50</v>
      </c>
      <c r="F617">
        <v>49.948398589999996</v>
      </c>
      <c r="G617">
        <v>1318.2814940999999</v>
      </c>
      <c r="H617">
        <v>1312.9901123</v>
      </c>
      <c r="I617">
        <v>1358.6292725000001</v>
      </c>
      <c r="J617">
        <v>1350.4007568</v>
      </c>
      <c r="K617">
        <v>0</v>
      </c>
      <c r="L617">
        <v>2400</v>
      </c>
      <c r="M617">
        <v>2400</v>
      </c>
      <c r="N617">
        <v>0</v>
      </c>
    </row>
    <row r="618" spans="1:14" x14ac:dyDescent="0.25">
      <c r="A618">
        <v>240.63322400000001</v>
      </c>
      <c r="B618" s="1">
        <f>DATE(2010,12,27) + TIME(15,11,50)</f>
        <v>40539.633217592593</v>
      </c>
      <c r="C618">
        <v>80</v>
      </c>
      <c r="D618">
        <v>72.605064392000003</v>
      </c>
      <c r="E618">
        <v>50</v>
      </c>
      <c r="F618">
        <v>49.948486328000001</v>
      </c>
      <c r="G618">
        <v>1318.2019043</v>
      </c>
      <c r="H618">
        <v>1312.8836670000001</v>
      </c>
      <c r="I618">
        <v>1358.5963135</v>
      </c>
      <c r="J618">
        <v>1350.3729248</v>
      </c>
      <c r="K618">
        <v>0</v>
      </c>
      <c r="L618">
        <v>2400</v>
      </c>
      <c r="M618">
        <v>2400</v>
      </c>
      <c r="N618">
        <v>0</v>
      </c>
    </row>
    <row r="619" spans="1:14" x14ac:dyDescent="0.25">
      <c r="A619">
        <v>242.02467100000001</v>
      </c>
      <c r="B619" s="1">
        <f>DATE(2010,12,29) + TIME(0,35,31)</f>
        <v>40541.024664351855</v>
      </c>
      <c r="C619">
        <v>80</v>
      </c>
      <c r="D619">
        <v>72.493133545000006</v>
      </c>
      <c r="E619">
        <v>50</v>
      </c>
      <c r="F619">
        <v>49.948577880999999</v>
      </c>
      <c r="G619">
        <v>1318.119751</v>
      </c>
      <c r="H619">
        <v>1312.7738036999999</v>
      </c>
      <c r="I619">
        <v>1358.5634766000001</v>
      </c>
      <c r="J619">
        <v>1350.3453368999999</v>
      </c>
      <c r="K619">
        <v>0</v>
      </c>
      <c r="L619">
        <v>2400</v>
      </c>
      <c r="M619">
        <v>2400</v>
      </c>
      <c r="N619">
        <v>0</v>
      </c>
    </row>
    <row r="620" spans="1:14" x14ac:dyDescent="0.25">
      <c r="A620">
        <v>243.45569</v>
      </c>
      <c r="B620" s="1">
        <f>DATE(2010,12,30) + TIME(10,56,11)</f>
        <v>40542.455682870372</v>
      </c>
      <c r="C620">
        <v>80</v>
      </c>
      <c r="D620">
        <v>72.379951477000006</v>
      </c>
      <c r="E620">
        <v>50</v>
      </c>
      <c r="F620">
        <v>49.948673247999999</v>
      </c>
      <c r="G620">
        <v>1318.0347899999999</v>
      </c>
      <c r="H620">
        <v>1312.6600341999999</v>
      </c>
      <c r="I620">
        <v>1358.5308838000001</v>
      </c>
      <c r="J620">
        <v>1350.3178711</v>
      </c>
      <c r="K620">
        <v>0</v>
      </c>
      <c r="L620">
        <v>2400</v>
      </c>
      <c r="M620">
        <v>2400</v>
      </c>
      <c r="N620">
        <v>0</v>
      </c>
    </row>
    <row r="621" spans="1:14" x14ac:dyDescent="0.25">
      <c r="A621">
        <v>244.901454</v>
      </c>
      <c r="B621" s="1">
        <f>DATE(2010,12,31) + TIME(21,38,5)</f>
        <v>40543.901446759257</v>
      </c>
      <c r="C621">
        <v>80</v>
      </c>
      <c r="D621">
        <v>72.265991210999999</v>
      </c>
      <c r="E621">
        <v>50</v>
      </c>
      <c r="F621">
        <v>49.948772429999998</v>
      </c>
      <c r="G621">
        <v>1317.9465332</v>
      </c>
      <c r="H621">
        <v>1312.5418701000001</v>
      </c>
      <c r="I621">
        <v>1358.4981689000001</v>
      </c>
      <c r="J621">
        <v>1350.2904053</v>
      </c>
      <c r="K621">
        <v>0</v>
      </c>
      <c r="L621">
        <v>2400</v>
      </c>
      <c r="M621">
        <v>2400</v>
      </c>
      <c r="N621">
        <v>0</v>
      </c>
    </row>
    <row r="622" spans="1:14" x14ac:dyDescent="0.25">
      <c r="A622">
        <v>245</v>
      </c>
      <c r="B622" s="1">
        <f>DATE(2011,1,1) + TIME(0,0,0)</f>
        <v>40544</v>
      </c>
      <c r="C622">
        <v>80</v>
      </c>
      <c r="D622">
        <v>72.247161864999995</v>
      </c>
      <c r="E622">
        <v>50</v>
      </c>
      <c r="F622">
        <v>49.948772429999998</v>
      </c>
      <c r="G622">
        <v>1317.8676757999999</v>
      </c>
      <c r="H622">
        <v>1312.4450684000001</v>
      </c>
      <c r="I622">
        <v>1358.4654541</v>
      </c>
      <c r="J622">
        <v>1350.2628173999999</v>
      </c>
      <c r="K622">
        <v>0</v>
      </c>
      <c r="L622">
        <v>2400</v>
      </c>
      <c r="M622">
        <v>2400</v>
      </c>
      <c r="N622">
        <v>0</v>
      </c>
    </row>
    <row r="623" spans="1:14" x14ac:dyDescent="0.25">
      <c r="A623">
        <v>246.46001100000001</v>
      </c>
      <c r="B623" s="1">
        <f>DATE(2011,1,2) + TIME(11,2,24)</f>
        <v>40545.46</v>
      </c>
      <c r="C623">
        <v>80</v>
      </c>
      <c r="D623">
        <v>72.140182495000005</v>
      </c>
      <c r="E623">
        <v>50</v>
      </c>
      <c r="F623">
        <v>49.948875426999997</v>
      </c>
      <c r="G623">
        <v>1317.8480225000001</v>
      </c>
      <c r="H623">
        <v>1312.4086914</v>
      </c>
      <c r="I623">
        <v>1358.4638672000001</v>
      </c>
      <c r="J623">
        <v>1350.2615966999999</v>
      </c>
      <c r="K623">
        <v>0</v>
      </c>
      <c r="L623">
        <v>2400</v>
      </c>
      <c r="M623">
        <v>2400</v>
      </c>
      <c r="N623">
        <v>0</v>
      </c>
    </row>
    <row r="624" spans="1:14" x14ac:dyDescent="0.25">
      <c r="A624">
        <v>247.934192</v>
      </c>
      <c r="B624" s="1">
        <f>DATE(2011,1,3) + TIME(22,25,14)</f>
        <v>40546.934189814812</v>
      </c>
      <c r="C624">
        <v>80</v>
      </c>
      <c r="D624">
        <v>72.028884887999993</v>
      </c>
      <c r="E624">
        <v>50</v>
      </c>
      <c r="F624">
        <v>49.948974608999997</v>
      </c>
      <c r="G624">
        <v>1317.7574463000001</v>
      </c>
      <c r="H624">
        <v>1312.2872314000001</v>
      </c>
      <c r="I624">
        <v>1358.432251</v>
      </c>
      <c r="J624">
        <v>1350.2351074000001</v>
      </c>
      <c r="K624">
        <v>0</v>
      </c>
      <c r="L624">
        <v>2400</v>
      </c>
      <c r="M624">
        <v>2400</v>
      </c>
      <c r="N624">
        <v>0</v>
      </c>
    </row>
    <row r="625" spans="1:14" x14ac:dyDescent="0.25">
      <c r="A625">
        <v>249.42927700000001</v>
      </c>
      <c r="B625" s="1">
        <f>DATE(2011,1,5) + TIME(10,18,9)</f>
        <v>40548.429270833331</v>
      </c>
      <c r="C625">
        <v>80</v>
      </c>
      <c r="D625">
        <v>71.915931701999995</v>
      </c>
      <c r="E625">
        <v>50</v>
      </c>
      <c r="F625">
        <v>49.949073792</v>
      </c>
      <c r="G625">
        <v>1317.6640625</v>
      </c>
      <c r="H625">
        <v>1312.1616211</v>
      </c>
      <c r="I625">
        <v>1358.4012451000001</v>
      </c>
      <c r="J625">
        <v>1350.2091064000001</v>
      </c>
      <c r="K625">
        <v>0</v>
      </c>
      <c r="L625">
        <v>2400</v>
      </c>
      <c r="M625">
        <v>2400</v>
      </c>
      <c r="N625">
        <v>0</v>
      </c>
    </row>
    <row r="626" spans="1:14" x14ac:dyDescent="0.25">
      <c r="A626">
        <v>250.95343299999999</v>
      </c>
      <c r="B626" s="1">
        <f>DATE(2011,1,6) + TIME(22,52,56)</f>
        <v>40549.953425925924</v>
      </c>
      <c r="C626">
        <v>80</v>
      </c>
      <c r="D626">
        <v>71.801895142000006</v>
      </c>
      <c r="E626">
        <v>50</v>
      </c>
      <c r="F626">
        <v>49.949176788000003</v>
      </c>
      <c r="G626">
        <v>1317.5682373</v>
      </c>
      <c r="H626">
        <v>1312.0323486</v>
      </c>
      <c r="I626">
        <v>1358.3706055</v>
      </c>
      <c r="J626">
        <v>1350.1833495999999</v>
      </c>
      <c r="K626">
        <v>0</v>
      </c>
      <c r="L626">
        <v>2400</v>
      </c>
      <c r="M626">
        <v>2400</v>
      </c>
      <c r="N626">
        <v>0</v>
      </c>
    </row>
    <row r="627" spans="1:14" x14ac:dyDescent="0.25">
      <c r="A627">
        <v>252.50813099999999</v>
      </c>
      <c r="B627" s="1">
        <f>DATE(2011,1,8) + TIME(12,11,42)</f>
        <v>40551.508125</v>
      </c>
      <c r="C627">
        <v>80</v>
      </c>
      <c r="D627">
        <v>71.686737061000002</v>
      </c>
      <c r="E627">
        <v>50</v>
      </c>
      <c r="F627">
        <v>49.949283600000001</v>
      </c>
      <c r="G627">
        <v>1317.4696045000001</v>
      </c>
      <c r="H627">
        <v>1311.8991699000001</v>
      </c>
      <c r="I627">
        <v>1358.3402100000001</v>
      </c>
      <c r="J627">
        <v>1350.1578368999999</v>
      </c>
      <c r="K627">
        <v>0</v>
      </c>
      <c r="L627">
        <v>2400</v>
      </c>
      <c r="M627">
        <v>2400</v>
      </c>
      <c r="N627">
        <v>0</v>
      </c>
    </row>
    <row r="628" spans="1:14" x14ac:dyDescent="0.25">
      <c r="A628">
        <v>254.10050899999999</v>
      </c>
      <c r="B628" s="1">
        <f>DATE(2011,1,10) + TIME(2,24,44)</f>
        <v>40553.10050925926</v>
      </c>
      <c r="C628">
        <v>80</v>
      </c>
      <c r="D628">
        <v>71.570182799999998</v>
      </c>
      <c r="E628">
        <v>50</v>
      </c>
      <c r="F628">
        <v>49.949390411000003</v>
      </c>
      <c r="G628">
        <v>1317.3680420000001</v>
      </c>
      <c r="H628">
        <v>1311.7617187999999</v>
      </c>
      <c r="I628">
        <v>1358.3100586</v>
      </c>
      <c r="J628">
        <v>1350.1325684000001</v>
      </c>
      <c r="K628">
        <v>0</v>
      </c>
      <c r="L628">
        <v>2400</v>
      </c>
      <c r="M628">
        <v>2400</v>
      </c>
      <c r="N628">
        <v>0</v>
      </c>
    </row>
    <row r="629" spans="1:14" x14ac:dyDescent="0.25">
      <c r="A629">
        <v>255.734037</v>
      </c>
      <c r="B629" s="1">
        <f>DATE(2011,1,11) + TIME(17,37,0)</f>
        <v>40554.734027777777</v>
      </c>
      <c r="C629">
        <v>80</v>
      </c>
      <c r="D629">
        <v>71.451850891000007</v>
      </c>
      <c r="E629">
        <v>50</v>
      </c>
      <c r="F629">
        <v>49.949501038000001</v>
      </c>
      <c r="G629">
        <v>1317.2633057</v>
      </c>
      <c r="H629">
        <v>1311.619751</v>
      </c>
      <c r="I629">
        <v>1358.2797852000001</v>
      </c>
      <c r="J629">
        <v>1350.1072998</v>
      </c>
      <c r="K629">
        <v>0</v>
      </c>
      <c r="L629">
        <v>2400</v>
      </c>
      <c r="M629">
        <v>2400</v>
      </c>
      <c r="N629">
        <v>0</v>
      </c>
    </row>
    <row r="630" spans="1:14" x14ac:dyDescent="0.25">
      <c r="A630">
        <v>257.38678199999998</v>
      </c>
      <c r="B630" s="1">
        <f>DATE(2011,1,13) + TIME(9,16,58)</f>
        <v>40556.386782407404</v>
      </c>
      <c r="C630">
        <v>80</v>
      </c>
      <c r="D630">
        <v>71.331977843999994</v>
      </c>
      <c r="E630">
        <v>50</v>
      </c>
      <c r="F630">
        <v>49.949611664000003</v>
      </c>
      <c r="G630">
        <v>1317.1549072</v>
      </c>
      <c r="H630">
        <v>1311.4727783000001</v>
      </c>
      <c r="I630">
        <v>1358.2496338000001</v>
      </c>
      <c r="J630">
        <v>1350.0820312000001</v>
      </c>
      <c r="K630">
        <v>0</v>
      </c>
      <c r="L630">
        <v>2400</v>
      </c>
      <c r="M630">
        <v>2400</v>
      </c>
      <c r="N630">
        <v>0</v>
      </c>
    </row>
    <row r="631" spans="1:14" x14ac:dyDescent="0.25">
      <c r="A631">
        <v>259.04779500000001</v>
      </c>
      <c r="B631" s="1">
        <f>DATE(2011,1,15) + TIME(1,8,49)</f>
        <v>40558.047789351855</v>
      </c>
      <c r="C631">
        <v>80</v>
      </c>
      <c r="D631">
        <v>71.211357117000006</v>
      </c>
      <c r="E631">
        <v>50</v>
      </c>
      <c r="F631">
        <v>49.949722289999997</v>
      </c>
      <c r="G631">
        <v>1317.0441894999999</v>
      </c>
      <c r="H631">
        <v>1311.3223877</v>
      </c>
      <c r="I631">
        <v>1358.2199707</v>
      </c>
      <c r="J631">
        <v>1350.0571289</v>
      </c>
      <c r="K631">
        <v>0</v>
      </c>
      <c r="L631">
        <v>2400</v>
      </c>
      <c r="M631">
        <v>2400</v>
      </c>
      <c r="N631">
        <v>0</v>
      </c>
    </row>
    <row r="632" spans="1:14" x14ac:dyDescent="0.25">
      <c r="A632">
        <v>260.72627</v>
      </c>
      <c r="B632" s="1">
        <f>DATE(2011,1,16) + TIME(17,25,49)</f>
        <v>40559.726261574076</v>
      </c>
      <c r="C632">
        <v>80</v>
      </c>
      <c r="D632">
        <v>71.090202332000004</v>
      </c>
      <c r="E632">
        <v>50</v>
      </c>
      <c r="F632">
        <v>49.949836730999998</v>
      </c>
      <c r="G632">
        <v>1316.9317627</v>
      </c>
      <c r="H632">
        <v>1311.1693115</v>
      </c>
      <c r="I632">
        <v>1358.1907959</v>
      </c>
      <c r="J632">
        <v>1350.0327147999999</v>
      </c>
      <c r="K632">
        <v>0</v>
      </c>
      <c r="L632">
        <v>2400</v>
      </c>
      <c r="M632">
        <v>2400</v>
      </c>
      <c r="N632">
        <v>0</v>
      </c>
    </row>
    <row r="633" spans="1:14" x14ac:dyDescent="0.25">
      <c r="A633">
        <v>262.43145099999998</v>
      </c>
      <c r="B633" s="1">
        <f>DATE(2011,1,18) + TIME(10,21,17)</f>
        <v>40561.431446759256</v>
      </c>
      <c r="C633">
        <v>80</v>
      </c>
      <c r="D633">
        <v>70.968032836999996</v>
      </c>
      <c r="E633">
        <v>50</v>
      </c>
      <c r="F633">
        <v>49.949951171999999</v>
      </c>
      <c r="G633">
        <v>1316.8172606999999</v>
      </c>
      <c r="H633">
        <v>1311.0133057</v>
      </c>
      <c r="I633">
        <v>1358.1619873</v>
      </c>
      <c r="J633">
        <v>1350.0086670000001</v>
      </c>
      <c r="K633">
        <v>0</v>
      </c>
      <c r="L633">
        <v>2400</v>
      </c>
      <c r="M633">
        <v>2400</v>
      </c>
      <c r="N633">
        <v>0</v>
      </c>
    </row>
    <row r="634" spans="1:14" x14ac:dyDescent="0.25">
      <c r="A634">
        <v>264.16765600000002</v>
      </c>
      <c r="B634" s="1">
        <f>DATE(2011,1,20) + TIME(4,1,25)</f>
        <v>40563.167650462965</v>
      </c>
      <c r="C634">
        <v>80</v>
      </c>
      <c r="D634">
        <v>70.844245911000002</v>
      </c>
      <c r="E634">
        <v>50</v>
      </c>
      <c r="F634">
        <v>49.950069427000003</v>
      </c>
      <c r="G634">
        <v>1316.7001952999999</v>
      </c>
      <c r="H634">
        <v>1310.8533935999999</v>
      </c>
      <c r="I634">
        <v>1358.1335449000001</v>
      </c>
      <c r="J634">
        <v>1349.9848632999999</v>
      </c>
      <c r="K634">
        <v>0</v>
      </c>
      <c r="L634">
        <v>2400</v>
      </c>
      <c r="M634">
        <v>2400</v>
      </c>
      <c r="N634">
        <v>0</v>
      </c>
    </row>
    <row r="635" spans="1:14" x14ac:dyDescent="0.25">
      <c r="A635">
        <v>265.93888399999997</v>
      </c>
      <c r="B635" s="1">
        <f>DATE(2011,1,21) + TIME(22,31,59)</f>
        <v>40564.938877314817</v>
      </c>
      <c r="C635">
        <v>80</v>
      </c>
      <c r="D635">
        <v>70.718299865999995</v>
      </c>
      <c r="E635">
        <v>50</v>
      </c>
      <c r="F635">
        <v>49.950187683000003</v>
      </c>
      <c r="G635">
        <v>1316.5802002</v>
      </c>
      <c r="H635">
        <v>1310.6893310999999</v>
      </c>
      <c r="I635">
        <v>1358.1052245999999</v>
      </c>
      <c r="J635">
        <v>1349.9611815999999</v>
      </c>
      <c r="K635">
        <v>0</v>
      </c>
      <c r="L635">
        <v>2400</v>
      </c>
      <c r="M635">
        <v>2400</v>
      </c>
      <c r="N635">
        <v>0</v>
      </c>
    </row>
    <row r="636" spans="1:14" x14ac:dyDescent="0.25">
      <c r="A636">
        <v>267.75529599999999</v>
      </c>
      <c r="B636" s="1">
        <f>DATE(2011,1,23) + TIME(18,7,37)</f>
        <v>40566.755289351851</v>
      </c>
      <c r="C636">
        <v>80</v>
      </c>
      <c r="D636">
        <v>70.589553832999997</v>
      </c>
      <c r="E636">
        <v>50</v>
      </c>
      <c r="F636">
        <v>49.950309752999999</v>
      </c>
      <c r="G636">
        <v>1316.4569091999999</v>
      </c>
      <c r="H636">
        <v>1310.5203856999999</v>
      </c>
      <c r="I636">
        <v>1358.0770264</v>
      </c>
      <c r="J636">
        <v>1349.9376221</v>
      </c>
      <c r="K636">
        <v>0</v>
      </c>
      <c r="L636">
        <v>2400</v>
      </c>
      <c r="M636">
        <v>2400</v>
      </c>
      <c r="N636">
        <v>0</v>
      </c>
    </row>
    <row r="637" spans="1:14" x14ac:dyDescent="0.25">
      <c r="A637">
        <v>269.61645199999998</v>
      </c>
      <c r="B637" s="1">
        <f>DATE(2011,1,25) + TIME(14,47,41)</f>
        <v>40568.616446759261</v>
      </c>
      <c r="C637">
        <v>80</v>
      </c>
      <c r="D637">
        <v>70.457351685000006</v>
      </c>
      <c r="E637">
        <v>50</v>
      </c>
      <c r="F637">
        <v>49.950435638000002</v>
      </c>
      <c r="G637">
        <v>1316.3295897999999</v>
      </c>
      <c r="H637">
        <v>1310.3460693</v>
      </c>
      <c r="I637">
        <v>1358.0488281</v>
      </c>
      <c r="J637">
        <v>1349.9140625</v>
      </c>
      <c r="K637">
        <v>0</v>
      </c>
      <c r="L637">
        <v>2400</v>
      </c>
      <c r="M637">
        <v>2400</v>
      </c>
      <c r="N637">
        <v>0</v>
      </c>
    </row>
    <row r="638" spans="1:14" x14ac:dyDescent="0.25">
      <c r="A638">
        <v>271.48420399999998</v>
      </c>
      <c r="B638" s="1">
        <f>DATE(2011,1,27) + TIME(11,37,15)</f>
        <v>40570.484201388892</v>
      </c>
      <c r="C638">
        <v>80</v>
      </c>
      <c r="D638">
        <v>70.322105407999999</v>
      </c>
      <c r="E638">
        <v>50</v>
      </c>
      <c r="F638">
        <v>49.950561522999998</v>
      </c>
      <c r="G638">
        <v>1316.1984863</v>
      </c>
      <c r="H638">
        <v>1310.1661377</v>
      </c>
      <c r="I638">
        <v>1358.0206298999999</v>
      </c>
      <c r="J638">
        <v>1349.8905029</v>
      </c>
      <c r="K638">
        <v>0</v>
      </c>
      <c r="L638">
        <v>2400</v>
      </c>
      <c r="M638">
        <v>2400</v>
      </c>
      <c r="N638">
        <v>0</v>
      </c>
    </row>
    <row r="639" spans="1:14" x14ac:dyDescent="0.25">
      <c r="A639">
        <v>273.367119</v>
      </c>
      <c r="B639" s="1">
        <f>DATE(2011,1,29) + TIME(8,48,39)</f>
        <v>40572.367118055554</v>
      </c>
      <c r="C639">
        <v>80</v>
      </c>
      <c r="D639">
        <v>70.184776306000003</v>
      </c>
      <c r="E639">
        <v>50</v>
      </c>
      <c r="F639">
        <v>49.950687408</v>
      </c>
      <c r="G639">
        <v>1316.0656738</v>
      </c>
      <c r="H639">
        <v>1309.9833983999999</v>
      </c>
      <c r="I639">
        <v>1357.9929199000001</v>
      </c>
      <c r="J639">
        <v>1349.8673096</v>
      </c>
      <c r="K639">
        <v>0</v>
      </c>
      <c r="L639">
        <v>2400</v>
      </c>
      <c r="M639">
        <v>2400</v>
      </c>
      <c r="N639">
        <v>0</v>
      </c>
    </row>
    <row r="640" spans="1:14" x14ac:dyDescent="0.25">
      <c r="A640">
        <v>275.27578599999998</v>
      </c>
      <c r="B640" s="1">
        <f>DATE(2011,1,31) + TIME(6,37,7)</f>
        <v>40574.275775462964</v>
      </c>
      <c r="C640">
        <v>80</v>
      </c>
      <c r="D640">
        <v>70.044891356999997</v>
      </c>
      <c r="E640">
        <v>50</v>
      </c>
      <c r="F640">
        <v>49.950817108000003</v>
      </c>
      <c r="G640">
        <v>1315.9306641000001</v>
      </c>
      <c r="H640">
        <v>1309.7974853999999</v>
      </c>
      <c r="I640">
        <v>1357.9655762</v>
      </c>
      <c r="J640">
        <v>1349.8446045000001</v>
      </c>
      <c r="K640">
        <v>0</v>
      </c>
      <c r="L640">
        <v>2400</v>
      </c>
      <c r="M640">
        <v>2400</v>
      </c>
      <c r="N640">
        <v>0</v>
      </c>
    </row>
    <row r="641" spans="1:14" x14ac:dyDescent="0.25">
      <c r="A641">
        <v>276</v>
      </c>
      <c r="B641" s="1">
        <f>DATE(2011,2,1) + TIME(0,0,0)</f>
        <v>40575</v>
      </c>
      <c r="C641">
        <v>80</v>
      </c>
      <c r="D641">
        <v>69.947715759000005</v>
      </c>
      <c r="E641">
        <v>50</v>
      </c>
      <c r="F641">
        <v>49.950855255</v>
      </c>
      <c r="G641">
        <v>1315.8006591999999</v>
      </c>
      <c r="H641">
        <v>1309.6242675999999</v>
      </c>
      <c r="I641">
        <v>1357.9381103999999</v>
      </c>
      <c r="J641">
        <v>1349.8215332</v>
      </c>
      <c r="K641">
        <v>0</v>
      </c>
      <c r="L641">
        <v>2400</v>
      </c>
      <c r="M641">
        <v>2400</v>
      </c>
      <c r="N641">
        <v>0</v>
      </c>
    </row>
    <row r="642" spans="1:14" x14ac:dyDescent="0.25">
      <c r="A642">
        <v>277.93612899999999</v>
      </c>
      <c r="B642" s="1">
        <f>DATE(2011,2,2) + TIME(22,28,1)</f>
        <v>40576.936122685183</v>
      </c>
      <c r="C642">
        <v>80</v>
      </c>
      <c r="D642">
        <v>69.834457396999994</v>
      </c>
      <c r="E642">
        <v>50</v>
      </c>
      <c r="F642">
        <v>49.950992583999998</v>
      </c>
      <c r="G642">
        <v>1315.7307129000001</v>
      </c>
      <c r="H642">
        <v>1309.5174560999999</v>
      </c>
      <c r="I642">
        <v>1357.9284668</v>
      </c>
      <c r="J642">
        <v>1349.8135986</v>
      </c>
      <c r="K642">
        <v>0</v>
      </c>
      <c r="L642">
        <v>2400</v>
      </c>
      <c r="M642">
        <v>2400</v>
      </c>
      <c r="N642">
        <v>0</v>
      </c>
    </row>
    <row r="643" spans="1:14" x14ac:dyDescent="0.25">
      <c r="A643">
        <v>279.91997500000002</v>
      </c>
      <c r="B643" s="1">
        <f>DATE(2011,2,4) + TIME(22,4,45)</f>
        <v>40578.919965277775</v>
      </c>
      <c r="C643">
        <v>80</v>
      </c>
      <c r="D643">
        <v>69.694969177000004</v>
      </c>
      <c r="E643">
        <v>50</v>
      </c>
      <c r="F643">
        <v>49.951126099</v>
      </c>
      <c r="G643">
        <v>1315.5974120999999</v>
      </c>
      <c r="H643">
        <v>1309.3358154</v>
      </c>
      <c r="I643">
        <v>1357.9019774999999</v>
      </c>
      <c r="J643">
        <v>1349.7913818</v>
      </c>
      <c r="K643">
        <v>0</v>
      </c>
      <c r="L643">
        <v>2400</v>
      </c>
      <c r="M643">
        <v>2400</v>
      </c>
      <c r="N643">
        <v>0</v>
      </c>
    </row>
    <row r="644" spans="1:14" x14ac:dyDescent="0.25">
      <c r="A644">
        <v>281.95082600000001</v>
      </c>
      <c r="B644" s="1">
        <f>DATE(2011,2,6) + TIME(22,49,11)</f>
        <v>40580.950821759259</v>
      </c>
      <c r="C644">
        <v>80</v>
      </c>
      <c r="D644">
        <v>69.543510436999995</v>
      </c>
      <c r="E644">
        <v>50</v>
      </c>
      <c r="F644">
        <v>49.951259612999998</v>
      </c>
      <c r="G644">
        <v>1315.4549560999999</v>
      </c>
      <c r="H644">
        <v>1309.1394043</v>
      </c>
      <c r="I644">
        <v>1357.8752440999999</v>
      </c>
      <c r="J644">
        <v>1349.7691649999999</v>
      </c>
      <c r="K644">
        <v>0</v>
      </c>
      <c r="L644">
        <v>2400</v>
      </c>
      <c r="M644">
        <v>2400</v>
      </c>
      <c r="N644">
        <v>0</v>
      </c>
    </row>
    <row r="645" spans="1:14" x14ac:dyDescent="0.25">
      <c r="A645">
        <v>284.01892800000002</v>
      </c>
      <c r="B645" s="1">
        <f>DATE(2011,2,9) + TIME(0,27,15)</f>
        <v>40583.018923611111</v>
      </c>
      <c r="C645">
        <v>80</v>
      </c>
      <c r="D645">
        <v>69.384231567</v>
      </c>
      <c r="E645">
        <v>50</v>
      </c>
      <c r="F645">
        <v>49.951396942000002</v>
      </c>
      <c r="G645">
        <v>1315.3071289</v>
      </c>
      <c r="H645">
        <v>1308.9344481999999</v>
      </c>
      <c r="I645">
        <v>1357.8485106999999</v>
      </c>
      <c r="J645">
        <v>1349.7469481999999</v>
      </c>
      <c r="K645">
        <v>0</v>
      </c>
      <c r="L645">
        <v>2400</v>
      </c>
      <c r="M645">
        <v>2400</v>
      </c>
      <c r="N645">
        <v>0</v>
      </c>
    </row>
    <row r="646" spans="1:14" x14ac:dyDescent="0.25">
      <c r="A646">
        <v>286.09837900000002</v>
      </c>
      <c r="B646" s="1">
        <f>DATE(2011,2,11) + TIME(2,21,39)</f>
        <v>40585.098368055558</v>
      </c>
      <c r="C646">
        <v>80</v>
      </c>
      <c r="D646">
        <v>69.218811035000002</v>
      </c>
      <c r="E646">
        <v>50</v>
      </c>
      <c r="F646">
        <v>49.951534271</v>
      </c>
      <c r="G646">
        <v>1315.1553954999999</v>
      </c>
      <c r="H646">
        <v>1308.7237548999999</v>
      </c>
      <c r="I646">
        <v>1357.8218993999999</v>
      </c>
      <c r="J646">
        <v>1349.7247314000001</v>
      </c>
      <c r="K646">
        <v>0</v>
      </c>
      <c r="L646">
        <v>2400</v>
      </c>
      <c r="M646">
        <v>2400</v>
      </c>
      <c r="N646">
        <v>0</v>
      </c>
    </row>
    <row r="647" spans="1:14" x14ac:dyDescent="0.25">
      <c r="A647">
        <v>288.201368</v>
      </c>
      <c r="B647" s="1">
        <f>DATE(2011,2,13) + TIME(4,49,58)</f>
        <v>40587.201365740744</v>
      </c>
      <c r="C647">
        <v>80</v>
      </c>
      <c r="D647">
        <v>69.048141478999995</v>
      </c>
      <c r="E647">
        <v>50</v>
      </c>
      <c r="F647">
        <v>49.951671599999997</v>
      </c>
      <c r="G647">
        <v>1315.0015868999999</v>
      </c>
      <c r="H647">
        <v>1308.5096435999999</v>
      </c>
      <c r="I647">
        <v>1357.7957764</v>
      </c>
      <c r="J647">
        <v>1349.7028809000001</v>
      </c>
      <c r="K647">
        <v>0</v>
      </c>
      <c r="L647">
        <v>2400</v>
      </c>
      <c r="M647">
        <v>2400</v>
      </c>
      <c r="N647">
        <v>0</v>
      </c>
    </row>
    <row r="648" spans="1:14" x14ac:dyDescent="0.25">
      <c r="A648">
        <v>290.327313</v>
      </c>
      <c r="B648" s="1">
        <f>DATE(2011,2,15) + TIME(7,51,19)</f>
        <v>40589.327303240738</v>
      </c>
      <c r="C648">
        <v>80</v>
      </c>
      <c r="D648">
        <v>68.871673584000007</v>
      </c>
      <c r="E648">
        <v>50</v>
      </c>
      <c r="F648">
        <v>49.951812744000001</v>
      </c>
      <c r="G648">
        <v>1314.8454589999999</v>
      </c>
      <c r="H648">
        <v>1308.2917480000001</v>
      </c>
      <c r="I648">
        <v>1357.7697754000001</v>
      </c>
      <c r="J648">
        <v>1349.6811522999999</v>
      </c>
      <c r="K648">
        <v>0</v>
      </c>
      <c r="L648">
        <v>2400</v>
      </c>
      <c r="M648">
        <v>2400</v>
      </c>
      <c r="N648">
        <v>0</v>
      </c>
    </row>
    <row r="649" spans="1:14" x14ac:dyDescent="0.25">
      <c r="A649">
        <v>292.48155100000002</v>
      </c>
      <c r="B649" s="1">
        <f>DATE(2011,2,17) + TIME(11,33,26)</f>
        <v>40591.481550925928</v>
      </c>
      <c r="C649">
        <v>80</v>
      </c>
      <c r="D649">
        <v>68.688850403000004</v>
      </c>
      <c r="E649">
        <v>50</v>
      </c>
      <c r="F649">
        <v>49.951953887999998</v>
      </c>
      <c r="G649">
        <v>1314.6870117000001</v>
      </c>
      <c r="H649">
        <v>1308.0703125</v>
      </c>
      <c r="I649">
        <v>1357.7440185999999</v>
      </c>
      <c r="J649">
        <v>1349.6597899999999</v>
      </c>
      <c r="K649">
        <v>0</v>
      </c>
      <c r="L649">
        <v>2400</v>
      </c>
      <c r="M649">
        <v>2400</v>
      </c>
      <c r="N649">
        <v>0</v>
      </c>
    </row>
    <row r="650" spans="1:14" x14ac:dyDescent="0.25">
      <c r="A650">
        <v>294.67613299999999</v>
      </c>
      <c r="B650" s="1">
        <f>DATE(2011,2,19) + TIME(16,13,37)</f>
        <v>40593.676122685189</v>
      </c>
      <c r="C650">
        <v>80</v>
      </c>
      <c r="D650">
        <v>68.498657226999995</v>
      </c>
      <c r="E650">
        <v>50</v>
      </c>
      <c r="F650">
        <v>49.952095032000003</v>
      </c>
      <c r="G650">
        <v>1314.526001</v>
      </c>
      <c r="H650">
        <v>1307.8448486</v>
      </c>
      <c r="I650">
        <v>1357.7185059000001</v>
      </c>
      <c r="J650">
        <v>1349.6384277</v>
      </c>
      <c r="K650">
        <v>0</v>
      </c>
      <c r="L650">
        <v>2400</v>
      </c>
      <c r="M650">
        <v>2400</v>
      </c>
      <c r="N650">
        <v>0</v>
      </c>
    </row>
    <row r="651" spans="1:14" x14ac:dyDescent="0.25">
      <c r="A651">
        <v>296.92090100000001</v>
      </c>
      <c r="B651" s="1">
        <f>DATE(2011,2,21) + TIME(22,6,5)</f>
        <v>40595.920891203707</v>
      </c>
      <c r="C651">
        <v>80</v>
      </c>
      <c r="D651">
        <v>68.299667357999994</v>
      </c>
      <c r="E651">
        <v>50</v>
      </c>
      <c r="F651">
        <v>49.952239990000002</v>
      </c>
      <c r="G651">
        <v>1314.3615723</v>
      </c>
      <c r="H651">
        <v>1307.6143798999999</v>
      </c>
      <c r="I651">
        <v>1357.6928711</v>
      </c>
      <c r="J651">
        <v>1349.6170654</v>
      </c>
      <c r="K651">
        <v>0</v>
      </c>
      <c r="L651">
        <v>2400</v>
      </c>
      <c r="M651">
        <v>2400</v>
      </c>
      <c r="N651">
        <v>0</v>
      </c>
    </row>
    <row r="652" spans="1:14" x14ac:dyDescent="0.25">
      <c r="A652">
        <v>299.21486399999998</v>
      </c>
      <c r="B652" s="1">
        <f>DATE(2011,2,24) + TIME(5,9,24)</f>
        <v>40598.214861111112</v>
      </c>
      <c r="C652">
        <v>80</v>
      </c>
      <c r="D652">
        <v>68.090591431000007</v>
      </c>
      <c r="E652">
        <v>50</v>
      </c>
      <c r="F652">
        <v>49.952388763000002</v>
      </c>
      <c r="G652">
        <v>1314.1932373</v>
      </c>
      <c r="H652">
        <v>1307.3778076000001</v>
      </c>
      <c r="I652">
        <v>1357.6672363</v>
      </c>
      <c r="J652">
        <v>1349.5957031</v>
      </c>
      <c r="K652">
        <v>0</v>
      </c>
      <c r="L652">
        <v>2400</v>
      </c>
      <c r="M652">
        <v>2400</v>
      </c>
      <c r="N652">
        <v>0</v>
      </c>
    </row>
    <row r="653" spans="1:14" x14ac:dyDescent="0.25">
      <c r="A653">
        <v>301.52635500000002</v>
      </c>
      <c r="B653" s="1">
        <f>DATE(2011,2,26) + TIME(12,37,57)</f>
        <v>40600.526354166665</v>
      </c>
      <c r="C653">
        <v>80</v>
      </c>
      <c r="D653">
        <v>67.871299743999998</v>
      </c>
      <c r="E653">
        <v>50</v>
      </c>
      <c r="F653">
        <v>49.952533721999998</v>
      </c>
      <c r="G653">
        <v>1314.0209961</v>
      </c>
      <c r="H653">
        <v>1307.1352539</v>
      </c>
      <c r="I653">
        <v>1357.6414795000001</v>
      </c>
      <c r="J653">
        <v>1349.5742187999999</v>
      </c>
      <c r="K653">
        <v>0</v>
      </c>
      <c r="L653">
        <v>2400</v>
      </c>
      <c r="M653">
        <v>2400</v>
      </c>
      <c r="N653">
        <v>0</v>
      </c>
    </row>
    <row r="654" spans="1:14" x14ac:dyDescent="0.25">
      <c r="A654">
        <v>303.855593</v>
      </c>
      <c r="B654" s="1">
        <f>DATE(2011,2,28) + TIME(20,32,3)</f>
        <v>40602.855590277781</v>
      </c>
      <c r="C654">
        <v>80</v>
      </c>
      <c r="D654">
        <v>67.642921447999996</v>
      </c>
      <c r="E654">
        <v>50</v>
      </c>
      <c r="F654">
        <v>49.952682494999998</v>
      </c>
      <c r="G654">
        <v>1313.8466797000001</v>
      </c>
      <c r="H654">
        <v>1306.8891602000001</v>
      </c>
      <c r="I654">
        <v>1357.6160889</v>
      </c>
      <c r="J654">
        <v>1349.5529785000001</v>
      </c>
      <c r="K654">
        <v>0</v>
      </c>
      <c r="L654">
        <v>2400</v>
      </c>
      <c r="M654">
        <v>2400</v>
      </c>
      <c r="N654">
        <v>0</v>
      </c>
    </row>
    <row r="655" spans="1:14" x14ac:dyDescent="0.25">
      <c r="A655">
        <v>304</v>
      </c>
      <c r="B655" s="1">
        <f>DATE(2011,3,1) + TIME(0,0,0)</f>
        <v>40603</v>
      </c>
      <c r="C655">
        <v>80</v>
      </c>
      <c r="D655">
        <v>67.589996338000006</v>
      </c>
      <c r="E655">
        <v>50</v>
      </c>
      <c r="F655">
        <v>49.952686309999997</v>
      </c>
      <c r="G655">
        <v>1313.6915283000001</v>
      </c>
      <c r="H655">
        <v>1306.6948242000001</v>
      </c>
      <c r="I655">
        <v>1357.5904541</v>
      </c>
      <c r="J655">
        <v>1349.5313721</v>
      </c>
      <c r="K655">
        <v>0</v>
      </c>
      <c r="L655">
        <v>2400</v>
      </c>
      <c r="M655">
        <v>2400</v>
      </c>
      <c r="N655">
        <v>0</v>
      </c>
    </row>
    <row r="656" spans="1:14" x14ac:dyDescent="0.25">
      <c r="A656">
        <v>306.350078</v>
      </c>
      <c r="B656" s="1">
        <f>DATE(2011,3,3) + TIME(8,24,6)</f>
        <v>40605.350069444445</v>
      </c>
      <c r="C656">
        <v>80</v>
      </c>
      <c r="D656">
        <v>67.381370544000006</v>
      </c>
      <c r="E656">
        <v>50</v>
      </c>
      <c r="F656">
        <v>49.952842711999999</v>
      </c>
      <c r="G656">
        <v>1313.6536865</v>
      </c>
      <c r="H656">
        <v>1306.6134033000001</v>
      </c>
      <c r="I656">
        <v>1357.5893555</v>
      </c>
      <c r="J656">
        <v>1349.5305175999999</v>
      </c>
      <c r="K656">
        <v>0</v>
      </c>
      <c r="L656">
        <v>2400</v>
      </c>
      <c r="M656">
        <v>2400</v>
      </c>
      <c r="N656">
        <v>0</v>
      </c>
    </row>
    <row r="657" spans="1:14" x14ac:dyDescent="0.25">
      <c r="A657">
        <v>308.73709400000001</v>
      </c>
      <c r="B657" s="1">
        <f>DATE(2011,3,5) + TIME(17,41,24)</f>
        <v>40607.737083333333</v>
      </c>
      <c r="C657">
        <v>80</v>
      </c>
      <c r="D657">
        <v>67.139930724999999</v>
      </c>
      <c r="E657">
        <v>50</v>
      </c>
      <c r="F657">
        <v>49.952991486000002</v>
      </c>
      <c r="G657">
        <v>1313.4804687999999</v>
      </c>
      <c r="H657">
        <v>1306.3698730000001</v>
      </c>
      <c r="I657">
        <v>1357.5643310999999</v>
      </c>
      <c r="J657">
        <v>1349.5096435999999</v>
      </c>
      <c r="K657">
        <v>0</v>
      </c>
      <c r="L657">
        <v>2400</v>
      </c>
      <c r="M657">
        <v>2400</v>
      </c>
      <c r="N657">
        <v>0</v>
      </c>
    </row>
    <row r="658" spans="1:14" x14ac:dyDescent="0.25">
      <c r="A658">
        <v>311.17267600000002</v>
      </c>
      <c r="B658" s="1">
        <f>DATE(2011,3,8) + TIME(4,8,39)</f>
        <v>40610.172673611109</v>
      </c>
      <c r="C658">
        <v>80</v>
      </c>
      <c r="D658">
        <v>66.881027222</v>
      </c>
      <c r="E658">
        <v>50</v>
      </c>
      <c r="F658">
        <v>49.953144072999997</v>
      </c>
      <c r="G658">
        <v>1313.3012695</v>
      </c>
      <c r="H658">
        <v>1306.1154785000001</v>
      </c>
      <c r="I658">
        <v>1357.5394286999999</v>
      </c>
      <c r="J658">
        <v>1349.4887695</v>
      </c>
      <c r="K658">
        <v>0</v>
      </c>
      <c r="L658">
        <v>2400</v>
      </c>
      <c r="M658">
        <v>2400</v>
      </c>
      <c r="N658">
        <v>0</v>
      </c>
    </row>
    <row r="659" spans="1:14" x14ac:dyDescent="0.25">
      <c r="A659">
        <v>313.65317399999998</v>
      </c>
      <c r="B659" s="1">
        <f>DATE(2011,3,10) + TIME(15,40,34)</f>
        <v>40612.653171296297</v>
      </c>
      <c r="C659">
        <v>80</v>
      </c>
      <c r="D659">
        <v>66.607261657999999</v>
      </c>
      <c r="E659">
        <v>50</v>
      </c>
      <c r="F659">
        <v>49.953300476000003</v>
      </c>
      <c r="G659">
        <v>1313.1177978999999</v>
      </c>
      <c r="H659">
        <v>1305.854126</v>
      </c>
      <c r="I659">
        <v>1357.5142822</v>
      </c>
      <c r="J659">
        <v>1349.4677733999999</v>
      </c>
      <c r="K659">
        <v>0</v>
      </c>
      <c r="L659">
        <v>2400</v>
      </c>
      <c r="M659">
        <v>2400</v>
      </c>
      <c r="N659">
        <v>0</v>
      </c>
    </row>
    <row r="660" spans="1:14" x14ac:dyDescent="0.25">
      <c r="A660">
        <v>316.185495</v>
      </c>
      <c r="B660" s="1">
        <f>DATE(2011,3,13) + TIME(4,27,6)</f>
        <v>40615.185486111113</v>
      </c>
      <c r="C660">
        <v>80</v>
      </c>
      <c r="D660">
        <v>66.318710327000005</v>
      </c>
      <c r="E660">
        <v>50</v>
      </c>
      <c r="F660">
        <v>49.953456879000001</v>
      </c>
      <c r="G660">
        <v>1312.9307861</v>
      </c>
      <c r="H660">
        <v>1305.5870361</v>
      </c>
      <c r="I660">
        <v>1357.4891356999999</v>
      </c>
      <c r="J660">
        <v>1349.4467772999999</v>
      </c>
      <c r="K660">
        <v>0</v>
      </c>
      <c r="L660">
        <v>2400</v>
      </c>
      <c r="M660">
        <v>2400</v>
      </c>
      <c r="N660">
        <v>0</v>
      </c>
    </row>
    <row r="661" spans="1:14" x14ac:dyDescent="0.25">
      <c r="A661">
        <v>318.729715</v>
      </c>
      <c r="B661" s="1">
        <f>DATE(2011,3,15) + TIME(17,30,47)</f>
        <v>40617.729710648149</v>
      </c>
      <c r="C661">
        <v>80</v>
      </c>
      <c r="D661">
        <v>66.015319824000002</v>
      </c>
      <c r="E661">
        <v>50</v>
      </c>
      <c r="F661">
        <v>49.953613281000003</v>
      </c>
      <c r="G661">
        <v>1312.7402344</v>
      </c>
      <c r="H661">
        <v>1305.3144531</v>
      </c>
      <c r="I661">
        <v>1357.4638672000001</v>
      </c>
      <c r="J661">
        <v>1349.4255370999999</v>
      </c>
      <c r="K661">
        <v>0</v>
      </c>
      <c r="L661">
        <v>2400</v>
      </c>
      <c r="M661">
        <v>2400</v>
      </c>
      <c r="N661">
        <v>0</v>
      </c>
    </row>
    <row r="662" spans="1:14" x14ac:dyDescent="0.25">
      <c r="A662">
        <v>321.29233099999999</v>
      </c>
      <c r="B662" s="1">
        <f>DATE(2011,3,18) + TIME(7,0,57)</f>
        <v>40620.292326388888</v>
      </c>
      <c r="C662">
        <v>80</v>
      </c>
      <c r="D662">
        <v>65.699348450000002</v>
      </c>
      <c r="E662">
        <v>50</v>
      </c>
      <c r="F662">
        <v>49.953769684000001</v>
      </c>
      <c r="G662">
        <v>1312.5487060999999</v>
      </c>
      <c r="H662">
        <v>1305.0391846</v>
      </c>
      <c r="I662">
        <v>1357.4388428</v>
      </c>
      <c r="J662">
        <v>1349.4045410000001</v>
      </c>
      <c r="K662">
        <v>0</v>
      </c>
      <c r="L662">
        <v>2400</v>
      </c>
      <c r="M662">
        <v>2400</v>
      </c>
      <c r="N662">
        <v>0</v>
      </c>
    </row>
    <row r="663" spans="1:14" x14ac:dyDescent="0.25">
      <c r="A663">
        <v>323.88828699999999</v>
      </c>
      <c r="B663" s="1">
        <f>DATE(2011,3,20) + TIME(21,19,8)</f>
        <v>40622.888287037036</v>
      </c>
      <c r="C663">
        <v>80</v>
      </c>
      <c r="D663">
        <v>65.370239257999998</v>
      </c>
      <c r="E663">
        <v>50</v>
      </c>
      <c r="F663">
        <v>49.953929901000002</v>
      </c>
      <c r="G663">
        <v>1312.3562012</v>
      </c>
      <c r="H663">
        <v>1304.7618408000001</v>
      </c>
      <c r="I663">
        <v>1357.4139404</v>
      </c>
      <c r="J663">
        <v>1349.3835449000001</v>
      </c>
      <c r="K663">
        <v>0</v>
      </c>
      <c r="L663">
        <v>2400</v>
      </c>
      <c r="M663">
        <v>2400</v>
      </c>
      <c r="N663">
        <v>0</v>
      </c>
    </row>
    <row r="664" spans="1:14" x14ac:dyDescent="0.25">
      <c r="A664">
        <v>326.53050200000001</v>
      </c>
      <c r="B664" s="1">
        <f>DATE(2011,3,23) + TIME(12,43,55)</f>
        <v>40625.530497685184</v>
      </c>
      <c r="C664">
        <v>80</v>
      </c>
      <c r="D664">
        <v>65.026130675999994</v>
      </c>
      <c r="E664">
        <v>50</v>
      </c>
      <c r="F664">
        <v>49.954090118000003</v>
      </c>
      <c r="G664">
        <v>1312.1619873</v>
      </c>
      <c r="H664">
        <v>1304.4812012</v>
      </c>
      <c r="I664">
        <v>1357.3891602000001</v>
      </c>
      <c r="J664">
        <v>1349.3626709</v>
      </c>
      <c r="K664">
        <v>0</v>
      </c>
      <c r="L664">
        <v>2400</v>
      </c>
      <c r="M664">
        <v>2400</v>
      </c>
      <c r="N664">
        <v>0</v>
      </c>
    </row>
    <row r="665" spans="1:14" x14ac:dyDescent="0.25">
      <c r="A665">
        <v>329.20725599999997</v>
      </c>
      <c r="B665" s="1">
        <f>DATE(2011,3,26) + TIME(4,58,26)</f>
        <v>40628.207245370373</v>
      </c>
      <c r="C665">
        <v>80</v>
      </c>
      <c r="D665">
        <v>64.665664672999995</v>
      </c>
      <c r="E665">
        <v>50</v>
      </c>
      <c r="F665">
        <v>49.954250336000001</v>
      </c>
      <c r="G665">
        <v>1311.9652100000001</v>
      </c>
      <c r="H665">
        <v>1304.1961670000001</v>
      </c>
      <c r="I665">
        <v>1357.3641356999999</v>
      </c>
      <c r="J665">
        <v>1349.3415527</v>
      </c>
      <c r="K665">
        <v>0</v>
      </c>
      <c r="L665">
        <v>2400</v>
      </c>
      <c r="M665">
        <v>2400</v>
      </c>
      <c r="N665">
        <v>0</v>
      </c>
    </row>
    <row r="666" spans="1:14" x14ac:dyDescent="0.25">
      <c r="A666">
        <v>331.93379299999998</v>
      </c>
      <c r="B666" s="1">
        <f>DATE(2011,3,28) + TIME(22,24,39)</f>
        <v>40630.93378472222</v>
      </c>
      <c r="C666">
        <v>80</v>
      </c>
      <c r="D666">
        <v>64.288696289000001</v>
      </c>
      <c r="E666">
        <v>50</v>
      </c>
      <c r="F666">
        <v>49.954414368000002</v>
      </c>
      <c r="G666">
        <v>1311.7667236</v>
      </c>
      <c r="H666">
        <v>1303.9075928</v>
      </c>
      <c r="I666">
        <v>1357.3391113</v>
      </c>
      <c r="J666">
        <v>1349.3204346</v>
      </c>
      <c r="K666">
        <v>0</v>
      </c>
      <c r="L666">
        <v>2400</v>
      </c>
      <c r="M666">
        <v>2400</v>
      </c>
      <c r="N666">
        <v>0</v>
      </c>
    </row>
    <row r="667" spans="1:14" x14ac:dyDescent="0.25">
      <c r="A667">
        <v>334.70460800000001</v>
      </c>
      <c r="B667" s="1">
        <f>DATE(2011,3,31) + TIME(16,54,38)</f>
        <v>40633.704606481479</v>
      </c>
      <c r="C667">
        <v>80</v>
      </c>
      <c r="D667">
        <v>63.893733978</v>
      </c>
      <c r="E667">
        <v>50</v>
      </c>
      <c r="F667">
        <v>49.954578400000003</v>
      </c>
      <c r="G667">
        <v>1311.5657959</v>
      </c>
      <c r="H667">
        <v>1303.6147461</v>
      </c>
      <c r="I667">
        <v>1357.3139647999999</v>
      </c>
      <c r="J667">
        <v>1349.2991943</v>
      </c>
      <c r="K667">
        <v>0</v>
      </c>
      <c r="L667">
        <v>2400</v>
      </c>
      <c r="M667">
        <v>2400</v>
      </c>
      <c r="N667">
        <v>0</v>
      </c>
    </row>
    <row r="668" spans="1:14" x14ac:dyDescent="0.25">
      <c r="A668">
        <v>335</v>
      </c>
      <c r="B668" s="1">
        <f>DATE(2011,4,1) + TIME(0,0,0)</f>
        <v>40634</v>
      </c>
      <c r="C668">
        <v>80</v>
      </c>
      <c r="D668">
        <v>63.734031676999997</v>
      </c>
      <c r="E668">
        <v>50</v>
      </c>
      <c r="F668">
        <v>49.954589843999997</v>
      </c>
      <c r="G668">
        <v>1311.3781738</v>
      </c>
      <c r="H668">
        <v>1303.3757324000001</v>
      </c>
      <c r="I668">
        <v>1357.2882079999999</v>
      </c>
      <c r="J668">
        <v>1349.2772216999999</v>
      </c>
      <c r="K668">
        <v>0</v>
      </c>
      <c r="L668">
        <v>2400</v>
      </c>
      <c r="M668">
        <v>2400</v>
      </c>
      <c r="N668">
        <v>0</v>
      </c>
    </row>
    <row r="669" spans="1:14" x14ac:dyDescent="0.25">
      <c r="A669">
        <v>337.78839599999998</v>
      </c>
      <c r="B669" s="1">
        <f>DATE(2011,4,3) + TIME(18,55,17)</f>
        <v>40636.788391203707</v>
      </c>
      <c r="C669">
        <v>80</v>
      </c>
      <c r="D669">
        <v>63.414531707999998</v>
      </c>
      <c r="E669">
        <v>50</v>
      </c>
      <c r="F669">
        <v>49.954757690000001</v>
      </c>
      <c r="G669">
        <v>1311.3310547000001</v>
      </c>
      <c r="H669">
        <v>1303.2655029</v>
      </c>
      <c r="I669">
        <v>1357.2860106999999</v>
      </c>
      <c r="J669">
        <v>1349.2753906</v>
      </c>
      <c r="K669">
        <v>0</v>
      </c>
      <c r="L669">
        <v>2400</v>
      </c>
      <c r="M669">
        <v>2400</v>
      </c>
      <c r="N669">
        <v>0</v>
      </c>
    </row>
    <row r="670" spans="1:14" x14ac:dyDescent="0.25">
      <c r="A670">
        <v>340.61652900000001</v>
      </c>
      <c r="B670" s="1">
        <f>DATE(2011,4,6) + TIME(14,47,48)</f>
        <v>40639.616527777776</v>
      </c>
      <c r="C670">
        <v>80</v>
      </c>
      <c r="D670">
        <v>63.003475189</v>
      </c>
      <c r="E670">
        <v>50</v>
      </c>
      <c r="F670">
        <v>49.954925537000001</v>
      </c>
      <c r="G670">
        <v>1311.1363524999999</v>
      </c>
      <c r="H670">
        <v>1302.9841309000001</v>
      </c>
      <c r="I670">
        <v>1357.2607422000001</v>
      </c>
      <c r="J670">
        <v>1349.2540283000001</v>
      </c>
      <c r="K670">
        <v>0</v>
      </c>
      <c r="L670">
        <v>2400</v>
      </c>
      <c r="M670">
        <v>2400</v>
      </c>
      <c r="N670">
        <v>0</v>
      </c>
    </row>
    <row r="671" spans="1:14" x14ac:dyDescent="0.25">
      <c r="A671">
        <v>343.482485</v>
      </c>
      <c r="B671" s="1">
        <f>DATE(2011,4,9) + TIME(11,34,46)</f>
        <v>40642.482476851852</v>
      </c>
      <c r="C671">
        <v>80</v>
      </c>
      <c r="D671">
        <v>62.560901641999997</v>
      </c>
      <c r="E671">
        <v>50</v>
      </c>
      <c r="F671">
        <v>49.955093384000001</v>
      </c>
      <c r="G671">
        <v>1310.9343262</v>
      </c>
      <c r="H671">
        <v>1302.6871338000001</v>
      </c>
      <c r="I671">
        <v>1357.2354736</v>
      </c>
      <c r="J671">
        <v>1349.2325439000001</v>
      </c>
      <c r="K671">
        <v>0</v>
      </c>
      <c r="L671">
        <v>2400</v>
      </c>
      <c r="M671">
        <v>2400</v>
      </c>
      <c r="N671">
        <v>0</v>
      </c>
    </row>
    <row r="672" spans="1:14" x14ac:dyDescent="0.25">
      <c r="A672">
        <v>346.38207399999999</v>
      </c>
      <c r="B672" s="1">
        <f>DATE(2011,4,12) + TIME(9,10,11)</f>
        <v>40645.382071759261</v>
      </c>
      <c r="C672">
        <v>80</v>
      </c>
      <c r="D672">
        <v>62.099044800000001</v>
      </c>
      <c r="E672">
        <v>50</v>
      </c>
      <c r="F672">
        <v>49.955257416000002</v>
      </c>
      <c r="G672">
        <v>1310.7301024999999</v>
      </c>
      <c r="H672">
        <v>1302.3852539</v>
      </c>
      <c r="I672">
        <v>1357.2100829999999</v>
      </c>
      <c r="J672">
        <v>1349.2109375</v>
      </c>
      <c r="K672">
        <v>0</v>
      </c>
      <c r="L672">
        <v>2400</v>
      </c>
      <c r="M672">
        <v>2400</v>
      </c>
      <c r="N672">
        <v>0</v>
      </c>
    </row>
    <row r="673" spans="1:14" x14ac:dyDescent="0.25">
      <c r="A673">
        <v>349.33187700000002</v>
      </c>
      <c r="B673" s="1">
        <f>DATE(2011,4,15) + TIME(7,57,54)</f>
        <v>40648.331875000003</v>
      </c>
      <c r="C673">
        <v>80</v>
      </c>
      <c r="D673">
        <v>61.619918822999999</v>
      </c>
      <c r="E673">
        <v>50</v>
      </c>
      <c r="F673">
        <v>49.955429076999998</v>
      </c>
      <c r="G673">
        <v>1310.5253906</v>
      </c>
      <c r="H673">
        <v>1302.0811768000001</v>
      </c>
      <c r="I673">
        <v>1357.1845702999999</v>
      </c>
      <c r="J673">
        <v>1349.1890868999999</v>
      </c>
      <c r="K673">
        <v>0</v>
      </c>
      <c r="L673">
        <v>2400</v>
      </c>
      <c r="M673">
        <v>2400</v>
      </c>
      <c r="N673">
        <v>0</v>
      </c>
    </row>
    <row r="674" spans="1:14" x14ac:dyDescent="0.25">
      <c r="A674">
        <v>352.34935300000001</v>
      </c>
      <c r="B674" s="1">
        <f>DATE(2011,4,18) + TIME(8,23,4)</f>
        <v>40651.349351851852</v>
      </c>
      <c r="C674">
        <v>80</v>
      </c>
      <c r="D674">
        <v>61.122020720999998</v>
      </c>
      <c r="E674">
        <v>50</v>
      </c>
      <c r="F674">
        <v>49.955600738999998</v>
      </c>
      <c r="G674">
        <v>1310.3197021000001</v>
      </c>
      <c r="H674">
        <v>1301.7742920000001</v>
      </c>
      <c r="I674">
        <v>1357.1589355000001</v>
      </c>
      <c r="J674">
        <v>1349.1671143000001</v>
      </c>
      <c r="K674">
        <v>0</v>
      </c>
      <c r="L674">
        <v>2400</v>
      </c>
      <c r="M674">
        <v>2400</v>
      </c>
      <c r="N674">
        <v>0</v>
      </c>
    </row>
    <row r="675" spans="1:14" x14ac:dyDescent="0.25">
      <c r="A675">
        <v>355.39299</v>
      </c>
      <c r="B675" s="1">
        <f>DATE(2011,4,21) + TIME(9,25,54)</f>
        <v>40654.39298611111</v>
      </c>
      <c r="C675">
        <v>80</v>
      </c>
      <c r="D675">
        <v>60.604522705000001</v>
      </c>
      <c r="E675">
        <v>50</v>
      </c>
      <c r="F675">
        <v>49.955772400000001</v>
      </c>
      <c r="G675">
        <v>1310.1121826000001</v>
      </c>
      <c r="H675">
        <v>1301.4639893000001</v>
      </c>
      <c r="I675">
        <v>1357.1328125</v>
      </c>
      <c r="J675">
        <v>1349.1447754000001</v>
      </c>
      <c r="K675">
        <v>0</v>
      </c>
      <c r="L675">
        <v>2400</v>
      </c>
      <c r="M675">
        <v>2400</v>
      </c>
      <c r="N675">
        <v>0</v>
      </c>
    </row>
    <row r="676" spans="1:14" x14ac:dyDescent="0.25">
      <c r="A676">
        <v>358.47616599999998</v>
      </c>
      <c r="B676" s="1">
        <f>DATE(2011,4,24) + TIME(11,25,40)</f>
        <v>40657.476157407407</v>
      </c>
      <c r="C676">
        <v>80</v>
      </c>
      <c r="D676">
        <v>60.071956634999999</v>
      </c>
      <c r="E676">
        <v>50</v>
      </c>
      <c r="F676">
        <v>49.955944060999997</v>
      </c>
      <c r="G676">
        <v>1309.9056396000001</v>
      </c>
      <c r="H676">
        <v>1301.1534423999999</v>
      </c>
      <c r="I676">
        <v>1357.1065673999999</v>
      </c>
      <c r="J676">
        <v>1349.1221923999999</v>
      </c>
      <c r="K676">
        <v>0</v>
      </c>
      <c r="L676">
        <v>2400</v>
      </c>
      <c r="M676">
        <v>2400</v>
      </c>
      <c r="N676">
        <v>0</v>
      </c>
    </row>
    <row r="677" spans="1:14" x14ac:dyDescent="0.25">
      <c r="A677">
        <v>361.58113600000001</v>
      </c>
      <c r="B677" s="1">
        <f>DATE(2011,4,27) + TIME(13,56,50)</f>
        <v>40660.581134259257</v>
      </c>
      <c r="C677">
        <v>80</v>
      </c>
      <c r="D677">
        <v>59.524177551000001</v>
      </c>
      <c r="E677">
        <v>50</v>
      </c>
      <c r="F677">
        <v>49.956115723000003</v>
      </c>
      <c r="G677">
        <v>1309.6999512</v>
      </c>
      <c r="H677">
        <v>1300.8428954999999</v>
      </c>
      <c r="I677">
        <v>1357.0803223</v>
      </c>
      <c r="J677">
        <v>1349.0996094</v>
      </c>
      <c r="K677">
        <v>0</v>
      </c>
      <c r="L677">
        <v>2400</v>
      </c>
      <c r="M677">
        <v>2400</v>
      </c>
      <c r="N677">
        <v>0</v>
      </c>
    </row>
    <row r="678" spans="1:14" x14ac:dyDescent="0.25">
      <c r="A678">
        <v>364.72160100000002</v>
      </c>
      <c r="B678" s="1">
        <f>DATE(2011,4,30) + TIME(17,19,6)</f>
        <v>40663.721597222226</v>
      </c>
      <c r="C678">
        <v>80</v>
      </c>
      <c r="D678">
        <v>58.964248656999999</v>
      </c>
      <c r="E678">
        <v>50</v>
      </c>
      <c r="F678">
        <v>49.956287383999999</v>
      </c>
      <c r="G678">
        <v>1309.4963379000001</v>
      </c>
      <c r="H678">
        <v>1300.5339355000001</v>
      </c>
      <c r="I678">
        <v>1357.0539550999999</v>
      </c>
      <c r="J678">
        <v>1349.0767822</v>
      </c>
      <c r="K678">
        <v>0</v>
      </c>
      <c r="L678">
        <v>2400</v>
      </c>
      <c r="M678">
        <v>2400</v>
      </c>
      <c r="N678">
        <v>0</v>
      </c>
    </row>
    <row r="679" spans="1:14" x14ac:dyDescent="0.25">
      <c r="A679">
        <v>365</v>
      </c>
      <c r="B679" s="1">
        <f>DATE(2011,5,1) + TIME(0,0,0)</f>
        <v>40664</v>
      </c>
      <c r="C679">
        <v>80</v>
      </c>
      <c r="D679">
        <v>58.751518249999997</v>
      </c>
      <c r="E679">
        <v>50</v>
      </c>
      <c r="F679">
        <v>49.956298828000001</v>
      </c>
      <c r="G679">
        <v>1309.3031006000001</v>
      </c>
      <c r="H679">
        <v>1300.2933350000001</v>
      </c>
      <c r="I679">
        <v>1357.0272216999999</v>
      </c>
      <c r="J679">
        <v>1349.0535889</v>
      </c>
      <c r="K679">
        <v>0</v>
      </c>
      <c r="L679">
        <v>2400</v>
      </c>
      <c r="M679">
        <v>2400</v>
      </c>
      <c r="N679">
        <v>0</v>
      </c>
    </row>
    <row r="680" spans="1:14" x14ac:dyDescent="0.25">
      <c r="A680">
        <v>365.000001</v>
      </c>
      <c r="B680" s="1">
        <f>DATE(2011,5,1) + TIME(0,0,0)</f>
        <v>40664</v>
      </c>
      <c r="C680">
        <v>80</v>
      </c>
      <c r="D680">
        <v>58.751701355000002</v>
      </c>
      <c r="E680">
        <v>50</v>
      </c>
      <c r="F680">
        <v>49.956192016999999</v>
      </c>
      <c r="G680">
        <v>1319.7913818</v>
      </c>
      <c r="H680">
        <v>1310.4285889</v>
      </c>
      <c r="I680">
        <v>1348.2288818</v>
      </c>
      <c r="J680">
        <v>1340.8643798999999</v>
      </c>
      <c r="K680">
        <v>2400</v>
      </c>
      <c r="L680">
        <v>0</v>
      </c>
      <c r="M680">
        <v>0</v>
      </c>
      <c r="N680">
        <v>2400</v>
      </c>
    </row>
    <row r="681" spans="1:14" x14ac:dyDescent="0.25">
      <c r="A681">
        <v>365.00000399999999</v>
      </c>
      <c r="B681" s="1">
        <f>DATE(2011,5,1) + TIME(0,0,0)</f>
        <v>40664</v>
      </c>
      <c r="C681">
        <v>80</v>
      </c>
      <c r="D681">
        <v>58.752128601000003</v>
      </c>
      <c r="E681">
        <v>50</v>
      </c>
      <c r="F681">
        <v>49.955951691000003</v>
      </c>
      <c r="G681">
        <v>1321.885376</v>
      </c>
      <c r="H681">
        <v>1312.9117432</v>
      </c>
      <c r="I681">
        <v>1346.3129882999999</v>
      </c>
      <c r="J681">
        <v>1338.947876</v>
      </c>
      <c r="K681">
        <v>2400</v>
      </c>
      <c r="L681">
        <v>0</v>
      </c>
      <c r="M681">
        <v>0</v>
      </c>
      <c r="N681">
        <v>2400</v>
      </c>
    </row>
    <row r="682" spans="1:14" x14ac:dyDescent="0.25">
      <c r="A682">
        <v>365.00001300000002</v>
      </c>
      <c r="B682" s="1">
        <f>DATE(2011,5,1) + TIME(0,0,1)</f>
        <v>40664.000011574077</v>
      </c>
      <c r="C682">
        <v>80</v>
      </c>
      <c r="D682">
        <v>58.75296402</v>
      </c>
      <c r="E682">
        <v>50</v>
      </c>
      <c r="F682">
        <v>49.955528258999998</v>
      </c>
      <c r="G682">
        <v>1325.6967772999999</v>
      </c>
      <c r="H682">
        <v>1317.0031738</v>
      </c>
      <c r="I682">
        <v>1342.9481201000001</v>
      </c>
      <c r="J682">
        <v>1335.5831298999999</v>
      </c>
      <c r="K682">
        <v>2400</v>
      </c>
      <c r="L682">
        <v>0</v>
      </c>
      <c r="M682">
        <v>0</v>
      </c>
      <c r="N682">
        <v>2400</v>
      </c>
    </row>
    <row r="683" spans="1:14" x14ac:dyDescent="0.25">
      <c r="A683">
        <v>365.00004000000001</v>
      </c>
      <c r="B683" s="1">
        <f>DATE(2011,5,1) + TIME(0,0,3)</f>
        <v>40664.000034722223</v>
      </c>
      <c r="C683">
        <v>80</v>
      </c>
      <c r="D683">
        <v>58.754524230999998</v>
      </c>
      <c r="E683">
        <v>50</v>
      </c>
      <c r="F683">
        <v>49.954986572000003</v>
      </c>
      <c r="G683">
        <v>1330.7668457</v>
      </c>
      <c r="H683">
        <v>1322.0338135</v>
      </c>
      <c r="I683">
        <v>1338.682251</v>
      </c>
      <c r="J683">
        <v>1331.3204346</v>
      </c>
      <c r="K683">
        <v>2400</v>
      </c>
      <c r="L683">
        <v>0</v>
      </c>
      <c r="M683">
        <v>0</v>
      </c>
      <c r="N683">
        <v>2400</v>
      </c>
    </row>
    <row r="684" spans="1:14" x14ac:dyDescent="0.25">
      <c r="A684">
        <v>365.00012099999998</v>
      </c>
      <c r="B684" s="1">
        <f>DATE(2011,5,1) + TIME(0,0,10)</f>
        <v>40664.000115740739</v>
      </c>
      <c r="C684">
        <v>80</v>
      </c>
      <c r="D684">
        <v>58.757976532000001</v>
      </c>
      <c r="E684">
        <v>50</v>
      </c>
      <c r="F684">
        <v>49.954414368000002</v>
      </c>
      <c r="G684">
        <v>1336.2105713000001</v>
      </c>
      <c r="H684">
        <v>1327.3216553</v>
      </c>
      <c r="I684">
        <v>1334.2541504000001</v>
      </c>
      <c r="J684">
        <v>1326.8981934000001</v>
      </c>
      <c r="K684">
        <v>2400</v>
      </c>
      <c r="L684">
        <v>0</v>
      </c>
      <c r="M684">
        <v>0</v>
      </c>
      <c r="N684">
        <v>2400</v>
      </c>
    </row>
    <row r="685" spans="1:14" x14ac:dyDescent="0.25">
      <c r="A685">
        <v>365.00036399999999</v>
      </c>
      <c r="B685" s="1">
        <f>DATE(2011,5,1) + TIME(0,0,31)</f>
        <v>40664.000358796293</v>
      </c>
      <c r="C685">
        <v>80</v>
      </c>
      <c r="D685">
        <v>58.767093658</v>
      </c>
      <c r="E685">
        <v>50</v>
      </c>
      <c r="F685">
        <v>49.953811645999998</v>
      </c>
      <c r="G685">
        <v>1341.7452393000001</v>
      </c>
      <c r="H685">
        <v>1332.7044678</v>
      </c>
      <c r="I685">
        <v>1329.8406981999999</v>
      </c>
      <c r="J685">
        <v>1322.4913329999999</v>
      </c>
      <c r="K685">
        <v>2400</v>
      </c>
      <c r="L685">
        <v>0</v>
      </c>
      <c r="M685">
        <v>0</v>
      </c>
      <c r="N685">
        <v>2400</v>
      </c>
    </row>
    <row r="686" spans="1:14" x14ac:dyDescent="0.25">
      <c r="A686">
        <v>365.00109300000003</v>
      </c>
      <c r="B686" s="1">
        <f>DATE(2011,5,1) + TIME(0,1,34)</f>
        <v>40664.001087962963</v>
      </c>
      <c r="C686">
        <v>80</v>
      </c>
      <c r="D686">
        <v>58.793464661000002</v>
      </c>
      <c r="E686">
        <v>50</v>
      </c>
      <c r="F686">
        <v>49.953098296999997</v>
      </c>
      <c r="G686">
        <v>1347.4787598</v>
      </c>
      <c r="H686">
        <v>1338.2882079999999</v>
      </c>
      <c r="I686">
        <v>1325.3492432</v>
      </c>
      <c r="J686">
        <v>1317.9897461</v>
      </c>
      <c r="K686">
        <v>2400</v>
      </c>
      <c r="L686">
        <v>0</v>
      </c>
      <c r="M686">
        <v>0</v>
      </c>
      <c r="N686">
        <v>2400</v>
      </c>
    </row>
    <row r="687" spans="1:14" x14ac:dyDescent="0.25">
      <c r="A687">
        <v>365.00328000000002</v>
      </c>
      <c r="B687" s="1">
        <f>DATE(2011,5,1) + TIME(0,4,43)</f>
        <v>40664.003275462965</v>
      </c>
      <c r="C687">
        <v>80</v>
      </c>
      <c r="D687">
        <v>58.872001648000001</v>
      </c>
      <c r="E687">
        <v>50</v>
      </c>
      <c r="F687">
        <v>49.952072143999999</v>
      </c>
      <c r="G687">
        <v>1353.2806396000001</v>
      </c>
      <c r="H687">
        <v>1343.9615478999999</v>
      </c>
      <c r="I687">
        <v>1320.6844481999999</v>
      </c>
      <c r="J687">
        <v>1313.2838135</v>
      </c>
      <c r="K687">
        <v>2400</v>
      </c>
      <c r="L687">
        <v>0</v>
      </c>
      <c r="M687">
        <v>0</v>
      </c>
      <c r="N687">
        <v>2400</v>
      </c>
    </row>
    <row r="688" spans="1:14" x14ac:dyDescent="0.25">
      <c r="A688">
        <v>365.00984099999999</v>
      </c>
      <c r="B688" s="1">
        <f>DATE(2011,5,1) + TIME(0,14,10)</f>
        <v>40664.009837962964</v>
      </c>
      <c r="C688">
        <v>80</v>
      </c>
      <c r="D688">
        <v>59.105758667000003</v>
      </c>
      <c r="E688">
        <v>50</v>
      </c>
      <c r="F688">
        <v>49.950229645</v>
      </c>
      <c r="G688">
        <v>1358.1690673999999</v>
      </c>
      <c r="H688">
        <v>1348.7897949000001</v>
      </c>
      <c r="I688">
        <v>1316.5124512</v>
      </c>
      <c r="J688">
        <v>1309.0726318</v>
      </c>
      <c r="K688">
        <v>2400</v>
      </c>
      <c r="L688">
        <v>0</v>
      </c>
      <c r="M688">
        <v>0</v>
      </c>
      <c r="N688">
        <v>2400</v>
      </c>
    </row>
    <row r="689" spans="1:14" x14ac:dyDescent="0.25">
      <c r="A689">
        <v>365.02952399999998</v>
      </c>
      <c r="B689" s="1">
        <f>DATE(2011,5,1) + TIME(0,42,30)</f>
        <v>40664.029513888891</v>
      </c>
      <c r="C689">
        <v>80</v>
      </c>
      <c r="D689">
        <v>59.784652710000003</v>
      </c>
      <c r="E689">
        <v>50</v>
      </c>
      <c r="F689">
        <v>49.946052551000001</v>
      </c>
      <c r="G689">
        <v>1360.8513184000001</v>
      </c>
      <c r="H689">
        <v>1351.5413818</v>
      </c>
      <c r="I689">
        <v>1314.2459716999999</v>
      </c>
      <c r="J689">
        <v>1306.7888184000001</v>
      </c>
      <c r="K689">
        <v>2400</v>
      </c>
      <c r="L689">
        <v>0</v>
      </c>
      <c r="M689">
        <v>0</v>
      </c>
      <c r="N689">
        <v>2400</v>
      </c>
    </row>
    <row r="690" spans="1:14" x14ac:dyDescent="0.25">
      <c r="A690">
        <v>365.05067300000002</v>
      </c>
      <c r="B690" s="1">
        <f>DATE(2011,5,1) + TIME(1,12,58)</f>
        <v>40664.050671296296</v>
      </c>
      <c r="C690">
        <v>80</v>
      </c>
      <c r="D690">
        <v>60.488826752000001</v>
      </c>
      <c r="E690">
        <v>50</v>
      </c>
      <c r="F690">
        <v>49.941841125000003</v>
      </c>
      <c r="G690">
        <v>1361.4346923999999</v>
      </c>
      <c r="H690">
        <v>1352.2141113</v>
      </c>
      <c r="I690">
        <v>1313.8001709</v>
      </c>
      <c r="J690">
        <v>1306.3395995999999</v>
      </c>
      <c r="K690">
        <v>2400</v>
      </c>
      <c r="L690">
        <v>0</v>
      </c>
      <c r="M690">
        <v>0</v>
      </c>
      <c r="N690">
        <v>2400</v>
      </c>
    </row>
    <row r="691" spans="1:14" x14ac:dyDescent="0.25">
      <c r="A691">
        <v>365.07225199999999</v>
      </c>
      <c r="B691" s="1">
        <f>DATE(2011,5,1) + TIME(1,44,2)</f>
        <v>40664.072245370371</v>
      </c>
      <c r="C691">
        <v>80</v>
      </c>
      <c r="D691">
        <v>61.181995391999997</v>
      </c>
      <c r="E691">
        <v>50</v>
      </c>
      <c r="F691">
        <v>49.937625885000003</v>
      </c>
      <c r="G691">
        <v>1361.496582</v>
      </c>
      <c r="H691">
        <v>1352.3668213000001</v>
      </c>
      <c r="I691">
        <v>1313.7324219</v>
      </c>
      <c r="J691">
        <v>1306.2709961</v>
      </c>
      <c r="K691">
        <v>2400</v>
      </c>
      <c r="L691">
        <v>0</v>
      </c>
      <c r="M691">
        <v>0</v>
      </c>
      <c r="N691">
        <v>2400</v>
      </c>
    </row>
    <row r="692" spans="1:14" x14ac:dyDescent="0.25">
      <c r="A692">
        <v>365.09427099999999</v>
      </c>
      <c r="B692" s="1">
        <f>DATE(2011,5,1) + TIME(2,15,44)</f>
        <v>40664.094259259262</v>
      </c>
      <c r="C692">
        <v>80</v>
      </c>
      <c r="D692">
        <v>61.863986969000003</v>
      </c>
      <c r="E692">
        <v>50</v>
      </c>
      <c r="F692">
        <v>49.933368682999998</v>
      </c>
      <c r="G692">
        <v>1361.4211425999999</v>
      </c>
      <c r="H692">
        <v>1352.3797606999999</v>
      </c>
      <c r="I692">
        <v>1313.7316894999999</v>
      </c>
      <c r="J692">
        <v>1306.2700195</v>
      </c>
      <c r="K692">
        <v>2400</v>
      </c>
      <c r="L692">
        <v>0</v>
      </c>
      <c r="M692">
        <v>0</v>
      </c>
      <c r="N692">
        <v>2400</v>
      </c>
    </row>
    <row r="693" spans="1:14" x14ac:dyDescent="0.25">
      <c r="A693">
        <v>365.11673300000001</v>
      </c>
      <c r="B693" s="1">
        <f>DATE(2011,5,1) + TIME(2,48,5)</f>
        <v>40664.116724537038</v>
      </c>
      <c r="C693">
        <v>80</v>
      </c>
      <c r="D693">
        <v>62.534324646000002</v>
      </c>
      <c r="E693">
        <v>50</v>
      </c>
      <c r="F693">
        <v>49.92906189</v>
      </c>
      <c r="G693">
        <v>1361.3089600000001</v>
      </c>
      <c r="H693">
        <v>1352.3525391000001</v>
      </c>
      <c r="I693">
        <v>1313.7380370999999</v>
      </c>
      <c r="J693">
        <v>1306.276001</v>
      </c>
      <c r="K693">
        <v>2400</v>
      </c>
      <c r="L693">
        <v>0</v>
      </c>
      <c r="M693">
        <v>0</v>
      </c>
      <c r="N693">
        <v>2400</v>
      </c>
    </row>
    <row r="694" spans="1:14" x14ac:dyDescent="0.25">
      <c r="A694">
        <v>365.13962600000002</v>
      </c>
      <c r="B694" s="1">
        <f>DATE(2011,5,1) + TIME(3,21,3)</f>
        <v>40664.139618055553</v>
      </c>
      <c r="C694">
        <v>80</v>
      </c>
      <c r="D694">
        <v>63.192184447999999</v>
      </c>
      <c r="E694">
        <v>50</v>
      </c>
      <c r="F694">
        <v>49.924709319999998</v>
      </c>
      <c r="G694">
        <v>1361.1889647999999</v>
      </c>
      <c r="H694">
        <v>1352.3138428</v>
      </c>
      <c r="I694">
        <v>1313.7421875</v>
      </c>
      <c r="J694">
        <v>1306.2800293</v>
      </c>
      <c r="K694">
        <v>2400</v>
      </c>
      <c r="L694">
        <v>0</v>
      </c>
      <c r="M694">
        <v>0</v>
      </c>
      <c r="N694">
        <v>2400</v>
      </c>
    </row>
    <row r="695" spans="1:14" x14ac:dyDescent="0.25">
      <c r="A695">
        <v>365.16297200000002</v>
      </c>
      <c r="B695" s="1">
        <f>DATE(2011,5,1) + TIME(3,54,40)</f>
        <v>40664.162962962961</v>
      </c>
      <c r="C695">
        <v>80</v>
      </c>
      <c r="D695">
        <v>63.837680816999999</v>
      </c>
      <c r="E695">
        <v>50</v>
      </c>
      <c r="F695">
        <v>49.920307158999996</v>
      </c>
      <c r="G695">
        <v>1361.0701904</v>
      </c>
      <c r="H695">
        <v>1352.2728271000001</v>
      </c>
      <c r="I695">
        <v>1313.7443848</v>
      </c>
      <c r="J695">
        <v>1306.2819824000001</v>
      </c>
      <c r="K695">
        <v>2400</v>
      </c>
      <c r="L695">
        <v>0</v>
      </c>
      <c r="M695">
        <v>0</v>
      </c>
      <c r="N695">
        <v>2400</v>
      </c>
    </row>
    <row r="696" spans="1:14" x14ac:dyDescent="0.25">
      <c r="A696">
        <v>365.18679200000003</v>
      </c>
      <c r="B696" s="1">
        <f>DATE(2011,5,1) + TIME(4,28,58)</f>
        <v>40664.186782407407</v>
      </c>
      <c r="C696">
        <v>80</v>
      </c>
      <c r="D696">
        <v>64.470924377000003</v>
      </c>
      <c r="E696">
        <v>50</v>
      </c>
      <c r="F696">
        <v>49.915847778</v>
      </c>
      <c r="G696">
        <v>1360.9552002</v>
      </c>
      <c r="H696">
        <v>1352.2321777</v>
      </c>
      <c r="I696">
        <v>1313.7454834</v>
      </c>
      <c r="J696">
        <v>1306.2829589999999</v>
      </c>
      <c r="K696">
        <v>2400</v>
      </c>
      <c r="L696">
        <v>0</v>
      </c>
      <c r="M696">
        <v>0</v>
      </c>
      <c r="N696">
        <v>2400</v>
      </c>
    </row>
    <row r="697" spans="1:14" x14ac:dyDescent="0.25">
      <c r="A697">
        <v>365.21111000000002</v>
      </c>
      <c r="B697" s="1">
        <f>DATE(2011,5,1) + TIME(5,3,59)</f>
        <v>40664.211099537039</v>
      </c>
      <c r="C697">
        <v>80</v>
      </c>
      <c r="D697">
        <v>65.092033385999997</v>
      </c>
      <c r="E697">
        <v>50</v>
      </c>
      <c r="F697">
        <v>49.911334990999997</v>
      </c>
      <c r="G697">
        <v>1360.8449707</v>
      </c>
      <c r="H697">
        <v>1352.1932373</v>
      </c>
      <c r="I697">
        <v>1313.7459716999999</v>
      </c>
      <c r="J697">
        <v>1306.2832031</v>
      </c>
      <c r="K697">
        <v>2400</v>
      </c>
      <c r="L697">
        <v>0</v>
      </c>
      <c r="M697">
        <v>0</v>
      </c>
      <c r="N697">
        <v>2400</v>
      </c>
    </row>
    <row r="698" spans="1:14" x14ac:dyDescent="0.25">
      <c r="A698">
        <v>365.235951</v>
      </c>
      <c r="B698" s="1">
        <f>DATE(2011,5,1) + TIME(5,39,46)</f>
        <v>40664.235949074071</v>
      </c>
      <c r="C698">
        <v>80</v>
      </c>
      <c r="D698">
        <v>65.701187133999994</v>
      </c>
      <c r="E698">
        <v>50</v>
      </c>
      <c r="F698">
        <v>49.906764983999999</v>
      </c>
      <c r="G698">
        <v>1360.7397461</v>
      </c>
      <c r="H698">
        <v>1352.1560059000001</v>
      </c>
      <c r="I698">
        <v>1313.7462158000001</v>
      </c>
      <c r="J698">
        <v>1306.2833252</v>
      </c>
      <c r="K698">
        <v>2400</v>
      </c>
      <c r="L698">
        <v>0</v>
      </c>
      <c r="M698">
        <v>0</v>
      </c>
      <c r="N698">
        <v>2400</v>
      </c>
    </row>
    <row r="699" spans="1:14" x14ac:dyDescent="0.25">
      <c r="A699">
        <v>365.26132200000001</v>
      </c>
      <c r="B699" s="1">
        <f>DATE(2011,5,1) + TIME(6,16,18)</f>
        <v>40664.261319444442</v>
      </c>
      <c r="C699">
        <v>80</v>
      </c>
      <c r="D699">
        <v>66.297882079999994</v>
      </c>
      <c r="E699">
        <v>50</v>
      </c>
      <c r="F699">
        <v>49.902133941999999</v>
      </c>
      <c r="G699">
        <v>1360.6395264</v>
      </c>
      <c r="H699">
        <v>1352.1207274999999</v>
      </c>
      <c r="I699">
        <v>1313.7464600000001</v>
      </c>
      <c r="J699">
        <v>1306.2833252</v>
      </c>
      <c r="K699">
        <v>2400</v>
      </c>
      <c r="L699">
        <v>0</v>
      </c>
      <c r="M699">
        <v>0</v>
      </c>
      <c r="N699">
        <v>2400</v>
      </c>
    </row>
    <row r="700" spans="1:14" x14ac:dyDescent="0.25">
      <c r="A700">
        <v>365.28722499999998</v>
      </c>
      <c r="B700" s="1">
        <f>DATE(2011,5,1) + TIME(6,53,36)</f>
        <v>40664.287222222221</v>
      </c>
      <c r="C700">
        <v>80</v>
      </c>
      <c r="D700">
        <v>66.881668090999995</v>
      </c>
      <c r="E700">
        <v>50</v>
      </c>
      <c r="F700">
        <v>49.897445679</v>
      </c>
      <c r="G700">
        <v>1360.5441894999999</v>
      </c>
      <c r="H700">
        <v>1352.0875243999999</v>
      </c>
      <c r="I700">
        <v>1313.746582</v>
      </c>
      <c r="J700">
        <v>1306.2832031</v>
      </c>
      <c r="K700">
        <v>2400</v>
      </c>
      <c r="L700">
        <v>0</v>
      </c>
      <c r="M700">
        <v>0</v>
      </c>
      <c r="N700">
        <v>2400</v>
      </c>
    </row>
    <row r="701" spans="1:14" x14ac:dyDescent="0.25">
      <c r="A701">
        <v>365.31368800000001</v>
      </c>
      <c r="B701" s="1">
        <f>DATE(2011,5,1) + TIME(7,31,42)</f>
        <v>40664.313680555555</v>
      </c>
      <c r="C701">
        <v>80</v>
      </c>
      <c r="D701">
        <v>67.452621460000003</v>
      </c>
      <c r="E701">
        <v>50</v>
      </c>
      <c r="F701">
        <v>49.892696381</v>
      </c>
      <c r="G701">
        <v>1360.4533690999999</v>
      </c>
      <c r="H701">
        <v>1352.0560303</v>
      </c>
      <c r="I701">
        <v>1313.746582</v>
      </c>
      <c r="J701">
        <v>1306.2829589999999</v>
      </c>
      <c r="K701">
        <v>2400</v>
      </c>
      <c r="L701">
        <v>0</v>
      </c>
      <c r="M701">
        <v>0</v>
      </c>
      <c r="N701">
        <v>2400</v>
      </c>
    </row>
    <row r="702" spans="1:14" x14ac:dyDescent="0.25">
      <c r="A702">
        <v>365.34073899999999</v>
      </c>
      <c r="B702" s="1">
        <f>DATE(2011,5,1) + TIME(8,10,39)</f>
        <v>40664.340729166666</v>
      </c>
      <c r="C702">
        <v>80</v>
      </c>
      <c r="D702">
        <v>68.010841369999994</v>
      </c>
      <c r="E702">
        <v>50</v>
      </c>
      <c r="F702">
        <v>49.887886047000002</v>
      </c>
      <c r="G702">
        <v>1360.3670654</v>
      </c>
      <c r="H702">
        <v>1352.0262451000001</v>
      </c>
      <c r="I702">
        <v>1313.746582</v>
      </c>
      <c r="J702">
        <v>1306.2828368999999</v>
      </c>
      <c r="K702">
        <v>2400</v>
      </c>
      <c r="L702">
        <v>0</v>
      </c>
      <c r="M702">
        <v>0</v>
      </c>
      <c r="N702">
        <v>2400</v>
      </c>
    </row>
    <row r="703" spans="1:14" x14ac:dyDescent="0.25">
      <c r="A703">
        <v>365.36840799999999</v>
      </c>
      <c r="B703" s="1">
        <f>DATE(2011,5,1) + TIME(8,50,30)</f>
        <v>40664.368402777778</v>
      </c>
      <c r="C703">
        <v>80</v>
      </c>
      <c r="D703">
        <v>68.556381225999999</v>
      </c>
      <c r="E703">
        <v>50</v>
      </c>
      <c r="F703">
        <v>49.883003234999997</v>
      </c>
      <c r="G703">
        <v>1360.2849120999999</v>
      </c>
      <c r="H703">
        <v>1351.9981689000001</v>
      </c>
      <c r="I703">
        <v>1313.746582</v>
      </c>
      <c r="J703">
        <v>1306.2825928</v>
      </c>
      <c r="K703">
        <v>2400</v>
      </c>
      <c r="L703">
        <v>0</v>
      </c>
      <c r="M703">
        <v>0</v>
      </c>
      <c r="N703">
        <v>2400</v>
      </c>
    </row>
    <row r="704" spans="1:14" x14ac:dyDescent="0.25">
      <c r="A704">
        <v>365.39672899999999</v>
      </c>
      <c r="B704" s="1">
        <f>DATE(2011,5,1) + TIME(9,31,17)</f>
        <v>40664.396724537037</v>
      </c>
      <c r="C704">
        <v>80</v>
      </c>
      <c r="D704">
        <v>69.089294433999996</v>
      </c>
      <c r="E704">
        <v>50</v>
      </c>
      <c r="F704">
        <v>49.878047942999999</v>
      </c>
      <c r="G704">
        <v>1360.2067870999999</v>
      </c>
      <c r="H704">
        <v>1351.9715576000001</v>
      </c>
      <c r="I704">
        <v>1313.746582</v>
      </c>
      <c r="J704">
        <v>1306.2823486</v>
      </c>
      <c r="K704">
        <v>2400</v>
      </c>
      <c r="L704">
        <v>0</v>
      </c>
      <c r="M704">
        <v>0</v>
      </c>
      <c r="N704">
        <v>2400</v>
      </c>
    </row>
    <row r="705" spans="1:14" x14ac:dyDescent="0.25">
      <c r="A705">
        <v>365.42572699999999</v>
      </c>
      <c r="B705" s="1">
        <f>DATE(2011,5,1) + TIME(10,13,2)</f>
        <v>40664.425717592596</v>
      </c>
      <c r="C705">
        <v>80</v>
      </c>
      <c r="D705">
        <v>69.609451293999996</v>
      </c>
      <c r="E705">
        <v>50</v>
      </c>
      <c r="F705">
        <v>49.873016356999997</v>
      </c>
      <c r="G705">
        <v>1360.1323242000001</v>
      </c>
      <c r="H705">
        <v>1351.9465332</v>
      </c>
      <c r="I705">
        <v>1313.7464600000001</v>
      </c>
      <c r="J705">
        <v>1306.2819824000001</v>
      </c>
      <c r="K705">
        <v>2400</v>
      </c>
      <c r="L705">
        <v>0</v>
      </c>
      <c r="M705">
        <v>0</v>
      </c>
      <c r="N705">
        <v>2400</v>
      </c>
    </row>
    <row r="706" spans="1:14" x14ac:dyDescent="0.25">
      <c r="A706">
        <v>365.45540799999998</v>
      </c>
      <c r="B706" s="1">
        <f>DATE(2011,5,1) + TIME(10,55,47)</f>
        <v>40664.455405092594</v>
      </c>
      <c r="C706">
        <v>80</v>
      </c>
      <c r="D706">
        <v>70.116333007999998</v>
      </c>
      <c r="E706">
        <v>50</v>
      </c>
      <c r="F706">
        <v>49.867912292</v>
      </c>
      <c r="G706">
        <v>1360.0617675999999</v>
      </c>
      <c r="H706">
        <v>1351.9228516000001</v>
      </c>
      <c r="I706">
        <v>1313.7463379000001</v>
      </c>
      <c r="J706">
        <v>1306.2817382999999</v>
      </c>
      <c r="K706">
        <v>2400</v>
      </c>
      <c r="L706">
        <v>0</v>
      </c>
      <c r="M706">
        <v>0</v>
      </c>
      <c r="N706">
        <v>2400</v>
      </c>
    </row>
    <row r="707" spans="1:14" x14ac:dyDescent="0.25">
      <c r="A707">
        <v>365.48581000000001</v>
      </c>
      <c r="B707" s="1">
        <f>DATE(2011,5,1) + TIME(11,39,33)</f>
        <v>40664.485798611109</v>
      </c>
      <c r="C707">
        <v>80</v>
      </c>
      <c r="D707">
        <v>70.609794617000006</v>
      </c>
      <c r="E707">
        <v>50</v>
      </c>
      <c r="F707">
        <v>49.862728119000003</v>
      </c>
      <c r="G707">
        <v>1359.9945068</v>
      </c>
      <c r="H707">
        <v>1351.9003906</v>
      </c>
      <c r="I707">
        <v>1313.7463379000001</v>
      </c>
      <c r="J707">
        <v>1306.2813721</v>
      </c>
      <c r="K707">
        <v>2400</v>
      </c>
      <c r="L707">
        <v>0</v>
      </c>
      <c r="M707">
        <v>0</v>
      </c>
      <c r="N707">
        <v>2400</v>
      </c>
    </row>
    <row r="708" spans="1:14" x14ac:dyDescent="0.25">
      <c r="A708">
        <v>365.51697000000001</v>
      </c>
      <c r="B708" s="1">
        <f>DATE(2011,5,1) + TIME(12,24,26)</f>
        <v>40664.516967592594</v>
      </c>
      <c r="C708">
        <v>80</v>
      </c>
      <c r="D708">
        <v>71.090141295999999</v>
      </c>
      <c r="E708">
        <v>50</v>
      </c>
      <c r="F708">
        <v>49.857460021999998</v>
      </c>
      <c r="G708">
        <v>1359.9306641000001</v>
      </c>
      <c r="H708">
        <v>1351.8791504000001</v>
      </c>
      <c r="I708">
        <v>1313.7460937999999</v>
      </c>
      <c r="J708">
        <v>1306.2810059000001</v>
      </c>
      <c r="K708">
        <v>2400</v>
      </c>
      <c r="L708">
        <v>0</v>
      </c>
      <c r="M708">
        <v>0</v>
      </c>
      <c r="N708">
        <v>2400</v>
      </c>
    </row>
    <row r="709" spans="1:14" x14ac:dyDescent="0.25">
      <c r="A709">
        <v>365.54892699999999</v>
      </c>
      <c r="B709" s="1">
        <f>DATE(2011,5,1) + TIME(13,10,27)</f>
        <v>40664.54892361111</v>
      </c>
      <c r="C709">
        <v>80</v>
      </c>
      <c r="D709">
        <v>71.557365417</v>
      </c>
      <c r="E709">
        <v>50</v>
      </c>
      <c r="F709">
        <v>49.852100372000002</v>
      </c>
      <c r="G709">
        <v>1359.8698730000001</v>
      </c>
      <c r="H709">
        <v>1351.8591309000001</v>
      </c>
      <c r="I709">
        <v>1313.7459716999999</v>
      </c>
      <c r="J709">
        <v>1306.2805175999999</v>
      </c>
      <c r="K709">
        <v>2400</v>
      </c>
      <c r="L709">
        <v>0</v>
      </c>
      <c r="M709">
        <v>0</v>
      </c>
      <c r="N709">
        <v>2400</v>
      </c>
    </row>
    <row r="710" spans="1:14" x14ac:dyDescent="0.25">
      <c r="A710">
        <v>365.58173199999999</v>
      </c>
      <c r="B710" s="1">
        <f>DATE(2011,5,1) + TIME(13,57,41)</f>
        <v>40664.581724537034</v>
      </c>
      <c r="C710">
        <v>80</v>
      </c>
      <c r="D710">
        <v>72.011573791999993</v>
      </c>
      <c r="E710">
        <v>50</v>
      </c>
      <c r="F710">
        <v>49.846649169999999</v>
      </c>
      <c r="G710">
        <v>1359.8120117000001</v>
      </c>
      <c r="H710">
        <v>1351.8399658000001</v>
      </c>
      <c r="I710">
        <v>1313.7457274999999</v>
      </c>
      <c r="J710">
        <v>1306.2801514</v>
      </c>
      <c r="K710">
        <v>2400</v>
      </c>
      <c r="L710">
        <v>0</v>
      </c>
      <c r="M710">
        <v>0</v>
      </c>
      <c r="N710">
        <v>2400</v>
      </c>
    </row>
    <row r="711" spans="1:14" x14ac:dyDescent="0.25">
      <c r="A711">
        <v>365.615431</v>
      </c>
      <c r="B711" s="1">
        <f>DATE(2011,5,1) + TIME(14,46,13)</f>
        <v>40664.615428240744</v>
      </c>
      <c r="C711">
        <v>80</v>
      </c>
      <c r="D711">
        <v>72.452789307000003</v>
      </c>
      <c r="E711">
        <v>50</v>
      </c>
      <c r="F711">
        <v>49.841098785</v>
      </c>
      <c r="G711">
        <v>1359.7568358999999</v>
      </c>
      <c r="H711">
        <v>1351.8217772999999</v>
      </c>
      <c r="I711">
        <v>1313.7456055</v>
      </c>
      <c r="J711">
        <v>1306.2796631000001</v>
      </c>
      <c r="K711">
        <v>2400</v>
      </c>
      <c r="L711">
        <v>0</v>
      </c>
      <c r="M711">
        <v>0</v>
      </c>
      <c r="N711">
        <v>2400</v>
      </c>
    </row>
    <row r="712" spans="1:14" x14ac:dyDescent="0.25">
      <c r="A712">
        <v>365.65008</v>
      </c>
      <c r="B712" s="1">
        <f>DATE(2011,5,1) + TIME(15,36,6)</f>
        <v>40664.650069444448</v>
      </c>
      <c r="C712">
        <v>80</v>
      </c>
      <c r="D712">
        <v>72.881019592000001</v>
      </c>
      <c r="E712">
        <v>50</v>
      </c>
      <c r="F712">
        <v>49.835441588999998</v>
      </c>
      <c r="G712">
        <v>1359.7043457</v>
      </c>
      <c r="H712">
        <v>1351.8044434000001</v>
      </c>
      <c r="I712">
        <v>1313.7453613</v>
      </c>
      <c r="J712">
        <v>1306.2791748</v>
      </c>
      <c r="K712">
        <v>2400</v>
      </c>
      <c r="L712">
        <v>0</v>
      </c>
      <c r="M712">
        <v>0</v>
      </c>
      <c r="N712">
        <v>2400</v>
      </c>
    </row>
    <row r="713" spans="1:14" x14ac:dyDescent="0.25">
      <c r="A713">
        <v>365.68573300000003</v>
      </c>
      <c r="B713" s="1">
        <f>DATE(2011,5,1) + TIME(16,27,27)</f>
        <v>40664.685729166667</v>
      </c>
      <c r="C713">
        <v>80</v>
      </c>
      <c r="D713">
        <v>73.296287536999998</v>
      </c>
      <c r="E713">
        <v>50</v>
      </c>
      <c r="F713">
        <v>49.829673767000003</v>
      </c>
      <c r="G713">
        <v>1359.6541748</v>
      </c>
      <c r="H713">
        <v>1351.7879639</v>
      </c>
      <c r="I713">
        <v>1313.7451172000001</v>
      </c>
      <c r="J713">
        <v>1306.2786865</v>
      </c>
      <c r="K713">
        <v>2400</v>
      </c>
      <c r="L713">
        <v>0</v>
      </c>
      <c r="M713">
        <v>0</v>
      </c>
      <c r="N713">
        <v>2400</v>
      </c>
    </row>
    <row r="714" spans="1:14" x14ac:dyDescent="0.25">
      <c r="A714">
        <v>365.72245099999998</v>
      </c>
      <c r="B714" s="1">
        <f>DATE(2011,5,1) + TIME(17,20,19)</f>
        <v>40664.722442129627</v>
      </c>
      <c r="C714">
        <v>80</v>
      </c>
      <c r="D714">
        <v>73.698577881000006</v>
      </c>
      <c r="E714">
        <v>50</v>
      </c>
      <c r="F714">
        <v>49.823780059999997</v>
      </c>
      <c r="G714">
        <v>1359.6064452999999</v>
      </c>
      <c r="H714">
        <v>1351.7720947</v>
      </c>
      <c r="I714">
        <v>1313.744751</v>
      </c>
      <c r="J714">
        <v>1306.2780762</v>
      </c>
      <c r="K714">
        <v>2400</v>
      </c>
      <c r="L714">
        <v>0</v>
      </c>
      <c r="M714">
        <v>0</v>
      </c>
      <c r="N714">
        <v>2400</v>
      </c>
    </row>
    <row r="715" spans="1:14" x14ac:dyDescent="0.25">
      <c r="A715">
        <v>365.76030300000002</v>
      </c>
      <c r="B715" s="1">
        <f>DATE(2011,5,1) + TIME(18,14,50)</f>
        <v>40664.760300925926</v>
      </c>
      <c r="C715">
        <v>80</v>
      </c>
      <c r="D715">
        <v>74.087905883999994</v>
      </c>
      <c r="E715">
        <v>50</v>
      </c>
      <c r="F715">
        <v>49.817764281999999</v>
      </c>
      <c r="G715">
        <v>1359.5607910000001</v>
      </c>
      <c r="H715">
        <v>1351.7568358999999</v>
      </c>
      <c r="I715">
        <v>1313.7445068</v>
      </c>
      <c r="J715">
        <v>1306.2775879000001</v>
      </c>
      <c r="K715">
        <v>2400</v>
      </c>
      <c r="L715">
        <v>0</v>
      </c>
      <c r="M715">
        <v>0</v>
      </c>
      <c r="N715">
        <v>2400</v>
      </c>
    </row>
    <row r="716" spans="1:14" x14ac:dyDescent="0.25">
      <c r="A716">
        <v>365.79935799999998</v>
      </c>
      <c r="B716" s="1">
        <f>DATE(2011,5,1) + TIME(19,11,4)</f>
        <v>40664.799351851849</v>
      </c>
      <c r="C716">
        <v>80</v>
      </c>
      <c r="D716">
        <v>74.464248656999999</v>
      </c>
      <c r="E716">
        <v>50</v>
      </c>
      <c r="F716">
        <v>49.811607361</v>
      </c>
      <c r="G716">
        <v>1359.5170897999999</v>
      </c>
      <c r="H716">
        <v>1351.7420654</v>
      </c>
      <c r="I716">
        <v>1313.7441406</v>
      </c>
      <c r="J716">
        <v>1306.2769774999999</v>
      </c>
      <c r="K716">
        <v>2400</v>
      </c>
      <c r="L716">
        <v>0</v>
      </c>
      <c r="M716">
        <v>0</v>
      </c>
      <c r="N716">
        <v>2400</v>
      </c>
    </row>
    <row r="717" spans="1:14" x14ac:dyDescent="0.25">
      <c r="A717">
        <v>365.839697</v>
      </c>
      <c r="B717" s="1">
        <f>DATE(2011,5,1) + TIME(20,9,9)</f>
        <v>40664.839687500003</v>
      </c>
      <c r="C717">
        <v>80</v>
      </c>
      <c r="D717">
        <v>74.827606200999995</v>
      </c>
      <c r="E717">
        <v>50</v>
      </c>
      <c r="F717">
        <v>49.805309295999997</v>
      </c>
      <c r="G717">
        <v>1359.4752197</v>
      </c>
      <c r="H717">
        <v>1351.7277832</v>
      </c>
      <c r="I717">
        <v>1313.7437743999999</v>
      </c>
      <c r="J717">
        <v>1306.2762451000001</v>
      </c>
      <c r="K717">
        <v>2400</v>
      </c>
      <c r="L717">
        <v>0</v>
      </c>
      <c r="M717">
        <v>0</v>
      </c>
      <c r="N717">
        <v>2400</v>
      </c>
    </row>
    <row r="718" spans="1:14" x14ac:dyDescent="0.25">
      <c r="A718">
        <v>365.88140399999997</v>
      </c>
      <c r="B718" s="1">
        <f>DATE(2011,5,1) + TIME(21,9,13)</f>
        <v>40664.88140046296</v>
      </c>
      <c r="C718">
        <v>80</v>
      </c>
      <c r="D718">
        <v>75.177825928000004</v>
      </c>
      <c r="E718">
        <v>50</v>
      </c>
      <c r="F718">
        <v>49.798854828000003</v>
      </c>
      <c r="G718">
        <v>1359.4350586</v>
      </c>
      <c r="H718">
        <v>1351.7138672000001</v>
      </c>
      <c r="I718">
        <v>1313.7434082</v>
      </c>
      <c r="J718">
        <v>1306.2756348</v>
      </c>
      <c r="K718">
        <v>2400</v>
      </c>
      <c r="L718">
        <v>0</v>
      </c>
      <c r="M718">
        <v>0</v>
      </c>
      <c r="N718">
        <v>2400</v>
      </c>
    </row>
    <row r="719" spans="1:14" x14ac:dyDescent="0.25">
      <c r="A719">
        <v>365.92459300000002</v>
      </c>
      <c r="B719" s="1">
        <f>DATE(2011,5,1) + TIME(22,11,24)</f>
        <v>40664.924583333333</v>
      </c>
      <c r="C719">
        <v>80</v>
      </c>
      <c r="D719">
        <v>75.515060425000001</v>
      </c>
      <c r="E719">
        <v>50</v>
      </c>
      <c r="F719">
        <v>49.792232513000002</v>
      </c>
      <c r="G719">
        <v>1359.3964844</v>
      </c>
      <c r="H719">
        <v>1351.7003173999999</v>
      </c>
      <c r="I719">
        <v>1313.7430420000001</v>
      </c>
      <c r="J719">
        <v>1306.2749022999999</v>
      </c>
      <c r="K719">
        <v>2400</v>
      </c>
      <c r="L719">
        <v>0</v>
      </c>
      <c r="M719">
        <v>0</v>
      </c>
      <c r="N719">
        <v>2400</v>
      </c>
    </row>
    <row r="720" spans="1:14" x14ac:dyDescent="0.25">
      <c r="A720">
        <v>365.96935200000001</v>
      </c>
      <c r="B720" s="1">
        <f>DATE(2011,5,1) + TIME(23,15,51)</f>
        <v>40664.969340277778</v>
      </c>
      <c r="C720">
        <v>80</v>
      </c>
      <c r="D720">
        <v>75.839263915999993</v>
      </c>
      <c r="E720">
        <v>50</v>
      </c>
      <c r="F720">
        <v>49.785434723000002</v>
      </c>
      <c r="G720">
        <v>1359.359375</v>
      </c>
      <c r="H720">
        <v>1351.6868896000001</v>
      </c>
      <c r="I720">
        <v>1313.7426757999999</v>
      </c>
      <c r="J720">
        <v>1306.2742920000001</v>
      </c>
      <c r="K720">
        <v>2400</v>
      </c>
      <c r="L720">
        <v>0</v>
      </c>
      <c r="M720">
        <v>0</v>
      </c>
      <c r="N720">
        <v>2400</v>
      </c>
    </row>
    <row r="721" spans="1:14" x14ac:dyDescent="0.25">
      <c r="A721">
        <v>366.01579199999998</v>
      </c>
      <c r="B721" s="1">
        <f>DATE(2011,5,2) + TIME(0,22,44)</f>
        <v>40665.015787037039</v>
      </c>
      <c r="C721">
        <v>80</v>
      </c>
      <c r="D721">
        <v>76.150428771999998</v>
      </c>
      <c r="E721">
        <v>50</v>
      </c>
      <c r="F721">
        <v>49.778442382999998</v>
      </c>
      <c r="G721">
        <v>1359.3236084</v>
      </c>
      <c r="H721">
        <v>1351.6737060999999</v>
      </c>
      <c r="I721">
        <v>1313.7421875</v>
      </c>
      <c r="J721">
        <v>1306.2735596</v>
      </c>
      <c r="K721">
        <v>2400</v>
      </c>
      <c r="L721">
        <v>0</v>
      </c>
      <c r="M721">
        <v>0</v>
      </c>
      <c r="N721">
        <v>2400</v>
      </c>
    </row>
    <row r="722" spans="1:14" x14ac:dyDescent="0.25">
      <c r="A722">
        <v>366.06403999999998</v>
      </c>
      <c r="B722" s="1">
        <f>DATE(2011,5,2) + TIME(1,32,13)</f>
        <v>40665.064039351855</v>
      </c>
      <c r="C722">
        <v>80</v>
      </c>
      <c r="D722">
        <v>76.448554993000002</v>
      </c>
      <c r="E722">
        <v>50</v>
      </c>
      <c r="F722">
        <v>49.771247864000003</v>
      </c>
      <c r="G722">
        <v>1359.2889404</v>
      </c>
      <c r="H722">
        <v>1351.6605225000001</v>
      </c>
      <c r="I722">
        <v>1313.7416992000001</v>
      </c>
      <c r="J722">
        <v>1306.2727050999999</v>
      </c>
      <c r="K722">
        <v>2400</v>
      </c>
      <c r="L722">
        <v>0</v>
      </c>
      <c r="M722">
        <v>0</v>
      </c>
      <c r="N722">
        <v>2400</v>
      </c>
    </row>
    <row r="723" spans="1:14" x14ac:dyDescent="0.25">
      <c r="A723">
        <v>366.11423600000001</v>
      </c>
      <c r="B723" s="1">
        <f>DATE(2011,5,2) + TIME(2,44,30)</f>
        <v>40665.114236111112</v>
      </c>
      <c r="C723">
        <v>80</v>
      </c>
      <c r="D723">
        <v>76.733627318999993</v>
      </c>
      <c r="E723">
        <v>50</v>
      </c>
      <c r="F723">
        <v>49.763832092000001</v>
      </c>
      <c r="G723">
        <v>1359.2553711</v>
      </c>
      <c r="H723">
        <v>1351.6473389</v>
      </c>
      <c r="I723">
        <v>1313.7412108999999</v>
      </c>
      <c r="J723">
        <v>1306.2719727000001</v>
      </c>
      <c r="K723">
        <v>2400</v>
      </c>
      <c r="L723">
        <v>0</v>
      </c>
      <c r="M723">
        <v>0</v>
      </c>
      <c r="N723">
        <v>2400</v>
      </c>
    </row>
    <row r="724" spans="1:14" x14ac:dyDescent="0.25">
      <c r="A724">
        <v>366.16653600000001</v>
      </c>
      <c r="B724" s="1">
        <f>DATE(2011,5,2) + TIME(3,59,48)</f>
        <v>40665.166527777779</v>
      </c>
      <c r="C724">
        <v>80</v>
      </c>
      <c r="D724">
        <v>77.005668639999996</v>
      </c>
      <c r="E724">
        <v>50</v>
      </c>
      <c r="F724">
        <v>49.756183624000002</v>
      </c>
      <c r="G724">
        <v>1359.2227783000001</v>
      </c>
      <c r="H724">
        <v>1351.6341553</v>
      </c>
      <c r="I724">
        <v>1313.7407227000001</v>
      </c>
      <c r="J724">
        <v>1306.2711182</v>
      </c>
      <c r="K724">
        <v>2400</v>
      </c>
      <c r="L724">
        <v>0</v>
      </c>
      <c r="M724">
        <v>0</v>
      </c>
      <c r="N724">
        <v>2400</v>
      </c>
    </row>
    <row r="725" spans="1:14" x14ac:dyDescent="0.25">
      <c r="A725">
        <v>366.22111200000001</v>
      </c>
      <c r="B725" s="1">
        <f>DATE(2011,5,2) + TIME(5,18,24)</f>
        <v>40665.22111111111</v>
      </c>
      <c r="C725">
        <v>80</v>
      </c>
      <c r="D725">
        <v>77.264686584000003</v>
      </c>
      <c r="E725">
        <v>50</v>
      </c>
      <c r="F725">
        <v>49.748271942000002</v>
      </c>
      <c r="G725">
        <v>1359.190918</v>
      </c>
      <c r="H725">
        <v>1351.6207274999999</v>
      </c>
      <c r="I725">
        <v>1313.7402344</v>
      </c>
      <c r="J725">
        <v>1306.2702637</v>
      </c>
      <c r="K725">
        <v>2400</v>
      </c>
      <c r="L725">
        <v>0</v>
      </c>
      <c r="M725">
        <v>0</v>
      </c>
      <c r="N725">
        <v>2400</v>
      </c>
    </row>
    <row r="726" spans="1:14" x14ac:dyDescent="0.25">
      <c r="A726">
        <v>366.27816200000001</v>
      </c>
      <c r="B726" s="1">
        <f>DATE(2011,5,2) + TIME(6,40,33)</f>
        <v>40665.27815972222</v>
      </c>
      <c r="C726">
        <v>80</v>
      </c>
      <c r="D726">
        <v>77.510704040999997</v>
      </c>
      <c r="E726">
        <v>50</v>
      </c>
      <c r="F726">
        <v>49.740085602000001</v>
      </c>
      <c r="G726">
        <v>1359.159668</v>
      </c>
      <c r="H726">
        <v>1351.6070557</v>
      </c>
      <c r="I726">
        <v>1313.739624</v>
      </c>
      <c r="J726">
        <v>1306.2692870999999</v>
      </c>
      <c r="K726">
        <v>2400</v>
      </c>
      <c r="L726">
        <v>0</v>
      </c>
      <c r="M726">
        <v>0</v>
      </c>
      <c r="N726">
        <v>2400</v>
      </c>
    </row>
    <row r="727" spans="1:14" x14ac:dyDescent="0.25">
      <c r="A727">
        <v>366.33790299999998</v>
      </c>
      <c r="B727" s="1">
        <f>DATE(2011,5,2) + TIME(8,6,34)</f>
        <v>40665.337893518517</v>
      </c>
      <c r="C727">
        <v>80</v>
      </c>
      <c r="D727">
        <v>77.743766785000005</v>
      </c>
      <c r="E727">
        <v>50</v>
      </c>
      <c r="F727">
        <v>49.731597899999997</v>
      </c>
      <c r="G727">
        <v>1359.1290283000001</v>
      </c>
      <c r="H727">
        <v>1351.5931396000001</v>
      </c>
      <c r="I727">
        <v>1313.7390137</v>
      </c>
      <c r="J727">
        <v>1306.2683105000001</v>
      </c>
      <c r="K727">
        <v>2400</v>
      </c>
      <c r="L727">
        <v>0</v>
      </c>
      <c r="M727">
        <v>0</v>
      </c>
      <c r="N727">
        <v>2400</v>
      </c>
    </row>
    <row r="728" spans="1:14" x14ac:dyDescent="0.25">
      <c r="A728">
        <v>366.40058699999997</v>
      </c>
      <c r="B728" s="1">
        <f>DATE(2011,5,2) + TIME(9,36,50)</f>
        <v>40665.400578703702</v>
      </c>
      <c r="C728">
        <v>80</v>
      </c>
      <c r="D728">
        <v>77.963905334000003</v>
      </c>
      <c r="E728">
        <v>50</v>
      </c>
      <c r="F728">
        <v>49.722782135000003</v>
      </c>
      <c r="G728">
        <v>1359.0987548999999</v>
      </c>
      <c r="H728">
        <v>1351.5787353999999</v>
      </c>
      <c r="I728">
        <v>1313.7384033000001</v>
      </c>
      <c r="J728">
        <v>1306.2673339999999</v>
      </c>
      <c r="K728">
        <v>2400</v>
      </c>
      <c r="L728">
        <v>0</v>
      </c>
      <c r="M728">
        <v>0</v>
      </c>
      <c r="N728">
        <v>2400</v>
      </c>
    </row>
    <row r="729" spans="1:14" x14ac:dyDescent="0.25">
      <c r="A729">
        <v>366.46652599999999</v>
      </c>
      <c r="B729" s="1">
        <f>DATE(2011,5,2) + TIME(11,11,47)</f>
        <v>40665.466516203705</v>
      </c>
      <c r="C729">
        <v>80</v>
      </c>
      <c r="D729">
        <v>78.171272278000004</v>
      </c>
      <c r="E729">
        <v>50</v>
      </c>
      <c r="F729">
        <v>49.713600159000002</v>
      </c>
      <c r="G729">
        <v>1359.0686035000001</v>
      </c>
      <c r="H729">
        <v>1351.5637207</v>
      </c>
      <c r="I729">
        <v>1313.7376709</v>
      </c>
      <c r="J729">
        <v>1306.2663574000001</v>
      </c>
      <c r="K729">
        <v>2400</v>
      </c>
      <c r="L729">
        <v>0</v>
      </c>
      <c r="M729">
        <v>0</v>
      </c>
      <c r="N729">
        <v>2400</v>
      </c>
    </row>
    <row r="730" spans="1:14" x14ac:dyDescent="0.25">
      <c r="A730">
        <v>366.53593499999999</v>
      </c>
      <c r="B730" s="1">
        <f>DATE(2011,5,2) + TIME(12,51,44)</f>
        <v>40665.535925925928</v>
      </c>
      <c r="C730">
        <v>80</v>
      </c>
      <c r="D730">
        <v>78.365646362000007</v>
      </c>
      <c r="E730">
        <v>50</v>
      </c>
      <c r="F730">
        <v>49.704032898000001</v>
      </c>
      <c r="G730">
        <v>1359.0386963000001</v>
      </c>
      <c r="H730">
        <v>1351.5483397999999</v>
      </c>
      <c r="I730">
        <v>1313.7370605000001</v>
      </c>
      <c r="J730">
        <v>1306.2652588000001</v>
      </c>
      <c r="K730">
        <v>2400</v>
      </c>
      <c r="L730">
        <v>0</v>
      </c>
      <c r="M730">
        <v>0</v>
      </c>
      <c r="N730">
        <v>2400</v>
      </c>
    </row>
    <row r="731" spans="1:14" x14ac:dyDescent="0.25">
      <c r="A731">
        <v>366.60915999999997</v>
      </c>
      <c r="B731" s="1">
        <f>DATE(2011,5,2) + TIME(14,37,11)</f>
        <v>40665.609155092592</v>
      </c>
      <c r="C731">
        <v>80</v>
      </c>
      <c r="D731">
        <v>78.547126770000006</v>
      </c>
      <c r="E731">
        <v>50</v>
      </c>
      <c r="F731">
        <v>49.694042205999999</v>
      </c>
      <c r="G731">
        <v>1359.0086670000001</v>
      </c>
      <c r="H731">
        <v>1351.5321045000001</v>
      </c>
      <c r="I731">
        <v>1313.7363281</v>
      </c>
      <c r="J731">
        <v>1306.2640381000001</v>
      </c>
      <c r="K731">
        <v>2400</v>
      </c>
      <c r="L731">
        <v>0</v>
      </c>
      <c r="M731">
        <v>0</v>
      </c>
      <c r="N731">
        <v>2400</v>
      </c>
    </row>
    <row r="732" spans="1:14" x14ac:dyDescent="0.25">
      <c r="A732">
        <v>366.686598</v>
      </c>
      <c r="B732" s="1">
        <f>DATE(2011,5,2) + TIME(16,28,42)</f>
        <v>40665.686597222222</v>
      </c>
      <c r="C732">
        <v>80</v>
      </c>
      <c r="D732">
        <v>78.715850829999994</v>
      </c>
      <c r="E732">
        <v>50</v>
      </c>
      <c r="F732">
        <v>49.68359375</v>
      </c>
      <c r="G732">
        <v>1358.9785156</v>
      </c>
      <c r="H732">
        <v>1351.5151367000001</v>
      </c>
      <c r="I732">
        <v>1313.7354736</v>
      </c>
      <c r="J732">
        <v>1306.2628173999999</v>
      </c>
      <c r="K732">
        <v>2400</v>
      </c>
      <c r="L732">
        <v>0</v>
      </c>
      <c r="M732">
        <v>0</v>
      </c>
      <c r="N732">
        <v>2400</v>
      </c>
    </row>
    <row r="733" spans="1:14" x14ac:dyDescent="0.25">
      <c r="A733">
        <v>366.76867700000003</v>
      </c>
      <c r="B733" s="1">
        <f>DATE(2011,5,2) + TIME(18,26,53)</f>
        <v>40665.76866898148</v>
      </c>
      <c r="C733">
        <v>80</v>
      </c>
      <c r="D733">
        <v>78.871910095000004</v>
      </c>
      <c r="E733">
        <v>50</v>
      </c>
      <c r="F733">
        <v>49.672630310000002</v>
      </c>
      <c r="G733">
        <v>1358.9481201000001</v>
      </c>
      <c r="H733">
        <v>1351.4974365</v>
      </c>
      <c r="I733">
        <v>1313.7346190999999</v>
      </c>
      <c r="J733">
        <v>1306.2615966999999</v>
      </c>
      <c r="K733">
        <v>2400</v>
      </c>
      <c r="L733">
        <v>0</v>
      </c>
      <c r="M733">
        <v>0</v>
      </c>
      <c r="N733">
        <v>2400</v>
      </c>
    </row>
    <row r="734" spans="1:14" x14ac:dyDescent="0.25">
      <c r="A734">
        <v>366.85592000000003</v>
      </c>
      <c r="B734" s="1">
        <f>DATE(2011,5,2) + TIME(20,32,31)</f>
        <v>40665.855914351851</v>
      </c>
      <c r="C734">
        <v>80</v>
      </c>
      <c r="D734">
        <v>79.015525818</v>
      </c>
      <c r="E734">
        <v>50</v>
      </c>
      <c r="F734">
        <v>49.661109924000002</v>
      </c>
      <c r="G734">
        <v>1358.9171143000001</v>
      </c>
      <c r="H734">
        <v>1351.4786377</v>
      </c>
      <c r="I734">
        <v>1313.7337646000001</v>
      </c>
      <c r="J734">
        <v>1306.2602539</v>
      </c>
      <c r="K734">
        <v>2400</v>
      </c>
      <c r="L734">
        <v>0</v>
      </c>
      <c r="M734">
        <v>0</v>
      </c>
      <c r="N734">
        <v>2400</v>
      </c>
    </row>
    <row r="735" spans="1:14" x14ac:dyDescent="0.25">
      <c r="A735">
        <v>366.94862899999998</v>
      </c>
      <c r="B735" s="1">
        <f>DATE(2011,5,2) + TIME(22,46,1)</f>
        <v>40665.948622685188</v>
      </c>
      <c r="C735">
        <v>80</v>
      </c>
      <c r="D735">
        <v>79.146530150999993</v>
      </c>
      <c r="E735">
        <v>50</v>
      </c>
      <c r="F735">
        <v>49.648998259999999</v>
      </c>
      <c r="G735">
        <v>1358.8854980000001</v>
      </c>
      <c r="H735">
        <v>1351.4587402</v>
      </c>
      <c r="I735">
        <v>1313.7327881000001</v>
      </c>
      <c r="J735">
        <v>1306.2587891000001</v>
      </c>
      <c r="K735">
        <v>2400</v>
      </c>
      <c r="L735">
        <v>0</v>
      </c>
      <c r="M735">
        <v>0</v>
      </c>
      <c r="N735">
        <v>2400</v>
      </c>
    </row>
    <row r="736" spans="1:14" x14ac:dyDescent="0.25">
      <c r="A736">
        <v>367.042282</v>
      </c>
      <c r="B736" s="1">
        <f>DATE(2011,5,3) + TIME(1,0,53)</f>
        <v>40666.042280092595</v>
      </c>
      <c r="C736">
        <v>80</v>
      </c>
      <c r="D736">
        <v>79.259979247999993</v>
      </c>
      <c r="E736">
        <v>50</v>
      </c>
      <c r="F736">
        <v>49.636833191000001</v>
      </c>
      <c r="G736">
        <v>1358.8552245999999</v>
      </c>
      <c r="H736">
        <v>1351.4389647999999</v>
      </c>
      <c r="I736">
        <v>1313.7316894999999</v>
      </c>
      <c r="J736">
        <v>1306.2573242000001</v>
      </c>
      <c r="K736">
        <v>2400</v>
      </c>
      <c r="L736">
        <v>0</v>
      </c>
      <c r="M736">
        <v>0</v>
      </c>
      <c r="N736">
        <v>2400</v>
      </c>
    </row>
    <row r="737" spans="1:14" x14ac:dyDescent="0.25">
      <c r="A737">
        <v>367.13728300000002</v>
      </c>
      <c r="B737" s="1">
        <f>DATE(2011,5,3) + TIME(3,17,41)</f>
        <v>40666.137280092589</v>
      </c>
      <c r="C737">
        <v>80</v>
      </c>
      <c r="D737">
        <v>79.358436584000003</v>
      </c>
      <c r="E737">
        <v>50</v>
      </c>
      <c r="F737">
        <v>49.624565124999997</v>
      </c>
      <c r="G737">
        <v>1358.8251952999999</v>
      </c>
      <c r="H737">
        <v>1351.4187012</v>
      </c>
      <c r="I737">
        <v>1313.7305908000001</v>
      </c>
      <c r="J737">
        <v>1306.2558594</v>
      </c>
      <c r="K737">
        <v>2400</v>
      </c>
      <c r="L737">
        <v>0</v>
      </c>
      <c r="M737">
        <v>0</v>
      </c>
      <c r="N737">
        <v>2400</v>
      </c>
    </row>
    <row r="738" spans="1:14" x14ac:dyDescent="0.25">
      <c r="A738">
        <v>367.23374100000001</v>
      </c>
      <c r="B738" s="1">
        <f>DATE(2011,5,3) + TIME(5,36,35)</f>
        <v>40666.233738425923</v>
      </c>
      <c r="C738">
        <v>80</v>
      </c>
      <c r="D738">
        <v>79.443771362000007</v>
      </c>
      <c r="E738">
        <v>50</v>
      </c>
      <c r="F738">
        <v>49.612182617000002</v>
      </c>
      <c r="G738">
        <v>1358.7954102000001</v>
      </c>
      <c r="H738">
        <v>1351.3983154</v>
      </c>
      <c r="I738">
        <v>1313.7294922000001</v>
      </c>
      <c r="J738">
        <v>1306.2542725000001</v>
      </c>
      <c r="K738">
        <v>2400</v>
      </c>
      <c r="L738">
        <v>0</v>
      </c>
      <c r="M738">
        <v>0</v>
      </c>
      <c r="N738">
        <v>2400</v>
      </c>
    </row>
    <row r="739" spans="1:14" x14ac:dyDescent="0.25">
      <c r="A739">
        <v>367.33138300000002</v>
      </c>
      <c r="B739" s="1">
        <f>DATE(2011,5,3) + TIME(7,57,11)</f>
        <v>40666.331377314818</v>
      </c>
      <c r="C739">
        <v>80</v>
      </c>
      <c r="D739">
        <v>79.517387389999996</v>
      </c>
      <c r="E739">
        <v>50</v>
      </c>
      <c r="F739">
        <v>49.599716186999999</v>
      </c>
      <c r="G739">
        <v>1358.7658690999999</v>
      </c>
      <c r="H739">
        <v>1351.3775635</v>
      </c>
      <c r="I739">
        <v>1313.7283935999999</v>
      </c>
      <c r="J739">
        <v>1306.2526855000001</v>
      </c>
      <c r="K739">
        <v>2400</v>
      </c>
      <c r="L739">
        <v>0</v>
      </c>
      <c r="M739">
        <v>0</v>
      </c>
      <c r="N739">
        <v>2400</v>
      </c>
    </row>
    <row r="740" spans="1:14" x14ac:dyDescent="0.25">
      <c r="A740">
        <v>367.43041599999998</v>
      </c>
      <c r="B740" s="1">
        <f>DATE(2011,5,3) + TIME(10,19,47)</f>
        <v>40666.430405092593</v>
      </c>
      <c r="C740">
        <v>80</v>
      </c>
      <c r="D740">
        <v>79.580886840999995</v>
      </c>
      <c r="E740">
        <v>50</v>
      </c>
      <c r="F740">
        <v>49.587142944</v>
      </c>
      <c r="G740">
        <v>1358.7364502</v>
      </c>
      <c r="H740">
        <v>1351.3565673999999</v>
      </c>
      <c r="I740">
        <v>1313.7272949000001</v>
      </c>
      <c r="J740">
        <v>1306.2512207</v>
      </c>
      <c r="K740">
        <v>2400</v>
      </c>
      <c r="L740">
        <v>0</v>
      </c>
      <c r="M740">
        <v>0</v>
      </c>
      <c r="N740">
        <v>2400</v>
      </c>
    </row>
    <row r="741" spans="1:14" x14ac:dyDescent="0.25">
      <c r="A741">
        <v>367.53103199999998</v>
      </c>
      <c r="B741" s="1">
        <f>DATE(2011,5,3) + TIME(12,44,41)</f>
        <v>40666.531030092592</v>
      </c>
      <c r="C741">
        <v>80</v>
      </c>
      <c r="D741">
        <v>79.635643005000006</v>
      </c>
      <c r="E741">
        <v>50</v>
      </c>
      <c r="F741">
        <v>49.574440002000003</v>
      </c>
      <c r="G741">
        <v>1358.7070312000001</v>
      </c>
      <c r="H741">
        <v>1351.3354492000001</v>
      </c>
      <c r="I741">
        <v>1313.7260742000001</v>
      </c>
      <c r="J741">
        <v>1306.2495117000001</v>
      </c>
      <c r="K741">
        <v>2400</v>
      </c>
      <c r="L741">
        <v>0</v>
      </c>
      <c r="M741">
        <v>0</v>
      </c>
      <c r="N741">
        <v>2400</v>
      </c>
    </row>
    <row r="742" spans="1:14" x14ac:dyDescent="0.25">
      <c r="A742">
        <v>367.633443</v>
      </c>
      <c r="B742" s="1">
        <f>DATE(2011,5,3) + TIME(15,12,9)</f>
        <v>40666.633437500001</v>
      </c>
      <c r="C742">
        <v>80</v>
      </c>
      <c r="D742">
        <v>79.682815551999994</v>
      </c>
      <c r="E742">
        <v>50</v>
      </c>
      <c r="F742">
        <v>49.561580657999997</v>
      </c>
      <c r="G742">
        <v>1358.6776123</v>
      </c>
      <c r="H742">
        <v>1351.3139647999999</v>
      </c>
      <c r="I742">
        <v>1313.7248535000001</v>
      </c>
      <c r="J742">
        <v>1306.2479248</v>
      </c>
      <c r="K742">
        <v>2400</v>
      </c>
      <c r="L742">
        <v>0</v>
      </c>
      <c r="M742">
        <v>0</v>
      </c>
      <c r="N742">
        <v>2400</v>
      </c>
    </row>
    <row r="743" spans="1:14" x14ac:dyDescent="0.25">
      <c r="A743">
        <v>367.73788200000001</v>
      </c>
      <c r="B743" s="1">
        <f>DATE(2011,5,3) + TIME(17,42,33)</f>
        <v>40666.737881944442</v>
      </c>
      <c r="C743">
        <v>80</v>
      </c>
      <c r="D743">
        <v>79.723426818999997</v>
      </c>
      <c r="E743">
        <v>50</v>
      </c>
      <c r="F743">
        <v>49.548542023000003</v>
      </c>
      <c r="G743">
        <v>1358.6481934000001</v>
      </c>
      <c r="H743">
        <v>1351.2923584</v>
      </c>
      <c r="I743">
        <v>1313.7236327999999</v>
      </c>
      <c r="J743">
        <v>1306.2463379000001</v>
      </c>
      <c r="K743">
        <v>2400</v>
      </c>
      <c r="L743">
        <v>0</v>
      </c>
      <c r="M743">
        <v>0</v>
      </c>
      <c r="N743">
        <v>2400</v>
      </c>
    </row>
    <row r="744" spans="1:14" x14ac:dyDescent="0.25">
      <c r="A744">
        <v>367.84457600000002</v>
      </c>
      <c r="B744" s="1">
        <f>DATE(2011,5,3) + TIME(20,16,11)</f>
        <v>40666.844571759262</v>
      </c>
      <c r="C744">
        <v>80</v>
      </c>
      <c r="D744">
        <v>79.758346558</v>
      </c>
      <c r="E744">
        <v>50</v>
      </c>
      <c r="F744">
        <v>49.535301208</v>
      </c>
      <c r="G744">
        <v>1358.6185303</v>
      </c>
      <c r="H744">
        <v>1351.2705077999999</v>
      </c>
      <c r="I744">
        <v>1313.7224120999999</v>
      </c>
      <c r="J744">
        <v>1306.2446289</v>
      </c>
      <c r="K744">
        <v>2400</v>
      </c>
      <c r="L744">
        <v>0</v>
      </c>
      <c r="M744">
        <v>0</v>
      </c>
      <c r="N744">
        <v>2400</v>
      </c>
    </row>
    <row r="745" spans="1:14" x14ac:dyDescent="0.25">
      <c r="A745">
        <v>367.95361600000001</v>
      </c>
      <c r="B745" s="1">
        <f>DATE(2011,5,3) + TIME(22,53,12)</f>
        <v>40666.953611111108</v>
      </c>
      <c r="C745">
        <v>80</v>
      </c>
      <c r="D745">
        <v>79.788276671999995</v>
      </c>
      <c r="E745">
        <v>50</v>
      </c>
      <c r="F745">
        <v>49.521846771</v>
      </c>
      <c r="G745">
        <v>1358.5887451000001</v>
      </c>
      <c r="H745">
        <v>1351.2482910000001</v>
      </c>
      <c r="I745">
        <v>1313.7211914</v>
      </c>
      <c r="J745">
        <v>1306.2429199000001</v>
      </c>
      <c r="K745">
        <v>2400</v>
      </c>
      <c r="L745">
        <v>0</v>
      </c>
      <c r="M745">
        <v>0</v>
      </c>
      <c r="N745">
        <v>2400</v>
      </c>
    </row>
    <row r="746" spans="1:14" x14ac:dyDescent="0.25">
      <c r="A746">
        <v>368.064684</v>
      </c>
      <c r="B746" s="1">
        <f>DATE(2011,5,4) + TIME(1,33,8)</f>
        <v>40667.064675925925</v>
      </c>
      <c r="C746">
        <v>80</v>
      </c>
      <c r="D746">
        <v>79.813796996999997</v>
      </c>
      <c r="E746">
        <v>50</v>
      </c>
      <c r="F746">
        <v>49.508209229000002</v>
      </c>
      <c r="G746">
        <v>1358.5589600000001</v>
      </c>
      <c r="H746">
        <v>1351.2259521000001</v>
      </c>
      <c r="I746">
        <v>1313.7198486</v>
      </c>
      <c r="J746">
        <v>1306.2410889</v>
      </c>
      <c r="K746">
        <v>2400</v>
      </c>
      <c r="L746">
        <v>0</v>
      </c>
      <c r="M746">
        <v>0</v>
      </c>
      <c r="N746">
        <v>2400</v>
      </c>
    </row>
    <row r="747" spans="1:14" x14ac:dyDescent="0.25">
      <c r="A747">
        <v>368.17800199999999</v>
      </c>
      <c r="B747" s="1">
        <f>DATE(2011,5,4) + TIME(4,16,19)</f>
        <v>40667.177997685183</v>
      </c>
      <c r="C747">
        <v>80</v>
      </c>
      <c r="D747">
        <v>79.835517882999994</v>
      </c>
      <c r="E747">
        <v>50</v>
      </c>
      <c r="F747">
        <v>49.494369507000002</v>
      </c>
      <c r="G747">
        <v>1358.5289307</v>
      </c>
      <c r="H747">
        <v>1351.2034911999999</v>
      </c>
      <c r="I747">
        <v>1313.7185059000001</v>
      </c>
      <c r="J747">
        <v>1306.2392577999999</v>
      </c>
      <c r="K747">
        <v>2400</v>
      </c>
      <c r="L747">
        <v>0</v>
      </c>
      <c r="M747">
        <v>0</v>
      </c>
      <c r="N747">
        <v>2400</v>
      </c>
    </row>
    <row r="748" spans="1:14" x14ac:dyDescent="0.25">
      <c r="A748">
        <v>368.29379699999998</v>
      </c>
      <c r="B748" s="1">
        <f>DATE(2011,5,4) + TIME(7,3,4)</f>
        <v>40667.293796296297</v>
      </c>
      <c r="C748">
        <v>80</v>
      </c>
      <c r="D748">
        <v>79.853981017999999</v>
      </c>
      <c r="E748">
        <v>50</v>
      </c>
      <c r="F748">
        <v>49.480304717999999</v>
      </c>
      <c r="G748">
        <v>1358.4989014</v>
      </c>
      <c r="H748">
        <v>1351.1807861</v>
      </c>
      <c r="I748">
        <v>1313.7171631000001</v>
      </c>
      <c r="J748">
        <v>1306.2374268000001</v>
      </c>
      <c r="K748">
        <v>2400</v>
      </c>
      <c r="L748">
        <v>0</v>
      </c>
      <c r="M748">
        <v>0</v>
      </c>
      <c r="N748">
        <v>2400</v>
      </c>
    </row>
    <row r="749" spans="1:14" x14ac:dyDescent="0.25">
      <c r="A749">
        <v>368.41233599999998</v>
      </c>
      <c r="B749" s="1">
        <f>DATE(2011,5,4) + TIME(9,53,45)</f>
        <v>40667.412326388891</v>
      </c>
      <c r="C749">
        <v>80</v>
      </c>
      <c r="D749">
        <v>79.869644164999997</v>
      </c>
      <c r="E749">
        <v>50</v>
      </c>
      <c r="F749">
        <v>49.465984343999999</v>
      </c>
      <c r="G749">
        <v>1358.4686279</v>
      </c>
      <c r="H749">
        <v>1351.1579589999999</v>
      </c>
      <c r="I749">
        <v>1313.7156981999999</v>
      </c>
      <c r="J749">
        <v>1306.2355957</v>
      </c>
      <c r="K749">
        <v>2400</v>
      </c>
      <c r="L749">
        <v>0</v>
      </c>
      <c r="M749">
        <v>0</v>
      </c>
      <c r="N749">
        <v>2400</v>
      </c>
    </row>
    <row r="750" spans="1:14" x14ac:dyDescent="0.25">
      <c r="A750">
        <v>368.533839</v>
      </c>
      <c r="B750" s="1">
        <f>DATE(2011,5,4) + TIME(12,48,43)</f>
        <v>40667.533831018518</v>
      </c>
      <c r="C750">
        <v>80</v>
      </c>
      <c r="D750">
        <v>79.882911682</v>
      </c>
      <c r="E750">
        <v>50</v>
      </c>
      <c r="F750">
        <v>49.451389313</v>
      </c>
      <c r="G750">
        <v>1358.4381103999999</v>
      </c>
      <c r="H750">
        <v>1351.1350098</v>
      </c>
      <c r="I750">
        <v>1313.7142334</v>
      </c>
      <c r="J750">
        <v>1306.2336425999999</v>
      </c>
      <c r="K750">
        <v>2400</v>
      </c>
      <c r="L750">
        <v>0</v>
      </c>
      <c r="M750">
        <v>0</v>
      </c>
      <c r="N750">
        <v>2400</v>
      </c>
    </row>
    <row r="751" spans="1:14" x14ac:dyDescent="0.25">
      <c r="A751">
        <v>368.65857599999998</v>
      </c>
      <c r="B751" s="1">
        <f>DATE(2011,5,4) + TIME(15,48,20)</f>
        <v>40667.658564814818</v>
      </c>
      <c r="C751">
        <v>80</v>
      </c>
      <c r="D751">
        <v>79.894119262999993</v>
      </c>
      <c r="E751">
        <v>50</v>
      </c>
      <c r="F751">
        <v>49.436489105</v>
      </c>
      <c r="G751">
        <v>1358.4074707</v>
      </c>
      <c r="H751">
        <v>1351.1118164</v>
      </c>
      <c r="I751">
        <v>1313.7127685999999</v>
      </c>
      <c r="J751">
        <v>1306.2316894999999</v>
      </c>
      <c r="K751">
        <v>2400</v>
      </c>
      <c r="L751">
        <v>0</v>
      </c>
      <c r="M751">
        <v>0</v>
      </c>
      <c r="N751">
        <v>2400</v>
      </c>
    </row>
    <row r="752" spans="1:14" x14ac:dyDescent="0.25">
      <c r="A752">
        <v>368.78684299999998</v>
      </c>
      <c r="B752" s="1">
        <f>DATE(2011,5,4) + TIME(18,53,3)</f>
        <v>40667.786840277775</v>
      </c>
      <c r="C752">
        <v>80</v>
      </c>
      <c r="D752">
        <v>79.903564453000001</v>
      </c>
      <c r="E752">
        <v>50</v>
      </c>
      <c r="F752">
        <v>49.421253204000003</v>
      </c>
      <c r="G752">
        <v>1358.3765868999999</v>
      </c>
      <c r="H752">
        <v>1351.0883789</v>
      </c>
      <c r="I752">
        <v>1313.7111815999999</v>
      </c>
      <c r="J752">
        <v>1306.2296143000001</v>
      </c>
      <c r="K752">
        <v>2400</v>
      </c>
      <c r="L752">
        <v>0</v>
      </c>
      <c r="M752">
        <v>0</v>
      </c>
      <c r="N752">
        <v>2400</v>
      </c>
    </row>
    <row r="753" spans="1:14" x14ac:dyDescent="0.25">
      <c r="A753">
        <v>368.91857199999998</v>
      </c>
      <c r="B753" s="1">
        <f>DATE(2011,5,4) + TIME(22,2,44)</f>
        <v>40667.918564814812</v>
      </c>
      <c r="C753">
        <v>80</v>
      </c>
      <c r="D753">
        <v>79.911483765</v>
      </c>
      <c r="E753">
        <v>50</v>
      </c>
      <c r="F753">
        <v>49.405693053999997</v>
      </c>
      <c r="G753">
        <v>1358.3453368999999</v>
      </c>
      <c r="H753">
        <v>1351.0648193</v>
      </c>
      <c r="I753">
        <v>1313.7097168</v>
      </c>
      <c r="J753">
        <v>1306.2275391000001</v>
      </c>
      <c r="K753">
        <v>2400</v>
      </c>
      <c r="L753">
        <v>0</v>
      </c>
      <c r="M753">
        <v>0</v>
      </c>
      <c r="N753">
        <v>2400</v>
      </c>
    </row>
    <row r="754" spans="1:14" x14ac:dyDescent="0.25">
      <c r="A754">
        <v>369.05363999999997</v>
      </c>
      <c r="B754" s="1">
        <f>DATE(2011,5,5) + TIME(1,17,14)</f>
        <v>40668.05363425926</v>
      </c>
      <c r="C754">
        <v>80</v>
      </c>
      <c r="D754">
        <v>79.918083190999994</v>
      </c>
      <c r="E754">
        <v>50</v>
      </c>
      <c r="F754">
        <v>49.389823913999997</v>
      </c>
      <c r="G754">
        <v>1358.3138428</v>
      </c>
      <c r="H754">
        <v>1351.0411377</v>
      </c>
      <c r="I754">
        <v>1313.7080077999999</v>
      </c>
      <c r="J754">
        <v>1306.2254639</v>
      </c>
      <c r="K754">
        <v>2400</v>
      </c>
      <c r="L754">
        <v>0</v>
      </c>
      <c r="M754">
        <v>0</v>
      </c>
      <c r="N754">
        <v>2400</v>
      </c>
    </row>
    <row r="755" spans="1:14" x14ac:dyDescent="0.25">
      <c r="A755">
        <v>369.19229899999999</v>
      </c>
      <c r="B755" s="1">
        <f>DATE(2011,5,5) + TIME(4,36,54)</f>
        <v>40668.192291666666</v>
      </c>
      <c r="C755">
        <v>80</v>
      </c>
      <c r="D755">
        <v>79.923583984000004</v>
      </c>
      <c r="E755">
        <v>50</v>
      </c>
      <c r="F755">
        <v>49.373611449999999</v>
      </c>
      <c r="G755">
        <v>1358.2822266000001</v>
      </c>
      <c r="H755">
        <v>1351.0172118999999</v>
      </c>
      <c r="I755">
        <v>1313.7062988</v>
      </c>
      <c r="J755">
        <v>1306.2232666</v>
      </c>
      <c r="K755">
        <v>2400</v>
      </c>
      <c r="L755">
        <v>0</v>
      </c>
      <c r="M755">
        <v>0</v>
      </c>
      <c r="N755">
        <v>2400</v>
      </c>
    </row>
    <row r="756" spans="1:14" x14ac:dyDescent="0.25">
      <c r="A756">
        <v>369.33485300000001</v>
      </c>
      <c r="B756" s="1">
        <f>DATE(2011,5,5) + TIME(8,2,11)</f>
        <v>40668.334849537037</v>
      </c>
      <c r="C756">
        <v>80</v>
      </c>
      <c r="D756">
        <v>79.928146362000007</v>
      </c>
      <c r="E756">
        <v>50</v>
      </c>
      <c r="F756">
        <v>49.357036591000004</v>
      </c>
      <c r="G756">
        <v>1358.2503661999999</v>
      </c>
      <c r="H756">
        <v>1350.9932861</v>
      </c>
      <c r="I756">
        <v>1313.7045897999999</v>
      </c>
      <c r="J756">
        <v>1306.2209473</v>
      </c>
      <c r="K756">
        <v>2400</v>
      </c>
      <c r="L756">
        <v>0</v>
      </c>
      <c r="M756">
        <v>0</v>
      </c>
      <c r="N756">
        <v>2400</v>
      </c>
    </row>
    <row r="757" spans="1:14" x14ac:dyDescent="0.25">
      <c r="A757">
        <v>369.48163499999998</v>
      </c>
      <c r="B757" s="1">
        <f>DATE(2011,5,5) + TIME(11,33,33)</f>
        <v>40668.481631944444</v>
      </c>
      <c r="C757">
        <v>80</v>
      </c>
      <c r="D757">
        <v>79.931922912999994</v>
      </c>
      <c r="E757">
        <v>50</v>
      </c>
      <c r="F757">
        <v>49.340065002000003</v>
      </c>
      <c r="G757">
        <v>1358.2183838000001</v>
      </c>
      <c r="H757">
        <v>1350.9691161999999</v>
      </c>
      <c r="I757">
        <v>1313.7028809000001</v>
      </c>
      <c r="J757">
        <v>1306.2186279</v>
      </c>
      <c r="K757">
        <v>2400</v>
      </c>
      <c r="L757">
        <v>0</v>
      </c>
      <c r="M757">
        <v>0</v>
      </c>
      <c r="N757">
        <v>2400</v>
      </c>
    </row>
    <row r="758" spans="1:14" x14ac:dyDescent="0.25">
      <c r="A758">
        <v>369.63301100000001</v>
      </c>
      <c r="B758" s="1">
        <f>DATE(2011,5,5) + TIME(15,11,32)</f>
        <v>40668.633009259262</v>
      </c>
      <c r="C758">
        <v>80</v>
      </c>
      <c r="D758">
        <v>79.935043335000003</v>
      </c>
      <c r="E758">
        <v>50</v>
      </c>
      <c r="F758">
        <v>49.322662354000002</v>
      </c>
      <c r="G758">
        <v>1358.1860352000001</v>
      </c>
      <c r="H758">
        <v>1350.9448242000001</v>
      </c>
      <c r="I758">
        <v>1313.7010498</v>
      </c>
      <c r="J758">
        <v>1306.2161865</v>
      </c>
      <c r="K758">
        <v>2400</v>
      </c>
      <c r="L758">
        <v>0</v>
      </c>
      <c r="M758">
        <v>0</v>
      </c>
      <c r="N758">
        <v>2400</v>
      </c>
    </row>
    <row r="759" spans="1:14" x14ac:dyDescent="0.25">
      <c r="A759">
        <v>369.78938900000003</v>
      </c>
      <c r="B759" s="1">
        <f>DATE(2011,5,5) + TIME(18,56,43)</f>
        <v>40668.789386574077</v>
      </c>
      <c r="C759">
        <v>80</v>
      </c>
      <c r="D759">
        <v>79.937606811999999</v>
      </c>
      <c r="E759">
        <v>50</v>
      </c>
      <c r="F759">
        <v>49.304790496999999</v>
      </c>
      <c r="G759">
        <v>1358.1533202999999</v>
      </c>
      <c r="H759">
        <v>1350.9204102000001</v>
      </c>
      <c r="I759">
        <v>1313.6990966999999</v>
      </c>
      <c r="J759">
        <v>1306.2137451000001</v>
      </c>
      <c r="K759">
        <v>2400</v>
      </c>
      <c r="L759">
        <v>0</v>
      </c>
      <c r="M759">
        <v>0</v>
      </c>
      <c r="N759">
        <v>2400</v>
      </c>
    </row>
    <row r="760" spans="1:14" x14ac:dyDescent="0.25">
      <c r="A760">
        <v>369.95122099999998</v>
      </c>
      <c r="B760" s="1">
        <f>DATE(2011,5,5) + TIME(22,49,45)</f>
        <v>40668.951215277775</v>
      </c>
      <c r="C760">
        <v>80</v>
      </c>
      <c r="D760">
        <v>79.939720154</v>
      </c>
      <c r="E760">
        <v>50</v>
      </c>
      <c r="F760">
        <v>49.286403655999997</v>
      </c>
      <c r="G760">
        <v>1358.1203613</v>
      </c>
      <c r="H760">
        <v>1350.8957519999999</v>
      </c>
      <c r="I760">
        <v>1313.6971435999999</v>
      </c>
      <c r="J760">
        <v>1306.2111815999999</v>
      </c>
      <c r="K760">
        <v>2400</v>
      </c>
      <c r="L760">
        <v>0</v>
      </c>
      <c r="M760">
        <v>0</v>
      </c>
      <c r="N760">
        <v>2400</v>
      </c>
    </row>
    <row r="761" spans="1:14" x14ac:dyDescent="0.25">
      <c r="A761">
        <v>370.11901399999999</v>
      </c>
      <c r="B761" s="1">
        <f>DATE(2011,5,6) + TIME(2,51,22)</f>
        <v>40669.119004629632</v>
      </c>
      <c r="C761">
        <v>80</v>
      </c>
      <c r="D761">
        <v>79.941452025999993</v>
      </c>
      <c r="E761">
        <v>50</v>
      </c>
      <c r="F761">
        <v>49.267459869</v>
      </c>
      <c r="G761">
        <v>1358.0869141000001</v>
      </c>
      <c r="H761">
        <v>1350.8707274999999</v>
      </c>
      <c r="I761">
        <v>1313.6950684000001</v>
      </c>
      <c r="J761">
        <v>1306.2084961</v>
      </c>
      <c r="K761">
        <v>2400</v>
      </c>
      <c r="L761">
        <v>0</v>
      </c>
      <c r="M761">
        <v>0</v>
      </c>
      <c r="N761">
        <v>2400</v>
      </c>
    </row>
    <row r="762" spans="1:14" x14ac:dyDescent="0.25">
      <c r="A762">
        <v>370.293339</v>
      </c>
      <c r="B762" s="1">
        <f>DATE(2011,5,6) + TIME(7,2,24)</f>
        <v>40669.293333333335</v>
      </c>
      <c r="C762">
        <v>80</v>
      </c>
      <c r="D762">
        <v>79.942863463999998</v>
      </c>
      <c r="E762">
        <v>50</v>
      </c>
      <c r="F762">
        <v>49.247901917</v>
      </c>
      <c r="G762">
        <v>1358.0531006000001</v>
      </c>
      <c r="H762">
        <v>1350.8455810999999</v>
      </c>
      <c r="I762">
        <v>1313.6929932</v>
      </c>
      <c r="J762">
        <v>1306.2058105000001</v>
      </c>
      <c r="K762">
        <v>2400</v>
      </c>
      <c r="L762">
        <v>0</v>
      </c>
      <c r="M762">
        <v>0</v>
      </c>
      <c r="N762">
        <v>2400</v>
      </c>
    </row>
    <row r="763" spans="1:14" x14ac:dyDescent="0.25">
      <c r="A763">
        <v>370.47484100000003</v>
      </c>
      <c r="B763" s="1">
        <f>DATE(2011,5,6) + TIME(11,23,46)</f>
        <v>40669.47483796296</v>
      </c>
      <c r="C763">
        <v>80</v>
      </c>
      <c r="D763">
        <v>79.944015503000003</v>
      </c>
      <c r="E763">
        <v>50</v>
      </c>
      <c r="F763">
        <v>49.227676391999999</v>
      </c>
      <c r="G763">
        <v>1358.0187988</v>
      </c>
      <c r="H763">
        <v>1350.8200684000001</v>
      </c>
      <c r="I763">
        <v>1313.6907959</v>
      </c>
      <c r="J763">
        <v>1306.2028809000001</v>
      </c>
      <c r="K763">
        <v>2400</v>
      </c>
      <c r="L763">
        <v>0</v>
      </c>
      <c r="M763">
        <v>0</v>
      </c>
      <c r="N763">
        <v>2400</v>
      </c>
    </row>
    <row r="764" spans="1:14" x14ac:dyDescent="0.25">
      <c r="A764">
        <v>370.66274199999998</v>
      </c>
      <c r="B764" s="1">
        <f>DATE(2011,5,6) + TIME(15,54,20)</f>
        <v>40669.662731481483</v>
      </c>
      <c r="C764">
        <v>80</v>
      </c>
      <c r="D764">
        <v>79.944946289000001</v>
      </c>
      <c r="E764">
        <v>50</v>
      </c>
      <c r="F764">
        <v>49.206848145000002</v>
      </c>
      <c r="G764">
        <v>1357.9838867000001</v>
      </c>
      <c r="H764">
        <v>1350.7941894999999</v>
      </c>
      <c r="I764">
        <v>1313.6884766000001</v>
      </c>
      <c r="J764">
        <v>1306.1999512</v>
      </c>
      <c r="K764">
        <v>2400</v>
      </c>
      <c r="L764">
        <v>0</v>
      </c>
      <c r="M764">
        <v>0</v>
      </c>
      <c r="N764">
        <v>2400</v>
      </c>
    </row>
    <row r="765" spans="1:14" x14ac:dyDescent="0.25">
      <c r="A765">
        <v>370.85618699999998</v>
      </c>
      <c r="B765" s="1">
        <f>DATE(2011,5,6) + TIME(20,32,54)</f>
        <v>40669.856180555558</v>
      </c>
      <c r="C765">
        <v>80</v>
      </c>
      <c r="D765">
        <v>79.945686339999995</v>
      </c>
      <c r="E765">
        <v>50</v>
      </c>
      <c r="F765">
        <v>49.185504913000003</v>
      </c>
      <c r="G765">
        <v>1357.9487305</v>
      </c>
      <c r="H765">
        <v>1350.7680664</v>
      </c>
      <c r="I765">
        <v>1313.6860352000001</v>
      </c>
      <c r="J765">
        <v>1306.1968993999999</v>
      </c>
      <c r="K765">
        <v>2400</v>
      </c>
      <c r="L765">
        <v>0</v>
      </c>
      <c r="M765">
        <v>0</v>
      </c>
      <c r="N765">
        <v>2400</v>
      </c>
    </row>
    <row r="766" spans="1:14" x14ac:dyDescent="0.25">
      <c r="A766">
        <v>371.05110000000002</v>
      </c>
      <c r="B766" s="1">
        <f>DATE(2011,5,7) + TIME(1,13,35)</f>
        <v>40670.051099537035</v>
      </c>
      <c r="C766">
        <v>80</v>
      </c>
      <c r="D766">
        <v>79.946266174000002</v>
      </c>
      <c r="E766">
        <v>50</v>
      </c>
      <c r="F766">
        <v>49.164009094000001</v>
      </c>
      <c r="G766">
        <v>1357.9133300999999</v>
      </c>
      <c r="H766">
        <v>1350.7419434000001</v>
      </c>
      <c r="I766">
        <v>1313.6835937999999</v>
      </c>
      <c r="J766">
        <v>1306.1937256000001</v>
      </c>
      <c r="K766">
        <v>2400</v>
      </c>
      <c r="L766">
        <v>0</v>
      </c>
      <c r="M766">
        <v>0</v>
      </c>
      <c r="N766">
        <v>2400</v>
      </c>
    </row>
    <row r="767" spans="1:14" x14ac:dyDescent="0.25">
      <c r="A767">
        <v>371.24799100000001</v>
      </c>
      <c r="B767" s="1">
        <f>DATE(2011,5,7) + TIME(5,57,6)</f>
        <v>40670.247986111113</v>
      </c>
      <c r="C767">
        <v>80</v>
      </c>
      <c r="D767">
        <v>79.946723938000005</v>
      </c>
      <c r="E767">
        <v>50</v>
      </c>
      <c r="F767">
        <v>49.142337799000003</v>
      </c>
      <c r="G767">
        <v>1357.8785399999999</v>
      </c>
      <c r="H767">
        <v>1350.7163086</v>
      </c>
      <c r="I767">
        <v>1313.6810303</v>
      </c>
      <c r="J767">
        <v>1306.1905518000001</v>
      </c>
      <c r="K767">
        <v>2400</v>
      </c>
      <c r="L767">
        <v>0</v>
      </c>
      <c r="M767">
        <v>0</v>
      </c>
      <c r="N767">
        <v>2400</v>
      </c>
    </row>
    <row r="768" spans="1:14" x14ac:dyDescent="0.25">
      <c r="A768">
        <v>371.44733100000002</v>
      </c>
      <c r="B768" s="1">
        <f>DATE(2011,5,7) + TIME(10,44,9)</f>
        <v>40670.447326388887</v>
      </c>
      <c r="C768">
        <v>80</v>
      </c>
      <c r="D768">
        <v>79.947090149000005</v>
      </c>
      <c r="E768">
        <v>50</v>
      </c>
      <c r="F768">
        <v>49.120456695999998</v>
      </c>
      <c r="G768">
        <v>1357.8443603999999</v>
      </c>
      <c r="H768">
        <v>1350.6911620999999</v>
      </c>
      <c r="I768">
        <v>1313.6784668</v>
      </c>
      <c r="J768">
        <v>1306.1872559000001</v>
      </c>
      <c r="K768">
        <v>2400</v>
      </c>
      <c r="L768">
        <v>0</v>
      </c>
      <c r="M768">
        <v>0</v>
      </c>
      <c r="N768">
        <v>2400</v>
      </c>
    </row>
    <row r="769" spans="1:14" x14ac:dyDescent="0.25">
      <c r="A769">
        <v>371.64955500000002</v>
      </c>
      <c r="B769" s="1">
        <f>DATE(2011,5,7) + TIME(15,35,21)</f>
        <v>40670.649548611109</v>
      </c>
      <c r="C769">
        <v>80</v>
      </c>
      <c r="D769">
        <v>79.947372436999999</v>
      </c>
      <c r="E769">
        <v>50</v>
      </c>
      <c r="F769">
        <v>49.098335265999999</v>
      </c>
      <c r="G769">
        <v>1357.8104248</v>
      </c>
      <c r="H769">
        <v>1350.6663818</v>
      </c>
      <c r="I769">
        <v>1313.6759033000001</v>
      </c>
      <c r="J769">
        <v>1306.1839600000001</v>
      </c>
      <c r="K769">
        <v>2400</v>
      </c>
      <c r="L769">
        <v>0</v>
      </c>
      <c r="M769">
        <v>0</v>
      </c>
      <c r="N769">
        <v>2400</v>
      </c>
    </row>
    <row r="770" spans="1:14" x14ac:dyDescent="0.25">
      <c r="A770">
        <v>371.85506199999998</v>
      </c>
      <c r="B770" s="1">
        <f>DATE(2011,5,7) + TIME(20,31,17)</f>
        <v>40670.855057870373</v>
      </c>
      <c r="C770">
        <v>80</v>
      </c>
      <c r="D770">
        <v>79.947601317999997</v>
      </c>
      <c r="E770">
        <v>50</v>
      </c>
      <c r="F770">
        <v>49.075946807999998</v>
      </c>
      <c r="G770">
        <v>1357.7768555</v>
      </c>
      <c r="H770">
        <v>1350.6418457</v>
      </c>
      <c r="I770">
        <v>1313.6732178</v>
      </c>
      <c r="J770">
        <v>1306.1806641000001</v>
      </c>
      <c r="K770">
        <v>2400</v>
      </c>
      <c r="L770">
        <v>0</v>
      </c>
      <c r="M770">
        <v>0</v>
      </c>
      <c r="N770">
        <v>2400</v>
      </c>
    </row>
    <row r="771" spans="1:14" x14ac:dyDescent="0.25">
      <c r="A771">
        <v>372.06431900000001</v>
      </c>
      <c r="B771" s="1">
        <f>DATE(2011,5,8) + TIME(1,32,37)</f>
        <v>40671.064317129632</v>
      </c>
      <c r="C771">
        <v>80</v>
      </c>
      <c r="D771">
        <v>79.947776794000006</v>
      </c>
      <c r="E771">
        <v>50</v>
      </c>
      <c r="F771">
        <v>49.053253173999998</v>
      </c>
      <c r="G771">
        <v>1357.7436522999999</v>
      </c>
      <c r="H771">
        <v>1350.6175536999999</v>
      </c>
      <c r="I771">
        <v>1313.6706543</v>
      </c>
      <c r="J771">
        <v>1306.1772461</v>
      </c>
      <c r="K771">
        <v>2400</v>
      </c>
      <c r="L771">
        <v>0</v>
      </c>
      <c r="M771">
        <v>0</v>
      </c>
      <c r="N771">
        <v>2400</v>
      </c>
    </row>
    <row r="772" spans="1:14" x14ac:dyDescent="0.25">
      <c r="A772">
        <v>372.27617400000003</v>
      </c>
      <c r="B772" s="1">
        <f>DATE(2011,5,8) + TIME(6,37,41)</f>
        <v>40671.27616898148</v>
      </c>
      <c r="C772">
        <v>80</v>
      </c>
      <c r="D772">
        <v>79.947921753000003</v>
      </c>
      <c r="E772">
        <v>50</v>
      </c>
      <c r="F772">
        <v>49.030361176</v>
      </c>
      <c r="G772">
        <v>1357.7105713000001</v>
      </c>
      <c r="H772">
        <v>1350.5933838000001</v>
      </c>
      <c r="I772">
        <v>1313.6678466999999</v>
      </c>
      <c r="J772">
        <v>1306.1737060999999</v>
      </c>
      <c r="K772">
        <v>2400</v>
      </c>
      <c r="L772">
        <v>0</v>
      </c>
      <c r="M772">
        <v>0</v>
      </c>
      <c r="N772">
        <v>2400</v>
      </c>
    </row>
    <row r="773" spans="1:14" x14ac:dyDescent="0.25">
      <c r="A773">
        <v>372.4907</v>
      </c>
      <c r="B773" s="1">
        <f>DATE(2011,5,8) + TIME(11,46,36)</f>
        <v>40671.490694444445</v>
      </c>
      <c r="C773">
        <v>80</v>
      </c>
      <c r="D773">
        <v>79.948028563999998</v>
      </c>
      <c r="E773">
        <v>50</v>
      </c>
      <c r="F773">
        <v>49.007266997999999</v>
      </c>
      <c r="G773">
        <v>1357.6778564000001</v>
      </c>
      <c r="H773">
        <v>1350.5695800999999</v>
      </c>
      <c r="I773">
        <v>1313.6651611</v>
      </c>
      <c r="J773">
        <v>1306.1701660000001</v>
      </c>
      <c r="K773">
        <v>2400</v>
      </c>
      <c r="L773">
        <v>0</v>
      </c>
      <c r="M773">
        <v>0</v>
      </c>
      <c r="N773">
        <v>2400</v>
      </c>
    </row>
    <row r="774" spans="1:14" x14ac:dyDescent="0.25">
      <c r="A774">
        <v>372.70842199999998</v>
      </c>
      <c r="B774" s="1">
        <f>DATE(2011,5,8) + TIME(17,0,7)</f>
        <v>40671.708414351851</v>
      </c>
      <c r="C774">
        <v>80</v>
      </c>
      <c r="D774">
        <v>79.948112488000007</v>
      </c>
      <c r="E774">
        <v>50</v>
      </c>
      <c r="F774">
        <v>48.983936309999997</v>
      </c>
      <c r="G774">
        <v>1357.6455077999999</v>
      </c>
      <c r="H774">
        <v>1350.5461425999999</v>
      </c>
      <c r="I774">
        <v>1313.6623535000001</v>
      </c>
      <c r="J774">
        <v>1306.166626</v>
      </c>
      <c r="K774">
        <v>2400</v>
      </c>
      <c r="L774">
        <v>0</v>
      </c>
      <c r="M774">
        <v>0</v>
      </c>
      <c r="N774">
        <v>2400</v>
      </c>
    </row>
    <row r="775" spans="1:14" x14ac:dyDescent="0.25">
      <c r="A775">
        <v>372.92978900000003</v>
      </c>
      <c r="B775" s="1">
        <f>DATE(2011,5,8) + TIME(22,18,53)</f>
        <v>40671.929780092592</v>
      </c>
      <c r="C775">
        <v>80</v>
      </c>
      <c r="D775">
        <v>79.948173522999994</v>
      </c>
      <c r="E775">
        <v>50</v>
      </c>
      <c r="F775">
        <v>48.960327147999998</v>
      </c>
      <c r="G775">
        <v>1357.6134033000001</v>
      </c>
      <c r="H775">
        <v>1350.5229492000001</v>
      </c>
      <c r="I775">
        <v>1313.6594238</v>
      </c>
      <c r="J775">
        <v>1306.1630858999999</v>
      </c>
      <c r="K775">
        <v>2400</v>
      </c>
      <c r="L775">
        <v>0</v>
      </c>
      <c r="M775">
        <v>0</v>
      </c>
      <c r="N775">
        <v>2400</v>
      </c>
    </row>
    <row r="776" spans="1:14" x14ac:dyDescent="0.25">
      <c r="A776">
        <v>373.15519399999999</v>
      </c>
      <c r="B776" s="1">
        <f>DATE(2011,5,9) + TIME(3,43,28)</f>
        <v>40672.155185185184</v>
      </c>
      <c r="C776">
        <v>80</v>
      </c>
      <c r="D776">
        <v>79.948219299000002</v>
      </c>
      <c r="E776">
        <v>50</v>
      </c>
      <c r="F776">
        <v>48.936412810999997</v>
      </c>
      <c r="G776">
        <v>1357.581543</v>
      </c>
      <c r="H776">
        <v>1350.4998779</v>
      </c>
      <c r="I776">
        <v>1313.6564940999999</v>
      </c>
      <c r="J776">
        <v>1306.1593018000001</v>
      </c>
      <c r="K776">
        <v>2400</v>
      </c>
      <c r="L776">
        <v>0</v>
      </c>
      <c r="M776">
        <v>0</v>
      </c>
      <c r="N776">
        <v>2400</v>
      </c>
    </row>
    <row r="777" spans="1:14" x14ac:dyDescent="0.25">
      <c r="A777">
        <v>373.38511499999998</v>
      </c>
      <c r="B777" s="1">
        <f>DATE(2011,5,9) + TIME(9,14,33)</f>
        <v>40672.385104166664</v>
      </c>
      <c r="C777">
        <v>80</v>
      </c>
      <c r="D777">
        <v>79.948249817000004</v>
      </c>
      <c r="E777">
        <v>50</v>
      </c>
      <c r="F777">
        <v>48.912151336999997</v>
      </c>
      <c r="G777">
        <v>1357.5496826000001</v>
      </c>
      <c r="H777">
        <v>1350.4769286999999</v>
      </c>
      <c r="I777">
        <v>1313.6535644999999</v>
      </c>
      <c r="J777">
        <v>1306.1555175999999</v>
      </c>
      <c r="K777">
        <v>2400</v>
      </c>
      <c r="L777">
        <v>0</v>
      </c>
      <c r="M777">
        <v>0</v>
      </c>
      <c r="N777">
        <v>2400</v>
      </c>
    </row>
    <row r="778" spans="1:14" x14ac:dyDescent="0.25">
      <c r="A778">
        <v>373.62006100000002</v>
      </c>
      <c r="B778" s="1">
        <f>DATE(2011,5,9) + TIME(14,52,53)</f>
        <v>40672.620057870372</v>
      </c>
      <c r="C778">
        <v>80</v>
      </c>
      <c r="D778">
        <v>79.948265075999998</v>
      </c>
      <c r="E778">
        <v>50</v>
      </c>
      <c r="F778">
        <v>48.887504577999998</v>
      </c>
      <c r="G778">
        <v>1357.5180664</v>
      </c>
      <c r="H778">
        <v>1350.4542236</v>
      </c>
      <c r="I778">
        <v>1313.6505127</v>
      </c>
      <c r="J778">
        <v>1306.1517334</v>
      </c>
      <c r="K778">
        <v>2400</v>
      </c>
      <c r="L778">
        <v>0</v>
      </c>
      <c r="M778">
        <v>0</v>
      </c>
      <c r="N778">
        <v>2400</v>
      </c>
    </row>
    <row r="779" spans="1:14" x14ac:dyDescent="0.25">
      <c r="A779">
        <v>373.85938199999998</v>
      </c>
      <c r="B779" s="1">
        <f>DATE(2011,5,9) + TIME(20,37,30)</f>
        <v>40672.859375</v>
      </c>
      <c r="C779">
        <v>80</v>
      </c>
      <c r="D779">
        <v>79.948280334000003</v>
      </c>
      <c r="E779">
        <v>50</v>
      </c>
      <c r="F779">
        <v>48.862522124999998</v>
      </c>
      <c r="G779">
        <v>1357.4864502</v>
      </c>
      <c r="H779">
        <v>1350.4313964999999</v>
      </c>
      <c r="I779">
        <v>1313.6474608999999</v>
      </c>
      <c r="J779">
        <v>1306.1478271000001</v>
      </c>
      <c r="K779">
        <v>2400</v>
      </c>
      <c r="L779">
        <v>0</v>
      </c>
      <c r="M779">
        <v>0</v>
      </c>
      <c r="N779">
        <v>2400</v>
      </c>
    </row>
    <row r="780" spans="1:14" x14ac:dyDescent="0.25">
      <c r="A780">
        <v>374.10231099999999</v>
      </c>
      <c r="B780" s="1">
        <f>DATE(2011,5,10) + TIME(2,27,19)</f>
        <v>40673.102303240739</v>
      </c>
      <c r="C780">
        <v>80</v>
      </c>
      <c r="D780">
        <v>79.948280334000003</v>
      </c>
      <c r="E780">
        <v>50</v>
      </c>
      <c r="F780">
        <v>48.837272644000002</v>
      </c>
      <c r="G780">
        <v>1357.4549560999999</v>
      </c>
      <c r="H780">
        <v>1350.4088135</v>
      </c>
      <c r="I780">
        <v>1313.6442870999999</v>
      </c>
      <c r="J780">
        <v>1306.1437988</v>
      </c>
      <c r="K780">
        <v>2400</v>
      </c>
      <c r="L780">
        <v>0</v>
      </c>
      <c r="M780">
        <v>0</v>
      </c>
      <c r="N780">
        <v>2400</v>
      </c>
    </row>
    <row r="781" spans="1:14" x14ac:dyDescent="0.25">
      <c r="A781">
        <v>374.34952800000002</v>
      </c>
      <c r="B781" s="1">
        <f>DATE(2011,5,10) + TIME(8,23,19)</f>
        <v>40673.34952546296</v>
      </c>
      <c r="C781">
        <v>80</v>
      </c>
      <c r="D781">
        <v>79.948272704999994</v>
      </c>
      <c r="E781">
        <v>50</v>
      </c>
      <c r="F781">
        <v>48.811698913999997</v>
      </c>
      <c r="G781">
        <v>1357.4235839999999</v>
      </c>
      <c r="H781">
        <v>1350.3864745999999</v>
      </c>
      <c r="I781">
        <v>1313.6411132999999</v>
      </c>
      <c r="J781">
        <v>1306.1397704999999</v>
      </c>
      <c r="K781">
        <v>2400</v>
      </c>
      <c r="L781">
        <v>0</v>
      </c>
      <c r="M781">
        <v>0</v>
      </c>
      <c r="N781">
        <v>2400</v>
      </c>
    </row>
    <row r="782" spans="1:14" x14ac:dyDescent="0.25">
      <c r="A782">
        <v>374.60139600000002</v>
      </c>
      <c r="B782" s="1">
        <f>DATE(2011,5,10) + TIME(14,26,0)</f>
        <v>40673.601388888892</v>
      </c>
      <c r="C782">
        <v>80</v>
      </c>
      <c r="D782">
        <v>79.948257446</v>
      </c>
      <c r="E782">
        <v>50</v>
      </c>
      <c r="F782">
        <v>48.78578186</v>
      </c>
      <c r="G782">
        <v>1357.3924560999999</v>
      </c>
      <c r="H782">
        <v>1350.3641356999999</v>
      </c>
      <c r="I782">
        <v>1313.6378173999999</v>
      </c>
      <c r="J782">
        <v>1306.1354980000001</v>
      </c>
      <c r="K782">
        <v>2400</v>
      </c>
      <c r="L782">
        <v>0</v>
      </c>
      <c r="M782">
        <v>0</v>
      </c>
      <c r="N782">
        <v>2400</v>
      </c>
    </row>
    <row r="783" spans="1:14" x14ac:dyDescent="0.25">
      <c r="A783">
        <v>374.85842200000002</v>
      </c>
      <c r="B783" s="1">
        <f>DATE(2011,5,10) + TIME(20,36,7)</f>
        <v>40673.858414351853</v>
      </c>
      <c r="C783">
        <v>80</v>
      </c>
      <c r="D783">
        <v>79.948242187999995</v>
      </c>
      <c r="E783">
        <v>50</v>
      </c>
      <c r="F783">
        <v>48.759479523000003</v>
      </c>
      <c r="G783">
        <v>1357.3614502</v>
      </c>
      <c r="H783">
        <v>1350.3420410000001</v>
      </c>
      <c r="I783">
        <v>1313.6343993999999</v>
      </c>
      <c r="J783">
        <v>1306.1313477000001</v>
      </c>
      <c r="K783">
        <v>2400</v>
      </c>
      <c r="L783">
        <v>0</v>
      </c>
      <c r="M783">
        <v>0</v>
      </c>
      <c r="N783">
        <v>2400</v>
      </c>
    </row>
    <row r="784" spans="1:14" x14ac:dyDescent="0.25">
      <c r="A784">
        <v>375.12114800000001</v>
      </c>
      <c r="B784" s="1">
        <f>DATE(2011,5,11) + TIME(2,54,27)</f>
        <v>40674.121145833335</v>
      </c>
      <c r="C784">
        <v>80</v>
      </c>
      <c r="D784">
        <v>79.948219299000002</v>
      </c>
      <c r="E784">
        <v>50</v>
      </c>
      <c r="F784">
        <v>48.732749939000001</v>
      </c>
      <c r="G784">
        <v>1357.3304443</v>
      </c>
      <c r="H784">
        <v>1350.3199463000001</v>
      </c>
      <c r="I784">
        <v>1313.6309814000001</v>
      </c>
      <c r="J784">
        <v>1306.1269531</v>
      </c>
      <c r="K784">
        <v>2400</v>
      </c>
      <c r="L784">
        <v>0</v>
      </c>
      <c r="M784">
        <v>0</v>
      </c>
      <c r="N784">
        <v>2400</v>
      </c>
    </row>
    <row r="785" spans="1:14" x14ac:dyDescent="0.25">
      <c r="A785">
        <v>375.39016600000002</v>
      </c>
      <c r="B785" s="1">
        <f>DATE(2011,5,11) + TIME(9,21,50)</f>
        <v>40674.390162037038</v>
      </c>
      <c r="C785">
        <v>80</v>
      </c>
      <c r="D785">
        <v>79.948196410999998</v>
      </c>
      <c r="E785">
        <v>50</v>
      </c>
      <c r="F785">
        <v>48.705547332999998</v>
      </c>
      <c r="G785">
        <v>1357.2994385</v>
      </c>
      <c r="H785">
        <v>1350.2978516000001</v>
      </c>
      <c r="I785">
        <v>1313.6275635</v>
      </c>
      <c r="J785">
        <v>1306.1225586</v>
      </c>
      <c r="K785">
        <v>2400</v>
      </c>
      <c r="L785">
        <v>0</v>
      </c>
      <c r="M785">
        <v>0</v>
      </c>
      <c r="N785">
        <v>2400</v>
      </c>
    </row>
    <row r="786" spans="1:14" x14ac:dyDescent="0.25">
      <c r="A786">
        <v>375.66612199999997</v>
      </c>
      <c r="B786" s="1">
        <f>DATE(2011,5,11) + TIME(15,59,12)</f>
        <v>40674.66611111111</v>
      </c>
      <c r="C786">
        <v>80</v>
      </c>
      <c r="D786">
        <v>79.948165893999999</v>
      </c>
      <c r="E786">
        <v>50</v>
      </c>
      <c r="F786">
        <v>48.677818297999998</v>
      </c>
      <c r="G786">
        <v>1357.2683105000001</v>
      </c>
      <c r="H786">
        <v>1350.2757568</v>
      </c>
      <c r="I786">
        <v>1313.6239014</v>
      </c>
      <c r="J786">
        <v>1306.1180420000001</v>
      </c>
      <c r="K786">
        <v>2400</v>
      </c>
      <c r="L786">
        <v>0</v>
      </c>
      <c r="M786">
        <v>0</v>
      </c>
      <c r="N786">
        <v>2400</v>
      </c>
    </row>
    <row r="787" spans="1:14" x14ac:dyDescent="0.25">
      <c r="A787">
        <v>375.94972799999999</v>
      </c>
      <c r="B787" s="1">
        <f>DATE(2011,5,11) + TIME(22,47,36)</f>
        <v>40674.94972222222</v>
      </c>
      <c r="C787">
        <v>80</v>
      </c>
      <c r="D787">
        <v>79.948127747000001</v>
      </c>
      <c r="E787">
        <v>50</v>
      </c>
      <c r="F787">
        <v>48.649509430000002</v>
      </c>
      <c r="G787">
        <v>1357.2370605000001</v>
      </c>
      <c r="H787">
        <v>1350.2536620999999</v>
      </c>
      <c r="I787">
        <v>1313.6202393000001</v>
      </c>
      <c r="J787">
        <v>1306.1132812000001</v>
      </c>
      <c r="K787">
        <v>2400</v>
      </c>
      <c r="L787">
        <v>0</v>
      </c>
      <c r="M787">
        <v>0</v>
      </c>
      <c r="N787">
        <v>2400</v>
      </c>
    </row>
    <row r="788" spans="1:14" x14ac:dyDescent="0.25">
      <c r="A788">
        <v>376.24176999999997</v>
      </c>
      <c r="B788" s="1">
        <f>DATE(2011,5,12) + TIME(5,48,8)</f>
        <v>40675.241759259261</v>
      </c>
      <c r="C788">
        <v>80</v>
      </c>
      <c r="D788">
        <v>79.948097228999998</v>
      </c>
      <c r="E788">
        <v>50</v>
      </c>
      <c r="F788">
        <v>48.620555877999998</v>
      </c>
      <c r="G788">
        <v>1357.2056885</v>
      </c>
      <c r="H788">
        <v>1350.2313231999999</v>
      </c>
      <c r="I788">
        <v>1313.6164550999999</v>
      </c>
      <c r="J788">
        <v>1306.1085204999999</v>
      </c>
      <c r="K788">
        <v>2400</v>
      </c>
      <c r="L788">
        <v>0</v>
      </c>
      <c r="M788">
        <v>0</v>
      </c>
      <c r="N788">
        <v>2400</v>
      </c>
    </row>
    <row r="789" spans="1:14" x14ac:dyDescent="0.25">
      <c r="A789">
        <v>376.54312800000002</v>
      </c>
      <c r="B789" s="1">
        <f>DATE(2011,5,12) + TIME(13,2,6)</f>
        <v>40675.543124999997</v>
      </c>
      <c r="C789">
        <v>80</v>
      </c>
      <c r="D789">
        <v>79.948059082</v>
      </c>
      <c r="E789">
        <v>50</v>
      </c>
      <c r="F789">
        <v>48.590888976999999</v>
      </c>
      <c r="G789">
        <v>1357.1740723</v>
      </c>
      <c r="H789">
        <v>1350.2089844</v>
      </c>
      <c r="I789">
        <v>1313.6125488</v>
      </c>
      <c r="J789">
        <v>1306.1035156</v>
      </c>
      <c r="K789">
        <v>2400</v>
      </c>
      <c r="L789">
        <v>0</v>
      </c>
      <c r="M789">
        <v>0</v>
      </c>
      <c r="N789">
        <v>2400</v>
      </c>
    </row>
    <row r="790" spans="1:14" x14ac:dyDescent="0.25">
      <c r="A790">
        <v>376.85233399999998</v>
      </c>
      <c r="B790" s="1">
        <f>DATE(2011,5,12) + TIME(20,27,21)</f>
        <v>40675.852326388886</v>
      </c>
      <c r="C790">
        <v>80</v>
      </c>
      <c r="D790">
        <v>79.948013306000007</v>
      </c>
      <c r="E790">
        <v>50</v>
      </c>
      <c r="F790">
        <v>48.560611725000001</v>
      </c>
      <c r="G790">
        <v>1357.1420897999999</v>
      </c>
      <c r="H790">
        <v>1350.1864014</v>
      </c>
      <c r="I790">
        <v>1313.6083983999999</v>
      </c>
      <c r="J790">
        <v>1306.0983887</v>
      </c>
      <c r="K790">
        <v>2400</v>
      </c>
      <c r="L790">
        <v>0</v>
      </c>
      <c r="M790">
        <v>0</v>
      </c>
      <c r="N790">
        <v>2400</v>
      </c>
    </row>
    <row r="791" spans="1:14" x14ac:dyDescent="0.25">
      <c r="A791">
        <v>377.16563400000001</v>
      </c>
      <c r="B791" s="1">
        <f>DATE(2011,5,13) + TIME(3,58,30)</f>
        <v>40676.165625000001</v>
      </c>
      <c r="C791">
        <v>80</v>
      </c>
      <c r="D791">
        <v>79.947967528999996</v>
      </c>
      <c r="E791">
        <v>50</v>
      </c>
      <c r="F791">
        <v>48.529994965</v>
      </c>
      <c r="G791">
        <v>1357.1099853999999</v>
      </c>
      <c r="H791">
        <v>1350.1638184000001</v>
      </c>
      <c r="I791">
        <v>1313.6042480000001</v>
      </c>
      <c r="J791">
        <v>1306.0931396000001</v>
      </c>
      <c r="K791">
        <v>2400</v>
      </c>
      <c r="L791">
        <v>0</v>
      </c>
      <c r="M791">
        <v>0</v>
      </c>
      <c r="N791">
        <v>2400</v>
      </c>
    </row>
    <row r="792" spans="1:14" x14ac:dyDescent="0.25">
      <c r="A792">
        <v>377.483813</v>
      </c>
      <c r="B792" s="1">
        <f>DATE(2011,5,13) + TIME(11,36,41)</f>
        <v>40676.483807870369</v>
      </c>
      <c r="C792">
        <v>80</v>
      </c>
      <c r="D792">
        <v>79.947929381999998</v>
      </c>
      <c r="E792">
        <v>50</v>
      </c>
      <c r="F792">
        <v>48.499008179</v>
      </c>
      <c r="G792">
        <v>1357.078125</v>
      </c>
      <c r="H792">
        <v>1350.1413574000001</v>
      </c>
      <c r="I792">
        <v>1313.5999756000001</v>
      </c>
      <c r="J792">
        <v>1306.0877685999999</v>
      </c>
      <c r="K792">
        <v>2400</v>
      </c>
      <c r="L792">
        <v>0</v>
      </c>
      <c r="M792">
        <v>0</v>
      </c>
      <c r="N792">
        <v>2400</v>
      </c>
    </row>
    <row r="793" spans="1:14" x14ac:dyDescent="0.25">
      <c r="A793">
        <v>377.804284</v>
      </c>
      <c r="B793" s="1">
        <f>DATE(2011,5,13) + TIME(19,18,10)</f>
        <v>40676.804282407407</v>
      </c>
      <c r="C793">
        <v>80</v>
      </c>
      <c r="D793">
        <v>79.947883606000005</v>
      </c>
      <c r="E793">
        <v>50</v>
      </c>
      <c r="F793">
        <v>48.467861176</v>
      </c>
      <c r="G793">
        <v>1357.0465088000001</v>
      </c>
      <c r="H793">
        <v>1350.1191406</v>
      </c>
      <c r="I793">
        <v>1313.5955810999999</v>
      </c>
      <c r="J793">
        <v>1306.0822754000001</v>
      </c>
      <c r="K793">
        <v>2400</v>
      </c>
      <c r="L793">
        <v>0</v>
      </c>
      <c r="M793">
        <v>0</v>
      </c>
      <c r="N793">
        <v>2400</v>
      </c>
    </row>
    <row r="794" spans="1:14" x14ac:dyDescent="0.25">
      <c r="A794">
        <v>378.12758700000001</v>
      </c>
      <c r="B794" s="1">
        <f>DATE(2011,5,14) + TIME(3,3,43)</f>
        <v>40677.127581018518</v>
      </c>
      <c r="C794">
        <v>80</v>
      </c>
      <c r="D794">
        <v>79.947837829999997</v>
      </c>
      <c r="E794">
        <v>50</v>
      </c>
      <c r="F794">
        <v>48.436538696</v>
      </c>
      <c r="G794">
        <v>1357.0152588000001</v>
      </c>
      <c r="H794">
        <v>1350.097168</v>
      </c>
      <c r="I794">
        <v>1313.5911865</v>
      </c>
      <c r="J794">
        <v>1306.0767822</v>
      </c>
      <c r="K794">
        <v>2400</v>
      </c>
      <c r="L794">
        <v>0</v>
      </c>
      <c r="M794">
        <v>0</v>
      </c>
      <c r="N794">
        <v>2400</v>
      </c>
    </row>
    <row r="795" spans="1:14" x14ac:dyDescent="0.25">
      <c r="A795">
        <v>378.45437199999998</v>
      </c>
      <c r="B795" s="1">
        <f>DATE(2011,5,14) + TIME(10,54,17)</f>
        <v>40677.454363425924</v>
      </c>
      <c r="C795">
        <v>80</v>
      </c>
      <c r="D795">
        <v>79.947784424000005</v>
      </c>
      <c r="E795">
        <v>50</v>
      </c>
      <c r="F795">
        <v>48.405017852999997</v>
      </c>
      <c r="G795">
        <v>1356.984375</v>
      </c>
      <c r="H795">
        <v>1350.0755615</v>
      </c>
      <c r="I795">
        <v>1313.5867920000001</v>
      </c>
      <c r="J795">
        <v>1306.0711670000001</v>
      </c>
      <c r="K795">
        <v>2400</v>
      </c>
      <c r="L795">
        <v>0</v>
      </c>
      <c r="M795">
        <v>0</v>
      </c>
      <c r="N795">
        <v>2400</v>
      </c>
    </row>
    <row r="796" spans="1:14" x14ac:dyDescent="0.25">
      <c r="A796">
        <v>378.78544799999997</v>
      </c>
      <c r="B796" s="1">
        <f>DATE(2011,5,14) + TIME(18,51,2)</f>
        <v>40677.785439814812</v>
      </c>
      <c r="C796">
        <v>80</v>
      </c>
      <c r="D796">
        <v>79.947738646999994</v>
      </c>
      <c r="E796">
        <v>50</v>
      </c>
      <c r="F796">
        <v>48.373249053999999</v>
      </c>
      <c r="G796">
        <v>1356.9538574000001</v>
      </c>
      <c r="H796">
        <v>1350.0541992000001</v>
      </c>
      <c r="I796">
        <v>1313.5822754000001</v>
      </c>
      <c r="J796">
        <v>1306.0655518000001</v>
      </c>
      <c r="K796">
        <v>2400</v>
      </c>
      <c r="L796">
        <v>0</v>
      </c>
      <c r="M796">
        <v>0</v>
      </c>
      <c r="N796">
        <v>2400</v>
      </c>
    </row>
    <row r="797" spans="1:14" x14ac:dyDescent="0.25">
      <c r="A797">
        <v>379.12136900000002</v>
      </c>
      <c r="B797" s="1">
        <f>DATE(2011,5,15) + TIME(2,54,46)</f>
        <v>40678.121365740742</v>
      </c>
      <c r="C797">
        <v>80</v>
      </c>
      <c r="D797">
        <v>79.947692871000001</v>
      </c>
      <c r="E797">
        <v>50</v>
      </c>
      <c r="F797">
        <v>48.341205596999998</v>
      </c>
      <c r="G797">
        <v>1356.9234618999999</v>
      </c>
      <c r="H797">
        <v>1350.0329589999999</v>
      </c>
      <c r="I797">
        <v>1313.5777588000001</v>
      </c>
      <c r="J797">
        <v>1306.0598144999999</v>
      </c>
      <c r="K797">
        <v>2400</v>
      </c>
      <c r="L797">
        <v>0</v>
      </c>
      <c r="M797">
        <v>0</v>
      </c>
      <c r="N797">
        <v>2400</v>
      </c>
    </row>
    <row r="798" spans="1:14" x14ac:dyDescent="0.25">
      <c r="A798">
        <v>379.46284500000002</v>
      </c>
      <c r="B798" s="1">
        <f>DATE(2011,5,15) + TIME(11,6,29)</f>
        <v>40678.462835648148</v>
      </c>
      <c r="C798">
        <v>80</v>
      </c>
      <c r="D798">
        <v>79.947647094999994</v>
      </c>
      <c r="E798">
        <v>50</v>
      </c>
      <c r="F798">
        <v>48.308834075999997</v>
      </c>
      <c r="G798">
        <v>1356.8933105000001</v>
      </c>
      <c r="H798">
        <v>1350.0118408000001</v>
      </c>
      <c r="I798">
        <v>1313.5731201000001</v>
      </c>
      <c r="J798">
        <v>1306.0539550999999</v>
      </c>
      <c r="K798">
        <v>2400</v>
      </c>
      <c r="L798">
        <v>0</v>
      </c>
      <c r="M798">
        <v>0</v>
      </c>
      <c r="N798">
        <v>2400</v>
      </c>
    </row>
    <row r="799" spans="1:14" x14ac:dyDescent="0.25">
      <c r="A799">
        <v>379.810633</v>
      </c>
      <c r="B799" s="1">
        <f>DATE(2011,5,15) + TIME(19,27,18)</f>
        <v>40678.810624999998</v>
      </c>
      <c r="C799">
        <v>80</v>
      </c>
      <c r="D799">
        <v>79.947593689000001</v>
      </c>
      <c r="E799">
        <v>50</v>
      </c>
      <c r="F799">
        <v>48.276081085000001</v>
      </c>
      <c r="G799">
        <v>1356.8632812000001</v>
      </c>
      <c r="H799">
        <v>1349.9908447</v>
      </c>
      <c r="I799">
        <v>1313.5683594</v>
      </c>
      <c r="J799">
        <v>1306.0479736</v>
      </c>
      <c r="K799">
        <v>2400</v>
      </c>
      <c r="L799">
        <v>0</v>
      </c>
      <c r="M799">
        <v>0</v>
      </c>
      <c r="N799">
        <v>2400</v>
      </c>
    </row>
    <row r="800" spans="1:14" x14ac:dyDescent="0.25">
      <c r="A800">
        <v>380.164309</v>
      </c>
      <c r="B800" s="1">
        <f>DATE(2011,5,16) + TIME(3,56,36)</f>
        <v>40679.164305555554</v>
      </c>
      <c r="C800">
        <v>80</v>
      </c>
      <c r="D800">
        <v>79.947547912999994</v>
      </c>
      <c r="E800">
        <v>50</v>
      </c>
      <c r="F800">
        <v>48.242973327999998</v>
      </c>
      <c r="G800">
        <v>1356.8332519999999</v>
      </c>
      <c r="H800">
        <v>1349.9698486</v>
      </c>
      <c r="I800">
        <v>1313.5634766000001</v>
      </c>
      <c r="J800">
        <v>1306.0418701000001</v>
      </c>
      <c r="K800">
        <v>2400</v>
      </c>
      <c r="L800">
        <v>0</v>
      </c>
      <c r="M800">
        <v>0</v>
      </c>
      <c r="N800">
        <v>2400</v>
      </c>
    </row>
    <row r="801" spans="1:14" x14ac:dyDescent="0.25">
      <c r="A801">
        <v>380.52150699999999</v>
      </c>
      <c r="B801" s="1">
        <f>DATE(2011,5,16) + TIME(12,30,58)</f>
        <v>40679.521504629629</v>
      </c>
      <c r="C801">
        <v>80</v>
      </c>
      <c r="D801">
        <v>79.947502135999997</v>
      </c>
      <c r="E801">
        <v>50</v>
      </c>
      <c r="F801">
        <v>48.209667205999999</v>
      </c>
      <c r="G801">
        <v>1356.8032227000001</v>
      </c>
      <c r="H801">
        <v>1349.9489745999999</v>
      </c>
      <c r="I801">
        <v>1313.5585937999999</v>
      </c>
      <c r="J801">
        <v>1306.0357666</v>
      </c>
      <c r="K801">
        <v>2400</v>
      </c>
      <c r="L801">
        <v>0</v>
      </c>
      <c r="M801">
        <v>0</v>
      </c>
      <c r="N801">
        <v>2400</v>
      </c>
    </row>
    <row r="802" spans="1:14" x14ac:dyDescent="0.25">
      <c r="A802">
        <v>380.88308499999999</v>
      </c>
      <c r="B802" s="1">
        <f>DATE(2011,5,16) + TIME(21,11,38)</f>
        <v>40679.8830787037</v>
      </c>
      <c r="C802">
        <v>80</v>
      </c>
      <c r="D802">
        <v>79.947456360000004</v>
      </c>
      <c r="E802">
        <v>50</v>
      </c>
      <c r="F802">
        <v>48.176120758000003</v>
      </c>
      <c r="G802">
        <v>1356.7735596</v>
      </c>
      <c r="H802">
        <v>1349.9282227000001</v>
      </c>
      <c r="I802">
        <v>1313.5535889</v>
      </c>
      <c r="J802">
        <v>1306.0294189000001</v>
      </c>
      <c r="K802">
        <v>2400</v>
      </c>
      <c r="L802">
        <v>0</v>
      </c>
      <c r="M802">
        <v>0</v>
      </c>
      <c r="N802">
        <v>2400</v>
      </c>
    </row>
    <row r="803" spans="1:14" x14ac:dyDescent="0.25">
      <c r="A803">
        <v>381.24983500000002</v>
      </c>
      <c r="B803" s="1">
        <f>DATE(2011,5,17) + TIME(5,59,45)</f>
        <v>40680.249826388892</v>
      </c>
      <c r="C803">
        <v>80</v>
      </c>
      <c r="D803">
        <v>79.947402953999998</v>
      </c>
      <c r="E803">
        <v>50</v>
      </c>
      <c r="F803">
        <v>48.142295836999999</v>
      </c>
      <c r="G803">
        <v>1356.7440185999999</v>
      </c>
      <c r="H803">
        <v>1349.9077147999999</v>
      </c>
      <c r="I803">
        <v>1313.5484618999999</v>
      </c>
      <c r="J803">
        <v>1306.0230713000001</v>
      </c>
      <c r="K803">
        <v>2400</v>
      </c>
      <c r="L803">
        <v>0</v>
      </c>
      <c r="M803">
        <v>0</v>
      </c>
      <c r="N803">
        <v>2400</v>
      </c>
    </row>
    <row r="804" spans="1:14" x14ac:dyDescent="0.25">
      <c r="A804">
        <v>381.62242900000001</v>
      </c>
      <c r="B804" s="1">
        <f>DATE(2011,5,17) + TIME(14,56,17)</f>
        <v>40680.622418981482</v>
      </c>
      <c r="C804">
        <v>80</v>
      </c>
      <c r="D804">
        <v>79.947357178000004</v>
      </c>
      <c r="E804">
        <v>50</v>
      </c>
      <c r="F804">
        <v>48.108146667</v>
      </c>
      <c r="G804">
        <v>1356.7147216999999</v>
      </c>
      <c r="H804">
        <v>1349.8873291</v>
      </c>
      <c r="I804">
        <v>1313.5433350000001</v>
      </c>
      <c r="J804">
        <v>1306.0164795000001</v>
      </c>
      <c r="K804">
        <v>2400</v>
      </c>
      <c r="L804">
        <v>0</v>
      </c>
      <c r="M804">
        <v>0</v>
      </c>
      <c r="N804">
        <v>2400</v>
      </c>
    </row>
    <row r="805" spans="1:14" x14ac:dyDescent="0.25">
      <c r="A805">
        <v>382.00156600000003</v>
      </c>
      <c r="B805" s="1">
        <f>DATE(2011,5,18) + TIME(0,2,15)</f>
        <v>40681.001562500001</v>
      </c>
      <c r="C805">
        <v>80</v>
      </c>
      <c r="D805">
        <v>79.947311400999993</v>
      </c>
      <c r="E805">
        <v>50</v>
      </c>
      <c r="F805">
        <v>48.073631286999998</v>
      </c>
      <c r="G805">
        <v>1356.6854248</v>
      </c>
      <c r="H805">
        <v>1349.8669434000001</v>
      </c>
      <c r="I805">
        <v>1313.5379639</v>
      </c>
      <c r="J805">
        <v>1306.0098877</v>
      </c>
      <c r="K805">
        <v>2400</v>
      </c>
      <c r="L805">
        <v>0</v>
      </c>
      <c r="M805">
        <v>0</v>
      </c>
      <c r="N805">
        <v>2400</v>
      </c>
    </row>
    <row r="806" spans="1:14" x14ac:dyDescent="0.25">
      <c r="A806">
        <v>382.38805400000001</v>
      </c>
      <c r="B806" s="1">
        <f>DATE(2011,5,18) + TIME(9,18,47)</f>
        <v>40681.388043981482</v>
      </c>
      <c r="C806">
        <v>80</v>
      </c>
      <c r="D806">
        <v>79.947265625</v>
      </c>
      <c r="E806">
        <v>50</v>
      </c>
      <c r="F806">
        <v>48.038688659999998</v>
      </c>
      <c r="G806">
        <v>1356.6561279</v>
      </c>
      <c r="H806">
        <v>1349.8466797000001</v>
      </c>
      <c r="I806">
        <v>1313.5325928</v>
      </c>
      <c r="J806">
        <v>1306.0030518000001</v>
      </c>
      <c r="K806">
        <v>2400</v>
      </c>
      <c r="L806">
        <v>0</v>
      </c>
      <c r="M806">
        <v>0</v>
      </c>
      <c r="N806">
        <v>2400</v>
      </c>
    </row>
    <row r="807" spans="1:14" x14ac:dyDescent="0.25">
      <c r="A807">
        <v>382.78276499999998</v>
      </c>
      <c r="B807" s="1">
        <f>DATE(2011,5,18) + TIME(18,47,10)</f>
        <v>40681.782754629632</v>
      </c>
      <c r="C807">
        <v>80</v>
      </c>
      <c r="D807">
        <v>79.947212218999994</v>
      </c>
      <c r="E807">
        <v>50</v>
      </c>
      <c r="F807">
        <v>48.003261565999999</v>
      </c>
      <c r="G807">
        <v>1356.6269531</v>
      </c>
      <c r="H807">
        <v>1349.8262939000001</v>
      </c>
      <c r="I807">
        <v>1313.5270995999999</v>
      </c>
      <c r="J807">
        <v>1305.9960937999999</v>
      </c>
      <c r="K807">
        <v>2400</v>
      </c>
      <c r="L807">
        <v>0</v>
      </c>
      <c r="M807">
        <v>0</v>
      </c>
      <c r="N807">
        <v>2400</v>
      </c>
    </row>
    <row r="808" spans="1:14" x14ac:dyDescent="0.25">
      <c r="A808">
        <v>383.18664100000001</v>
      </c>
      <c r="B808" s="1">
        <f>DATE(2011,5,19) + TIME(4,28,45)</f>
        <v>40682.186631944445</v>
      </c>
      <c r="C808">
        <v>80</v>
      </c>
      <c r="D808">
        <v>79.947166443</v>
      </c>
      <c r="E808">
        <v>50</v>
      </c>
      <c r="F808">
        <v>47.967285156000003</v>
      </c>
      <c r="G808">
        <v>1356.5975341999999</v>
      </c>
      <c r="H808">
        <v>1349.8059082</v>
      </c>
      <c r="I808">
        <v>1313.5213623</v>
      </c>
      <c r="J808">
        <v>1305.9890137</v>
      </c>
      <c r="K808">
        <v>2400</v>
      </c>
      <c r="L808">
        <v>0</v>
      </c>
      <c r="M808">
        <v>0</v>
      </c>
      <c r="N808">
        <v>2400</v>
      </c>
    </row>
    <row r="809" spans="1:14" x14ac:dyDescent="0.25">
      <c r="A809">
        <v>383.60072000000002</v>
      </c>
      <c r="B809" s="1">
        <f>DATE(2011,5,19) + TIME(14,25,2)</f>
        <v>40682.600717592592</v>
      </c>
      <c r="C809">
        <v>80</v>
      </c>
      <c r="D809">
        <v>79.947120666999993</v>
      </c>
      <c r="E809">
        <v>50</v>
      </c>
      <c r="F809">
        <v>47.930683135999999</v>
      </c>
      <c r="G809">
        <v>1356.5679932</v>
      </c>
      <c r="H809">
        <v>1349.7855225000001</v>
      </c>
      <c r="I809">
        <v>1313.515625</v>
      </c>
      <c r="J809">
        <v>1305.9816894999999</v>
      </c>
      <c r="K809">
        <v>2400</v>
      </c>
      <c r="L809">
        <v>0</v>
      </c>
      <c r="M809">
        <v>0</v>
      </c>
      <c r="N809">
        <v>2400</v>
      </c>
    </row>
    <row r="810" spans="1:14" x14ac:dyDescent="0.25">
      <c r="A810">
        <v>384.026162</v>
      </c>
      <c r="B810" s="1">
        <f>DATE(2011,5,20) + TIME(0,37,40)</f>
        <v>40683.02615740741</v>
      </c>
      <c r="C810">
        <v>80</v>
      </c>
      <c r="D810">
        <v>79.947074889999996</v>
      </c>
      <c r="E810">
        <v>50</v>
      </c>
      <c r="F810">
        <v>47.893379211000003</v>
      </c>
      <c r="G810">
        <v>1356.5383300999999</v>
      </c>
      <c r="H810">
        <v>1349.7648925999999</v>
      </c>
      <c r="I810">
        <v>1313.5096435999999</v>
      </c>
      <c r="J810">
        <v>1305.9741211</v>
      </c>
      <c r="K810">
        <v>2400</v>
      </c>
      <c r="L810">
        <v>0</v>
      </c>
      <c r="M810">
        <v>0</v>
      </c>
      <c r="N810">
        <v>2400</v>
      </c>
    </row>
    <row r="811" spans="1:14" x14ac:dyDescent="0.25">
      <c r="A811">
        <v>384.459024</v>
      </c>
      <c r="B811" s="1">
        <f>DATE(2011,5,20) + TIME(11,0,59)</f>
        <v>40683.459016203706</v>
      </c>
      <c r="C811">
        <v>80</v>
      </c>
      <c r="D811">
        <v>79.947029114000003</v>
      </c>
      <c r="E811">
        <v>50</v>
      </c>
      <c r="F811">
        <v>47.855587006</v>
      </c>
      <c r="G811">
        <v>1356.5084228999999</v>
      </c>
      <c r="H811">
        <v>1349.7441406</v>
      </c>
      <c r="I811">
        <v>1313.503418</v>
      </c>
      <c r="J811">
        <v>1305.9663086</v>
      </c>
      <c r="K811">
        <v>2400</v>
      </c>
      <c r="L811">
        <v>0</v>
      </c>
      <c r="M811">
        <v>0</v>
      </c>
      <c r="N811">
        <v>2400</v>
      </c>
    </row>
    <row r="812" spans="1:14" x14ac:dyDescent="0.25">
      <c r="A812">
        <v>384.89543400000002</v>
      </c>
      <c r="B812" s="1">
        <f>DATE(2011,5,20) + TIME(21,29,25)</f>
        <v>40683.895428240743</v>
      </c>
      <c r="C812">
        <v>80</v>
      </c>
      <c r="D812">
        <v>79.946975707999997</v>
      </c>
      <c r="E812">
        <v>50</v>
      </c>
      <c r="F812">
        <v>47.817554473999998</v>
      </c>
      <c r="G812">
        <v>1356.4785156</v>
      </c>
      <c r="H812">
        <v>1349.7235106999999</v>
      </c>
      <c r="I812">
        <v>1313.4970702999999</v>
      </c>
      <c r="J812">
        <v>1305.958374</v>
      </c>
      <c r="K812">
        <v>2400</v>
      </c>
      <c r="L812">
        <v>0</v>
      </c>
      <c r="M812">
        <v>0</v>
      </c>
      <c r="N812">
        <v>2400</v>
      </c>
    </row>
    <row r="813" spans="1:14" x14ac:dyDescent="0.25">
      <c r="A813">
        <v>385.33447699999999</v>
      </c>
      <c r="B813" s="1">
        <f>DATE(2011,5,21) + TIME(8,1,38)</f>
        <v>40684.334467592591</v>
      </c>
      <c r="C813">
        <v>80</v>
      </c>
      <c r="D813">
        <v>79.946929932000003</v>
      </c>
      <c r="E813">
        <v>50</v>
      </c>
      <c r="F813">
        <v>47.779399871999999</v>
      </c>
      <c r="G813">
        <v>1356.4488524999999</v>
      </c>
      <c r="H813">
        <v>1349.7030029</v>
      </c>
      <c r="I813">
        <v>1313.4906006000001</v>
      </c>
      <c r="J813">
        <v>1305.9503173999999</v>
      </c>
      <c r="K813">
        <v>2400</v>
      </c>
      <c r="L813">
        <v>0</v>
      </c>
      <c r="M813">
        <v>0</v>
      </c>
      <c r="N813">
        <v>2400</v>
      </c>
    </row>
    <row r="814" spans="1:14" x14ac:dyDescent="0.25">
      <c r="A814">
        <v>385.77703600000001</v>
      </c>
      <c r="B814" s="1">
        <f>DATE(2011,5,21) + TIME(18,38,55)</f>
        <v>40684.777025462965</v>
      </c>
      <c r="C814">
        <v>80</v>
      </c>
      <c r="D814">
        <v>79.946884155000006</v>
      </c>
      <c r="E814">
        <v>50</v>
      </c>
      <c r="F814">
        <v>47.741107941000003</v>
      </c>
      <c r="G814">
        <v>1356.4195557</v>
      </c>
      <c r="H814">
        <v>1349.6827393000001</v>
      </c>
      <c r="I814">
        <v>1313.4841309000001</v>
      </c>
      <c r="J814">
        <v>1305.9421387</v>
      </c>
      <c r="K814">
        <v>2400</v>
      </c>
      <c r="L814">
        <v>0</v>
      </c>
      <c r="M814">
        <v>0</v>
      </c>
      <c r="N814">
        <v>2400</v>
      </c>
    </row>
    <row r="815" spans="1:14" x14ac:dyDescent="0.25">
      <c r="A815">
        <v>386.22399799999999</v>
      </c>
      <c r="B815" s="1">
        <f>DATE(2011,5,22) + TIME(5,22,33)</f>
        <v>40685.223993055559</v>
      </c>
      <c r="C815">
        <v>80</v>
      </c>
      <c r="D815">
        <v>79.946838378999999</v>
      </c>
      <c r="E815">
        <v>50</v>
      </c>
      <c r="F815">
        <v>47.702655792000002</v>
      </c>
      <c r="G815">
        <v>1356.390625</v>
      </c>
      <c r="H815">
        <v>1349.6627197</v>
      </c>
      <c r="I815">
        <v>1313.4775391000001</v>
      </c>
      <c r="J815">
        <v>1305.9338379000001</v>
      </c>
      <c r="K815">
        <v>2400</v>
      </c>
      <c r="L815">
        <v>0</v>
      </c>
      <c r="M815">
        <v>0</v>
      </c>
      <c r="N815">
        <v>2400</v>
      </c>
    </row>
    <row r="816" spans="1:14" x14ac:dyDescent="0.25">
      <c r="A816">
        <v>386.67646200000001</v>
      </c>
      <c r="B816" s="1">
        <f>DATE(2011,5,22) + TIME(16,14,6)</f>
        <v>40685.676458333335</v>
      </c>
      <c r="C816">
        <v>80</v>
      </c>
      <c r="D816">
        <v>79.946792603000006</v>
      </c>
      <c r="E816">
        <v>50</v>
      </c>
      <c r="F816">
        <v>47.663990020999996</v>
      </c>
      <c r="G816">
        <v>1356.3618164</v>
      </c>
      <c r="H816">
        <v>1349.6428223</v>
      </c>
      <c r="I816">
        <v>1313.4708252</v>
      </c>
      <c r="J816">
        <v>1305.9254149999999</v>
      </c>
      <c r="K816">
        <v>2400</v>
      </c>
      <c r="L816">
        <v>0</v>
      </c>
      <c r="M816">
        <v>0</v>
      </c>
      <c r="N816">
        <v>2400</v>
      </c>
    </row>
    <row r="817" spans="1:14" x14ac:dyDescent="0.25">
      <c r="A817">
        <v>387.13519600000001</v>
      </c>
      <c r="B817" s="1">
        <f>DATE(2011,5,23) + TIME(3,14,40)</f>
        <v>40686.135185185187</v>
      </c>
      <c r="C817">
        <v>80</v>
      </c>
      <c r="D817">
        <v>79.946754455999994</v>
      </c>
      <c r="E817">
        <v>50</v>
      </c>
      <c r="F817">
        <v>47.625068665000001</v>
      </c>
      <c r="G817">
        <v>1356.3331298999999</v>
      </c>
      <c r="H817">
        <v>1349.6230469</v>
      </c>
      <c r="I817">
        <v>1313.4639893000001</v>
      </c>
      <c r="J817">
        <v>1305.9167480000001</v>
      </c>
      <c r="K817">
        <v>2400</v>
      </c>
      <c r="L817">
        <v>0</v>
      </c>
      <c r="M817">
        <v>0</v>
      </c>
      <c r="N817">
        <v>2400</v>
      </c>
    </row>
    <row r="818" spans="1:14" x14ac:dyDescent="0.25">
      <c r="A818">
        <v>387.60118599999998</v>
      </c>
      <c r="B818" s="1">
        <f>DATE(2011,5,23) + TIME(14,25,42)</f>
        <v>40686.601180555554</v>
      </c>
      <c r="C818">
        <v>80</v>
      </c>
      <c r="D818">
        <v>79.946708678999997</v>
      </c>
      <c r="E818">
        <v>50</v>
      </c>
      <c r="F818">
        <v>47.585826873999999</v>
      </c>
      <c r="G818">
        <v>1356.3046875</v>
      </c>
      <c r="H818">
        <v>1349.6032714999999</v>
      </c>
      <c r="I818">
        <v>1313.4570312000001</v>
      </c>
      <c r="J818">
        <v>1305.9080810999999</v>
      </c>
      <c r="K818">
        <v>2400</v>
      </c>
      <c r="L818">
        <v>0</v>
      </c>
      <c r="M818">
        <v>0</v>
      </c>
      <c r="N818">
        <v>2400</v>
      </c>
    </row>
    <row r="819" spans="1:14" x14ac:dyDescent="0.25">
      <c r="A819">
        <v>388.07547799999998</v>
      </c>
      <c r="B819" s="1">
        <f>DATE(2011,5,24) + TIME(1,48,41)</f>
        <v>40687.075474537036</v>
      </c>
      <c r="C819">
        <v>80</v>
      </c>
      <c r="D819">
        <v>79.946662903000004</v>
      </c>
      <c r="E819">
        <v>50</v>
      </c>
      <c r="F819">
        <v>47.546199799</v>
      </c>
      <c r="G819">
        <v>1356.2761230000001</v>
      </c>
      <c r="H819">
        <v>1349.5836182</v>
      </c>
      <c r="I819">
        <v>1313.4499512</v>
      </c>
      <c r="J819">
        <v>1305.8990478999999</v>
      </c>
      <c r="K819">
        <v>2400</v>
      </c>
      <c r="L819">
        <v>0</v>
      </c>
      <c r="M819">
        <v>0</v>
      </c>
      <c r="N819">
        <v>2400</v>
      </c>
    </row>
    <row r="820" spans="1:14" x14ac:dyDescent="0.25">
      <c r="A820">
        <v>388.55918200000002</v>
      </c>
      <c r="B820" s="1">
        <f>DATE(2011,5,24) + TIME(13,25,13)</f>
        <v>40687.559178240743</v>
      </c>
      <c r="C820">
        <v>80</v>
      </c>
      <c r="D820">
        <v>79.946624756000006</v>
      </c>
      <c r="E820">
        <v>50</v>
      </c>
      <c r="F820">
        <v>47.506111144999998</v>
      </c>
      <c r="G820">
        <v>1356.2476807</v>
      </c>
      <c r="H820">
        <v>1349.5639647999999</v>
      </c>
      <c r="I820">
        <v>1313.442749</v>
      </c>
      <c r="J820">
        <v>1305.8898925999999</v>
      </c>
      <c r="K820">
        <v>2400</v>
      </c>
      <c r="L820">
        <v>0</v>
      </c>
      <c r="M820">
        <v>0</v>
      </c>
      <c r="N820">
        <v>2400</v>
      </c>
    </row>
    <row r="821" spans="1:14" x14ac:dyDescent="0.25">
      <c r="A821">
        <v>389.04744899999997</v>
      </c>
      <c r="B821" s="1">
        <f>DATE(2011,5,25) + TIME(1,8,19)</f>
        <v>40688.047442129631</v>
      </c>
      <c r="C821">
        <v>80</v>
      </c>
      <c r="D821">
        <v>79.946578978999995</v>
      </c>
      <c r="E821">
        <v>50</v>
      </c>
      <c r="F821">
        <v>47.465801239000001</v>
      </c>
      <c r="G821">
        <v>1356.2191161999999</v>
      </c>
      <c r="H821">
        <v>1349.5441894999999</v>
      </c>
      <c r="I821">
        <v>1313.4353027</v>
      </c>
      <c r="J821">
        <v>1305.8804932</v>
      </c>
      <c r="K821">
        <v>2400</v>
      </c>
      <c r="L821">
        <v>0</v>
      </c>
      <c r="M821">
        <v>0</v>
      </c>
      <c r="N821">
        <v>2400</v>
      </c>
    </row>
    <row r="822" spans="1:14" x14ac:dyDescent="0.25">
      <c r="A822">
        <v>389.53992</v>
      </c>
      <c r="B822" s="1">
        <f>DATE(2011,5,25) + TIME(12,57,29)</f>
        <v>40688.539918981478</v>
      </c>
      <c r="C822">
        <v>80</v>
      </c>
      <c r="D822">
        <v>79.946540833</v>
      </c>
      <c r="E822">
        <v>50</v>
      </c>
      <c r="F822">
        <v>47.425334929999998</v>
      </c>
      <c r="G822">
        <v>1356.1906738</v>
      </c>
      <c r="H822">
        <v>1349.5246582</v>
      </c>
      <c r="I822">
        <v>1313.4277344</v>
      </c>
      <c r="J822">
        <v>1305.8709716999999</v>
      </c>
      <c r="K822">
        <v>2400</v>
      </c>
      <c r="L822">
        <v>0</v>
      </c>
      <c r="M822">
        <v>0</v>
      </c>
      <c r="N822">
        <v>2400</v>
      </c>
    </row>
    <row r="823" spans="1:14" x14ac:dyDescent="0.25">
      <c r="A823">
        <v>390.03803900000003</v>
      </c>
      <c r="B823" s="1">
        <f>DATE(2011,5,26) + TIME(0,54,46)</f>
        <v>40689.038032407407</v>
      </c>
      <c r="C823">
        <v>80</v>
      </c>
      <c r="D823">
        <v>79.946495056000003</v>
      </c>
      <c r="E823">
        <v>50</v>
      </c>
      <c r="F823">
        <v>47.384654998999999</v>
      </c>
      <c r="G823">
        <v>1356.1624756000001</v>
      </c>
      <c r="H823">
        <v>1349.505249</v>
      </c>
      <c r="I823">
        <v>1313.4200439000001</v>
      </c>
      <c r="J823">
        <v>1305.8612060999999</v>
      </c>
      <c r="K823">
        <v>2400</v>
      </c>
      <c r="L823">
        <v>0</v>
      </c>
      <c r="M823">
        <v>0</v>
      </c>
      <c r="N823">
        <v>2400</v>
      </c>
    </row>
    <row r="824" spans="1:14" x14ac:dyDescent="0.25">
      <c r="A824">
        <v>390.54297500000001</v>
      </c>
      <c r="B824" s="1">
        <f>DATE(2011,5,26) + TIME(13,1,53)</f>
        <v>40689.542974537035</v>
      </c>
      <c r="C824">
        <v>80</v>
      </c>
      <c r="D824">
        <v>79.946456909000005</v>
      </c>
      <c r="E824">
        <v>50</v>
      </c>
      <c r="F824">
        <v>47.343715668000002</v>
      </c>
      <c r="G824">
        <v>1356.1345214999999</v>
      </c>
      <c r="H824">
        <v>1349.4858397999999</v>
      </c>
      <c r="I824">
        <v>1313.4122314000001</v>
      </c>
      <c r="J824">
        <v>1305.8511963000001</v>
      </c>
      <c r="K824">
        <v>2400</v>
      </c>
      <c r="L824">
        <v>0</v>
      </c>
      <c r="M824">
        <v>0</v>
      </c>
      <c r="N824">
        <v>2400</v>
      </c>
    </row>
    <row r="825" spans="1:14" x14ac:dyDescent="0.25">
      <c r="A825">
        <v>391.055701</v>
      </c>
      <c r="B825" s="1">
        <f>DATE(2011,5,27) + TIME(1,20,12)</f>
        <v>40690.055694444447</v>
      </c>
      <c r="C825">
        <v>80</v>
      </c>
      <c r="D825">
        <v>79.946418761999993</v>
      </c>
      <c r="E825">
        <v>50</v>
      </c>
      <c r="F825">
        <v>47.302455901999998</v>
      </c>
      <c r="G825">
        <v>1356.1065673999999</v>
      </c>
      <c r="H825">
        <v>1349.4665527</v>
      </c>
      <c r="I825">
        <v>1313.4041748</v>
      </c>
      <c r="J825">
        <v>1305.8410644999999</v>
      </c>
      <c r="K825">
        <v>2400</v>
      </c>
      <c r="L825">
        <v>0</v>
      </c>
      <c r="M825">
        <v>0</v>
      </c>
      <c r="N825">
        <v>2400</v>
      </c>
    </row>
    <row r="826" spans="1:14" x14ac:dyDescent="0.25">
      <c r="A826">
        <v>391.57721700000002</v>
      </c>
      <c r="B826" s="1">
        <f>DATE(2011,5,27) + TIME(13,51,11)</f>
        <v>40690.577210648145</v>
      </c>
      <c r="C826">
        <v>80</v>
      </c>
      <c r="D826">
        <v>79.946372986</v>
      </c>
      <c r="E826">
        <v>50</v>
      </c>
      <c r="F826">
        <v>47.260818481000001</v>
      </c>
      <c r="G826">
        <v>1356.0786132999999</v>
      </c>
      <c r="H826">
        <v>1349.4472656</v>
      </c>
      <c r="I826">
        <v>1313.3959961</v>
      </c>
      <c r="J826">
        <v>1305.8306885</v>
      </c>
      <c r="K826">
        <v>2400</v>
      </c>
      <c r="L826">
        <v>0</v>
      </c>
      <c r="M826">
        <v>0</v>
      </c>
      <c r="N826">
        <v>2400</v>
      </c>
    </row>
    <row r="827" spans="1:14" x14ac:dyDescent="0.25">
      <c r="A827">
        <v>392.108679</v>
      </c>
      <c r="B827" s="1">
        <f>DATE(2011,5,28) + TIME(2,36,29)</f>
        <v>40691.108668981484</v>
      </c>
      <c r="C827">
        <v>80</v>
      </c>
      <c r="D827">
        <v>79.946334839000002</v>
      </c>
      <c r="E827">
        <v>50</v>
      </c>
      <c r="F827">
        <v>47.218730927000003</v>
      </c>
      <c r="G827">
        <v>1356.0506591999999</v>
      </c>
      <c r="H827">
        <v>1349.4279785000001</v>
      </c>
      <c r="I827">
        <v>1313.3875731999999</v>
      </c>
      <c r="J827">
        <v>1305.8200684000001</v>
      </c>
      <c r="K827">
        <v>2400</v>
      </c>
      <c r="L827">
        <v>0</v>
      </c>
      <c r="M827">
        <v>0</v>
      </c>
      <c r="N827">
        <v>2400</v>
      </c>
    </row>
    <row r="828" spans="1:14" x14ac:dyDescent="0.25">
      <c r="A828">
        <v>392.65133500000002</v>
      </c>
      <c r="B828" s="1">
        <f>DATE(2011,5,28) + TIME(15,37,55)</f>
        <v>40691.651331018518</v>
      </c>
      <c r="C828">
        <v>80</v>
      </c>
      <c r="D828">
        <v>79.946296692000004</v>
      </c>
      <c r="E828">
        <v>50</v>
      </c>
      <c r="F828">
        <v>47.176116942999997</v>
      </c>
      <c r="G828">
        <v>1356.0227050999999</v>
      </c>
      <c r="H828">
        <v>1349.4086914</v>
      </c>
      <c r="I828">
        <v>1313.3790283000001</v>
      </c>
      <c r="J828">
        <v>1305.809082</v>
      </c>
      <c r="K828">
        <v>2400</v>
      </c>
      <c r="L828">
        <v>0</v>
      </c>
      <c r="M828">
        <v>0</v>
      </c>
      <c r="N828">
        <v>2400</v>
      </c>
    </row>
    <row r="829" spans="1:14" x14ac:dyDescent="0.25">
      <c r="A829">
        <v>393.206571</v>
      </c>
      <c r="B829" s="1">
        <f>DATE(2011,5,29) + TIME(4,57,27)</f>
        <v>40692.206562500003</v>
      </c>
      <c r="C829">
        <v>80</v>
      </c>
      <c r="D829">
        <v>79.946258545000006</v>
      </c>
      <c r="E829">
        <v>50</v>
      </c>
      <c r="F829">
        <v>47.132892609000002</v>
      </c>
      <c r="G829">
        <v>1355.9945068</v>
      </c>
      <c r="H829">
        <v>1349.3891602000001</v>
      </c>
      <c r="I829">
        <v>1313.3701172000001</v>
      </c>
      <c r="J829">
        <v>1305.7978516000001</v>
      </c>
      <c r="K829">
        <v>2400</v>
      </c>
      <c r="L829">
        <v>0</v>
      </c>
      <c r="M829">
        <v>0</v>
      </c>
      <c r="N829">
        <v>2400</v>
      </c>
    </row>
    <row r="830" spans="1:14" x14ac:dyDescent="0.25">
      <c r="A830">
        <v>393.76783899999998</v>
      </c>
      <c r="B830" s="1">
        <f>DATE(2011,5,29) + TIME(18,25,41)</f>
        <v>40692.767835648148</v>
      </c>
      <c r="C830">
        <v>80</v>
      </c>
      <c r="D830">
        <v>79.946220397999994</v>
      </c>
      <c r="E830">
        <v>50</v>
      </c>
      <c r="F830">
        <v>47.089340210000003</v>
      </c>
      <c r="G830">
        <v>1355.9661865</v>
      </c>
      <c r="H830">
        <v>1349.3696289</v>
      </c>
      <c r="I830">
        <v>1313.3610839999999</v>
      </c>
      <c r="J830">
        <v>1305.7861327999999</v>
      </c>
      <c r="K830">
        <v>2400</v>
      </c>
      <c r="L830">
        <v>0</v>
      </c>
      <c r="M830">
        <v>0</v>
      </c>
      <c r="N830">
        <v>2400</v>
      </c>
    </row>
    <row r="831" spans="1:14" x14ac:dyDescent="0.25">
      <c r="A831">
        <v>394.33303899999999</v>
      </c>
      <c r="B831" s="1">
        <f>DATE(2011,5,30) + TIME(7,59,34)</f>
        <v>40693.333032407405</v>
      </c>
      <c r="C831">
        <v>80</v>
      </c>
      <c r="D831">
        <v>79.946182250999996</v>
      </c>
      <c r="E831">
        <v>50</v>
      </c>
      <c r="F831">
        <v>47.045619965</v>
      </c>
      <c r="G831">
        <v>1355.9379882999999</v>
      </c>
      <c r="H831">
        <v>1349.3500977000001</v>
      </c>
      <c r="I831">
        <v>1313.3516846</v>
      </c>
      <c r="J831">
        <v>1305.7742920000001</v>
      </c>
      <c r="K831">
        <v>2400</v>
      </c>
      <c r="L831">
        <v>0</v>
      </c>
      <c r="M831">
        <v>0</v>
      </c>
      <c r="N831">
        <v>2400</v>
      </c>
    </row>
    <row r="832" spans="1:14" x14ac:dyDescent="0.25">
      <c r="A832">
        <v>394.90336300000001</v>
      </c>
      <c r="B832" s="1">
        <f>DATE(2011,5,30) + TIME(21,40,50)</f>
        <v>40693.903356481482</v>
      </c>
      <c r="C832">
        <v>80</v>
      </c>
      <c r="D832">
        <v>79.946144103999998</v>
      </c>
      <c r="E832">
        <v>50</v>
      </c>
      <c r="F832">
        <v>47.001739502</v>
      </c>
      <c r="G832">
        <v>1355.9100341999999</v>
      </c>
      <c r="H832">
        <v>1349.3308105000001</v>
      </c>
      <c r="I832">
        <v>1313.3421631000001</v>
      </c>
      <c r="J832">
        <v>1305.762207</v>
      </c>
      <c r="K832">
        <v>2400</v>
      </c>
      <c r="L832">
        <v>0</v>
      </c>
      <c r="M832">
        <v>0</v>
      </c>
      <c r="N832">
        <v>2400</v>
      </c>
    </row>
    <row r="833" spans="1:14" x14ac:dyDescent="0.25">
      <c r="A833">
        <v>395.48026199999998</v>
      </c>
      <c r="B833" s="1">
        <f>DATE(2011,5,31) + TIME(11,31,34)</f>
        <v>40694.480254629627</v>
      </c>
      <c r="C833">
        <v>80</v>
      </c>
      <c r="D833">
        <v>79.946105957</v>
      </c>
      <c r="E833">
        <v>50</v>
      </c>
      <c r="F833">
        <v>46.95765686</v>
      </c>
      <c r="G833">
        <v>1355.8823242000001</v>
      </c>
      <c r="H833">
        <v>1349.3116454999999</v>
      </c>
      <c r="I833">
        <v>1313.3325195</v>
      </c>
      <c r="J833">
        <v>1305.7497559000001</v>
      </c>
      <c r="K833">
        <v>2400</v>
      </c>
      <c r="L833">
        <v>0</v>
      </c>
      <c r="M833">
        <v>0</v>
      </c>
      <c r="N833">
        <v>2400</v>
      </c>
    </row>
    <row r="834" spans="1:14" x14ac:dyDescent="0.25">
      <c r="A834">
        <v>396</v>
      </c>
      <c r="B834" s="1">
        <f>DATE(2011,6,1) + TIME(0,0,0)</f>
        <v>40695</v>
      </c>
      <c r="C834">
        <v>80</v>
      </c>
      <c r="D834">
        <v>79.946075438999998</v>
      </c>
      <c r="E834">
        <v>50</v>
      </c>
      <c r="F834">
        <v>46.916435241999999</v>
      </c>
      <c r="G834">
        <v>1355.8546143000001</v>
      </c>
      <c r="H834">
        <v>1349.2923584</v>
      </c>
      <c r="I834">
        <v>1313.3226318</v>
      </c>
      <c r="J834">
        <v>1305.7373047000001</v>
      </c>
      <c r="K834">
        <v>2400</v>
      </c>
      <c r="L834">
        <v>0</v>
      </c>
      <c r="M834">
        <v>0</v>
      </c>
      <c r="N834">
        <v>2400</v>
      </c>
    </row>
    <row r="835" spans="1:14" x14ac:dyDescent="0.25">
      <c r="A835">
        <v>396.58450800000003</v>
      </c>
      <c r="B835" s="1">
        <f>DATE(2011,6,1) + TIME(14,1,41)</f>
        <v>40695.584502314814</v>
      </c>
      <c r="C835">
        <v>80</v>
      </c>
      <c r="D835">
        <v>79.946037292</v>
      </c>
      <c r="E835">
        <v>50</v>
      </c>
      <c r="F835">
        <v>46.872898102000001</v>
      </c>
      <c r="G835">
        <v>1355.8300781</v>
      </c>
      <c r="H835">
        <v>1349.2755127</v>
      </c>
      <c r="I835">
        <v>1313.3137207</v>
      </c>
      <c r="J835">
        <v>1305.7255858999999</v>
      </c>
      <c r="K835">
        <v>2400</v>
      </c>
      <c r="L835">
        <v>0</v>
      </c>
      <c r="M835">
        <v>0</v>
      </c>
      <c r="N835">
        <v>2400</v>
      </c>
    </row>
    <row r="836" spans="1:14" x14ac:dyDescent="0.25">
      <c r="A836">
        <v>397.18703499999998</v>
      </c>
      <c r="B836" s="1">
        <f>DATE(2011,6,2) + TIME(4,29,19)</f>
        <v>40696.187025462961</v>
      </c>
      <c r="C836">
        <v>80</v>
      </c>
      <c r="D836">
        <v>79.946006775000001</v>
      </c>
      <c r="E836">
        <v>50</v>
      </c>
      <c r="F836">
        <v>46.828433990000001</v>
      </c>
      <c r="G836">
        <v>1355.8028564000001</v>
      </c>
      <c r="H836">
        <v>1349.2565918</v>
      </c>
      <c r="I836">
        <v>1313.3035889</v>
      </c>
      <c r="J836">
        <v>1305.7125243999999</v>
      </c>
      <c r="K836">
        <v>2400</v>
      </c>
      <c r="L836">
        <v>0</v>
      </c>
      <c r="M836">
        <v>0</v>
      </c>
      <c r="N836">
        <v>2400</v>
      </c>
    </row>
    <row r="837" spans="1:14" x14ac:dyDescent="0.25">
      <c r="A837">
        <v>397.80099899999999</v>
      </c>
      <c r="B837" s="1">
        <f>DATE(2011,6,2) + TIME(19,13,26)</f>
        <v>40696.800995370373</v>
      </c>
      <c r="C837">
        <v>80</v>
      </c>
      <c r="D837">
        <v>79.945976256999998</v>
      </c>
      <c r="E837">
        <v>50</v>
      </c>
      <c r="F837">
        <v>46.783294677999997</v>
      </c>
      <c r="G837">
        <v>1355.7752685999999</v>
      </c>
      <c r="H837">
        <v>1349.2374268000001</v>
      </c>
      <c r="I837">
        <v>1313.2930908000001</v>
      </c>
      <c r="J837">
        <v>1305.6989745999999</v>
      </c>
      <c r="K837">
        <v>2400</v>
      </c>
      <c r="L837">
        <v>0</v>
      </c>
      <c r="M837">
        <v>0</v>
      </c>
      <c r="N837">
        <v>2400</v>
      </c>
    </row>
    <row r="838" spans="1:14" x14ac:dyDescent="0.25">
      <c r="A838">
        <v>398.42677400000002</v>
      </c>
      <c r="B838" s="1">
        <f>DATE(2011,6,3) + TIME(10,14,33)</f>
        <v>40697.426770833335</v>
      </c>
      <c r="C838">
        <v>80</v>
      </c>
      <c r="D838">
        <v>79.94593811</v>
      </c>
      <c r="E838">
        <v>50</v>
      </c>
      <c r="F838">
        <v>46.737518311000002</v>
      </c>
      <c r="G838">
        <v>1355.7475586</v>
      </c>
      <c r="H838">
        <v>1349.2182617000001</v>
      </c>
      <c r="I838">
        <v>1313.2821045000001</v>
      </c>
      <c r="J838">
        <v>1305.6849365</v>
      </c>
      <c r="K838">
        <v>2400</v>
      </c>
      <c r="L838">
        <v>0</v>
      </c>
      <c r="M838">
        <v>0</v>
      </c>
      <c r="N838">
        <v>2400</v>
      </c>
    </row>
    <row r="839" spans="1:14" x14ac:dyDescent="0.25">
      <c r="A839">
        <v>399.05621600000001</v>
      </c>
      <c r="B839" s="1">
        <f>DATE(2011,6,4) + TIME(1,20,57)</f>
        <v>40698.056215277778</v>
      </c>
      <c r="C839">
        <v>80</v>
      </c>
      <c r="D839">
        <v>79.945907593000001</v>
      </c>
      <c r="E839">
        <v>50</v>
      </c>
      <c r="F839">
        <v>46.691493987999998</v>
      </c>
      <c r="G839">
        <v>1355.7197266000001</v>
      </c>
      <c r="H839">
        <v>1349.1989745999999</v>
      </c>
      <c r="I839">
        <v>1313.270874</v>
      </c>
      <c r="J839">
        <v>1305.6704102000001</v>
      </c>
      <c r="K839">
        <v>2400</v>
      </c>
      <c r="L839">
        <v>0</v>
      </c>
      <c r="M839">
        <v>0</v>
      </c>
      <c r="N839">
        <v>2400</v>
      </c>
    </row>
    <row r="840" spans="1:14" x14ac:dyDescent="0.25">
      <c r="A840">
        <v>399.69051899999999</v>
      </c>
      <c r="B840" s="1">
        <f>DATE(2011,6,4) + TIME(16,34,20)</f>
        <v>40698.690509259257</v>
      </c>
      <c r="C840">
        <v>80</v>
      </c>
      <c r="D840">
        <v>79.945877074999999</v>
      </c>
      <c r="E840">
        <v>50</v>
      </c>
      <c r="F840">
        <v>46.645290375000002</v>
      </c>
      <c r="G840">
        <v>1355.6921387</v>
      </c>
      <c r="H840">
        <v>1349.1798096</v>
      </c>
      <c r="I840">
        <v>1313.2595214999999</v>
      </c>
      <c r="J840">
        <v>1305.6556396000001</v>
      </c>
      <c r="K840">
        <v>2400</v>
      </c>
      <c r="L840">
        <v>0</v>
      </c>
      <c r="M840">
        <v>0</v>
      </c>
      <c r="N840">
        <v>2400</v>
      </c>
    </row>
    <row r="841" spans="1:14" x14ac:dyDescent="0.25">
      <c r="A841">
        <v>400.331388</v>
      </c>
      <c r="B841" s="1">
        <f>DATE(2011,6,5) + TIME(7,57,11)</f>
        <v>40699.331377314818</v>
      </c>
      <c r="C841">
        <v>80</v>
      </c>
      <c r="D841">
        <v>79.945846558</v>
      </c>
      <c r="E841">
        <v>50</v>
      </c>
      <c r="F841">
        <v>46.598892212000003</v>
      </c>
      <c r="G841">
        <v>1355.6646728999999</v>
      </c>
      <c r="H841">
        <v>1349.1607666</v>
      </c>
      <c r="I841">
        <v>1313.2479248</v>
      </c>
      <c r="J841">
        <v>1305.640625</v>
      </c>
      <c r="K841">
        <v>2400</v>
      </c>
      <c r="L841">
        <v>0</v>
      </c>
      <c r="M841">
        <v>0</v>
      </c>
      <c r="N841">
        <v>2400</v>
      </c>
    </row>
    <row r="842" spans="1:14" x14ac:dyDescent="0.25">
      <c r="A842">
        <v>400.98091899999997</v>
      </c>
      <c r="B842" s="1">
        <f>DATE(2011,6,5) + TIME(23,32,31)</f>
        <v>40699.980914351851</v>
      </c>
      <c r="C842">
        <v>80</v>
      </c>
      <c r="D842">
        <v>79.945808411000002</v>
      </c>
      <c r="E842">
        <v>50</v>
      </c>
      <c r="F842">
        <v>46.552223206000001</v>
      </c>
      <c r="G842">
        <v>1355.6374512</v>
      </c>
      <c r="H842">
        <v>1349.1418457</v>
      </c>
      <c r="I842">
        <v>1313.2360839999999</v>
      </c>
      <c r="J842">
        <v>1305.6252440999999</v>
      </c>
      <c r="K842">
        <v>2400</v>
      </c>
      <c r="L842">
        <v>0</v>
      </c>
      <c r="M842">
        <v>0</v>
      </c>
      <c r="N842">
        <v>2400</v>
      </c>
    </row>
    <row r="843" spans="1:14" x14ac:dyDescent="0.25">
      <c r="A843">
        <v>401.64042000000001</v>
      </c>
      <c r="B843" s="1">
        <f>DATE(2011,6,6) + TIME(15,22,12)</f>
        <v>40700.640416666669</v>
      </c>
      <c r="C843">
        <v>80</v>
      </c>
      <c r="D843">
        <v>79.945777892999999</v>
      </c>
      <c r="E843">
        <v>50</v>
      </c>
      <c r="F843">
        <v>46.505222320999998</v>
      </c>
      <c r="G843">
        <v>1355.6102295000001</v>
      </c>
      <c r="H843">
        <v>1349.1229248</v>
      </c>
      <c r="I843">
        <v>1313.2238769999999</v>
      </c>
      <c r="J843">
        <v>1305.609375</v>
      </c>
      <c r="K843">
        <v>2400</v>
      </c>
      <c r="L843">
        <v>0</v>
      </c>
      <c r="M843">
        <v>0</v>
      </c>
      <c r="N843">
        <v>2400</v>
      </c>
    </row>
    <row r="844" spans="1:14" x14ac:dyDescent="0.25">
      <c r="A844">
        <v>402.31126699999999</v>
      </c>
      <c r="B844" s="1">
        <f>DATE(2011,6,7) + TIME(7,28,13)</f>
        <v>40701.311261574076</v>
      </c>
      <c r="C844">
        <v>80</v>
      </c>
      <c r="D844">
        <v>79.945755004999995</v>
      </c>
      <c r="E844">
        <v>50</v>
      </c>
      <c r="F844">
        <v>46.457809447999999</v>
      </c>
      <c r="G844">
        <v>1355.5830077999999</v>
      </c>
      <c r="H844">
        <v>1349.1040039</v>
      </c>
      <c r="I844">
        <v>1313.2114257999999</v>
      </c>
      <c r="J844">
        <v>1305.5930175999999</v>
      </c>
      <c r="K844">
        <v>2400</v>
      </c>
      <c r="L844">
        <v>0</v>
      </c>
      <c r="M844">
        <v>0</v>
      </c>
      <c r="N844">
        <v>2400</v>
      </c>
    </row>
    <row r="845" spans="1:14" x14ac:dyDescent="0.25">
      <c r="A845">
        <v>402.99508300000002</v>
      </c>
      <c r="B845" s="1">
        <f>DATE(2011,6,7) + TIME(23,52,55)</f>
        <v>40701.995081018518</v>
      </c>
      <c r="C845">
        <v>80</v>
      </c>
      <c r="D845">
        <v>79.945724487000007</v>
      </c>
      <c r="E845">
        <v>50</v>
      </c>
      <c r="F845">
        <v>46.409889221</v>
      </c>
      <c r="G845">
        <v>1355.5556641000001</v>
      </c>
      <c r="H845">
        <v>1349.0849608999999</v>
      </c>
      <c r="I845">
        <v>1313.1984863</v>
      </c>
      <c r="J845">
        <v>1305.5761719</v>
      </c>
      <c r="K845">
        <v>2400</v>
      </c>
      <c r="L845">
        <v>0</v>
      </c>
      <c r="M845">
        <v>0</v>
      </c>
      <c r="N845">
        <v>2400</v>
      </c>
    </row>
    <row r="846" spans="1:14" x14ac:dyDescent="0.25">
      <c r="A846">
        <v>403.69359800000001</v>
      </c>
      <c r="B846" s="1">
        <f>DATE(2011,6,8) + TIME(16,38,46)</f>
        <v>40702.69358796296</v>
      </c>
      <c r="C846">
        <v>80</v>
      </c>
      <c r="D846">
        <v>79.945693969999994</v>
      </c>
      <c r="E846">
        <v>50</v>
      </c>
      <c r="F846">
        <v>46.361362456999998</v>
      </c>
      <c r="G846">
        <v>1355.5281981999999</v>
      </c>
      <c r="H846">
        <v>1349.065918</v>
      </c>
      <c r="I846">
        <v>1313.1851807</v>
      </c>
      <c r="J846">
        <v>1305.5588379000001</v>
      </c>
      <c r="K846">
        <v>2400</v>
      </c>
      <c r="L846">
        <v>0</v>
      </c>
      <c r="M846">
        <v>0</v>
      </c>
      <c r="N846">
        <v>2400</v>
      </c>
    </row>
    <row r="847" spans="1:14" x14ac:dyDescent="0.25">
      <c r="A847">
        <v>404.39794599999999</v>
      </c>
      <c r="B847" s="1">
        <f>DATE(2011,6,9) + TIME(9,33,2)</f>
        <v>40703.397939814815</v>
      </c>
      <c r="C847">
        <v>80</v>
      </c>
      <c r="D847">
        <v>79.945663452000005</v>
      </c>
      <c r="E847">
        <v>50</v>
      </c>
      <c r="F847">
        <v>46.312541961999997</v>
      </c>
      <c r="G847">
        <v>1355.5006103999999</v>
      </c>
      <c r="H847">
        <v>1349.0466309000001</v>
      </c>
      <c r="I847">
        <v>1313.1715088000001</v>
      </c>
      <c r="J847">
        <v>1305.5407714999999</v>
      </c>
      <c r="K847">
        <v>2400</v>
      </c>
      <c r="L847">
        <v>0</v>
      </c>
      <c r="M847">
        <v>0</v>
      </c>
      <c r="N847">
        <v>2400</v>
      </c>
    </row>
    <row r="848" spans="1:14" x14ac:dyDescent="0.25">
      <c r="A848">
        <v>405.10844900000001</v>
      </c>
      <c r="B848" s="1">
        <f>DATE(2011,6,10) + TIME(2,36,10)</f>
        <v>40704.108449074076</v>
      </c>
      <c r="C848">
        <v>80</v>
      </c>
      <c r="D848">
        <v>79.945640564000001</v>
      </c>
      <c r="E848">
        <v>50</v>
      </c>
      <c r="F848">
        <v>46.263504028</v>
      </c>
      <c r="G848">
        <v>1355.4731445</v>
      </c>
      <c r="H848">
        <v>1349.0274658000001</v>
      </c>
      <c r="I848">
        <v>1313.1574707</v>
      </c>
      <c r="J848">
        <v>1305.5223389</v>
      </c>
      <c r="K848">
        <v>2400</v>
      </c>
      <c r="L848">
        <v>0</v>
      </c>
      <c r="M848">
        <v>0</v>
      </c>
      <c r="N848">
        <v>2400</v>
      </c>
    </row>
    <row r="849" spans="1:14" x14ac:dyDescent="0.25">
      <c r="A849">
        <v>405.82691199999999</v>
      </c>
      <c r="B849" s="1">
        <f>DATE(2011,6,10) + TIME(19,50,45)</f>
        <v>40704.826909722222</v>
      </c>
      <c r="C849">
        <v>80</v>
      </c>
      <c r="D849">
        <v>79.945610045999999</v>
      </c>
      <c r="E849">
        <v>50</v>
      </c>
      <c r="F849">
        <v>46.214229584000002</v>
      </c>
      <c r="G849">
        <v>1355.4459228999999</v>
      </c>
      <c r="H849">
        <v>1349.0084228999999</v>
      </c>
      <c r="I849">
        <v>1313.1431885</v>
      </c>
      <c r="J849">
        <v>1305.5035399999999</v>
      </c>
      <c r="K849">
        <v>2400</v>
      </c>
      <c r="L849">
        <v>0</v>
      </c>
      <c r="M849">
        <v>0</v>
      </c>
      <c r="N849">
        <v>2400</v>
      </c>
    </row>
    <row r="850" spans="1:14" x14ac:dyDescent="0.25">
      <c r="A850">
        <v>406.55455499999999</v>
      </c>
      <c r="B850" s="1">
        <f>DATE(2011,6,11) + TIME(13,18,33)</f>
        <v>40705.554548611108</v>
      </c>
      <c r="C850">
        <v>80</v>
      </c>
      <c r="D850">
        <v>79.945587157999995</v>
      </c>
      <c r="E850">
        <v>50</v>
      </c>
      <c r="F850">
        <v>46.164680480999998</v>
      </c>
      <c r="G850">
        <v>1355.4187012</v>
      </c>
      <c r="H850">
        <v>1348.9893798999999</v>
      </c>
      <c r="I850">
        <v>1313.128418</v>
      </c>
      <c r="J850">
        <v>1305.4841309000001</v>
      </c>
      <c r="K850">
        <v>2400</v>
      </c>
      <c r="L850">
        <v>0</v>
      </c>
      <c r="M850">
        <v>0</v>
      </c>
      <c r="N850">
        <v>2400</v>
      </c>
    </row>
    <row r="851" spans="1:14" x14ac:dyDescent="0.25">
      <c r="A851">
        <v>407.290885</v>
      </c>
      <c r="B851" s="1">
        <f>DATE(2011,6,12) + TIME(6,58,52)</f>
        <v>40706.290879629632</v>
      </c>
      <c r="C851">
        <v>80</v>
      </c>
      <c r="D851">
        <v>79.945556640999996</v>
      </c>
      <c r="E851">
        <v>50</v>
      </c>
      <c r="F851">
        <v>46.114864349000001</v>
      </c>
      <c r="G851">
        <v>1355.3914795000001</v>
      </c>
      <c r="H851">
        <v>1348.9703368999999</v>
      </c>
      <c r="I851">
        <v>1313.1134033000001</v>
      </c>
      <c r="J851">
        <v>1305.4641113</v>
      </c>
      <c r="K851">
        <v>2400</v>
      </c>
      <c r="L851">
        <v>0</v>
      </c>
      <c r="M851">
        <v>0</v>
      </c>
      <c r="N851">
        <v>2400</v>
      </c>
    </row>
    <row r="852" spans="1:14" x14ac:dyDescent="0.25">
      <c r="A852">
        <v>408.03743600000001</v>
      </c>
      <c r="B852" s="1">
        <f>DATE(2011,6,13) + TIME(0,53,54)</f>
        <v>40707.037430555552</v>
      </c>
      <c r="C852">
        <v>80</v>
      </c>
      <c r="D852">
        <v>79.945533752000003</v>
      </c>
      <c r="E852">
        <v>50</v>
      </c>
      <c r="F852">
        <v>46.064720154</v>
      </c>
      <c r="G852">
        <v>1355.3643798999999</v>
      </c>
      <c r="H852">
        <v>1348.9514160000001</v>
      </c>
      <c r="I852">
        <v>1313.0979004000001</v>
      </c>
      <c r="J852">
        <v>1305.4436035000001</v>
      </c>
      <c r="K852">
        <v>2400</v>
      </c>
      <c r="L852">
        <v>0</v>
      </c>
      <c r="M852">
        <v>0</v>
      </c>
      <c r="N852">
        <v>2400</v>
      </c>
    </row>
    <row r="853" spans="1:14" x14ac:dyDescent="0.25">
      <c r="A853">
        <v>408.79585400000002</v>
      </c>
      <c r="B853" s="1">
        <f>DATE(2011,6,13) + TIME(19,6,1)</f>
        <v>40707.795844907407</v>
      </c>
      <c r="C853">
        <v>80</v>
      </c>
      <c r="D853">
        <v>79.945510863999999</v>
      </c>
      <c r="E853">
        <v>50</v>
      </c>
      <c r="F853">
        <v>46.014171599999997</v>
      </c>
      <c r="G853">
        <v>1355.3372803</v>
      </c>
      <c r="H853">
        <v>1348.9323730000001</v>
      </c>
      <c r="I853">
        <v>1313.0820312000001</v>
      </c>
      <c r="J853">
        <v>1305.4224853999999</v>
      </c>
      <c r="K853">
        <v>2400</v>
      </c>
      <c r="L853">
        <v>0</v>
      </c>
      <c r="M853">
        <v>0</v>
      </c>
      <c r="N853">
        <v>2400</v>
      </c>
    </row>
    <row r="854" spans="1:14" x14ac:dyDescent="0.25">
      <c r="A854">
        <v>409.56796300000002</v>
      </c>
      <c r="B854" s="1">
        <f>DATE(2011,6,14) + TIME(13,37,51)</f>
        <v>40708.56795138889</v>
      </c>
      <c r="C854">
        <v>80</v>
      </c>
      <c r="D854">
        <v>79.945487975999995</v>
      </c>
      <c r="E854">
        <v>50</v>
      </c>
      <c r="F854">
        <v>45.963123322000001</v>
      </c>
      <c r="G854">
        <v>1355.3101807</v>
      </c>
      <c r="H854">
        <v>1348.9133300999999</v>
      </c>
      <c r="I854">
        <v>1313.0656738</v>
      </c>
      <c r="J854">
        <v>1305.4006348</v>
      </c>
      <c r="K854">
        <v>2400</v>
      </c>
      <c r="L854">
        <v>0</v>
      </c>
      <c r="M854">
        <v>0</v>
      </c>
      <c r="N854">
        <v>2400</v>
      </c>
    </row>
    <row r="855" spans="1:14" x14ac:dyDescent="0.25">
      <c r="A855">
        <v>410.35574000000003</v>
      </c>
      <c r="B855" s="1">
        <f>DATE(2011,6,15) + TIME(8,32,15)</f>
        <v>40709.355729166666</v>
      </c>
      <c r="C855">
        <v>80</v>
      </c>
      <c r="D855">
        <v>79.945465088000006</v>
      </c>
      <c r="E855">
        <v>50</v>
      </c>
      <c r="F855">
        <v>45.911460876</v>
      </c>
      <c r="G855">
        <v>1355.2828368999999</v>
      </c>
      <c r="H855">
        <v>1348.8941649999999</v>
      </c>
      <c r="I855">
        <v>1313.0488281</v>
      </c>
      <c r="J855">
        <v>1305.3780518000001</v>
      </c>
      <c r="K855">
        <v>2400</v>
      </c>
      <c r="L855">
        <v>0</v>
      </c>
      <c r="M855">
        <v>0</v>
      </c>
      <c r="N855">
        <v>2400</v>
      </c>
    </row>
    <row r="856" spans="1:14" x14ac:dyDescent="0.25">
      <c r="A856">
        <v>411.15484199999997</v>
      </c>
      <c r="B856" s="1">
        <f>DATE(2011,6,16) + TIME(3,42,58)</f>
        <v>40710.15483796296</v>
      </c>
      <c r="C856">
        <v>80</v>
      </c>
      <c r="D856">
        <v>79.945442200000002</v>
      </c>
      <c r="E856">
        <v>50</v>
      </c>
      <c r="F856">
        <v>45.859294890999998</v>
      </c>
      <c r="G856">
        <v>1355.2554932</v>
      </c>
      <c r="H856">
        <v>1348.8748779</v>
      </c>
      <c r="I856">
        <v>1313.0313721</v>
      </c>
      <c r="J856">
        <v>1305.3546143000001</v>
      </c>
      <c r="K856">
        <v>2400</v>
      </c>
      <c r="L856">
        <v>0</v>
      </c>
      <c r="M856">
        <v>0</v>
      </c>
      <c r="N856">
        <v>2400</v>
      </c>
    </row>
    <row r="857" spans="1:14" x14ac:dyDescent="0.25">
      <c r="A857">
        <v>411.96015499999999</v>
      </c>
      <c r="B857" s="1">
        <f>DATE(2011,6,16) + TIME(23,2,37)</f>
        <v>40710.960150462961</v>
      </c>
      <c r="C857">
        <v>80</v>
      </c>
      <c r="D857">
        <v>79.945419311999999</v>
      </c>
      <c r="E857">
        <v>50</v>
      </c>
      <c r="F857">
        <v>45.806831359999997</v>
      </c>
      <c r="G857">
        <v>1355.2280272999999</v>
      </c>
      <c r="H857">
        <v>1348.8555908000001</v>
      </c>
      <c r="I857">
        <v>1313.0134277</v>
      </c>
      <c r="J857">
        <v>1305.3304443</v>
      </c>
      <c r="K857">
        <v>2400</v>
      </c>
      <c r="L857">
        <v>0</v>
      </c>
      <c r="M857">
        <v>0</v>
      </c>
      <c r="N857">
        <v>2400</v>
      </c>
    </row>
    <row r="858" spans="1:14" x14ac:dyDescent="0.25">
      <c r="A858">
        <v>412.77369900000002</v>
      </c>
      <c r="B858" s="1">
        <f>DATE(2011,6,17) + TIME(18,34,7)</f>
        <v>40711.773692129631</v>
      </c>
      <c r="C858">
        <v>80</v>
      </c>
      <c r="D858">
        <v>79.945404053000004</v>
      </c>
      <c r="E858">
        <v>50</v>
      </c>
      <c r="F858">
        <v>45.754093169999997</v>
      </c>
      <c r="G858">
        <v>1355.2008057</v>
      </c>
      <c r="H858">
        <v>1348.8364257999999</v>
      </c>
      <c r="I858">
        <v>1312.9949951000001</v>
      </c>
      <c r="J858">
        <v>1305.3056641000001</v>
      </c>
      <c r="K858">
        <v>2400</v>
      </c>
      <c r="L858">
        <v>0</v>
      </c>
      <c r="M858">
        <v>0</v>
      </c>
      <c r="N858">
        <v>2400</v>
      </c>
    </row>
    <row r="859" spans="1:14" x14ac:dyDescent="0.25">
      <c r="A859">
        <v>413.59899799999999</v>
      </c>
      <c r="B859" s="1">
        <f>DATE(2011,6,18) + TIME(14,22,33)</f>
        <v>40712.598993055559</v>
      </c>
      <c r="C859">
        <v>80</v>
      </c>
      <c r="D859">
        <v>79.945381165000001</v>
      </c>
      <c r="E859">
        <v>50</v>
      </c>
      <c r="F859">
        <v>45.700981140000003</v>
      </c>
      <c r="G859">
        <v>1355.1735839999999</v>
      </c>
      <c r="H859">
        <v>1348.8172606999999</v>
      </c>
      <c r="I859">
        <v>1312.9760742000001</v>
      </c>
      <c r="J859">
        <v>1305.2802733999999</v>
      </c>
      <c r="K859">
        <v>2400</v>
      </c>
      <c r="L859">
        <v>0</v>
      </c>
      <c r="M859">
        <v>0</v>
      </c>
      <c r="N859">
        <v>2400</v>
      </c>
    </row>
    <row r="860" spans="1:14" x14ac:dyDescent="0.25">
      <c r="A860">
        <v>414.43784699999998</v>
      </c>
      <c r="B860" s="1">
        <f>DATE(2011,6,19) + TIME(10,30,29)</f>
        <v>40713.437835648147</v>
      </c>
      <c r="C860">
        <v>80</v>
      </c>
      <c r="D860">
        <v>79.945358275999993</v>
      </c>
      <c r="E860">
        <v>50</v>
      </c>
      <c r="F860">
        <v>45.647392273000001</v>
      </c>
      <c r="G860">
        <v>1355.1463623</v>
      </c>
      <c r="H860">
        <v>1348.7979736</v>
      </c>
      <c r="I860">
        <v>1312.9566649999999</v>
      </c>
      <c r="J860">
        <v>1305.2539062000001</v>
      </c>
      <c r="K860">
        <v>2400</v>
      </c>
      <c r="L860">
        <v>0</v>
      </c>
      <c r="M860">
        <v>0</v>
      </c>
      <c r="N860">
        <v>2400</v>
      </c>
    </row>
    <row r="861" spans="1:14" x14ac:dyDescent="0.25">
      <c r="A861">
        <v>415.288252</v>
      </c>
      <c r="B861" s="1">
        <f>DATE(2011,6,20) + TIME(6,55,4)</f>
        <v>40714.288240740738</v>
      </c>
      <c r="C861">
        <v>80</v>
      </c>
      <c r="D861">
        <v>79.945343018000003</v>
      </c>
      <c r="E861">
        <v>50</v>
      </c>
      <c r="F861">
        <v>45.593345642000003</v>
      </c>
      <c r="G861">
        <v>1355.1191406</v>
      </c>
      <c r="H861">
        <v>1348.7786865</v>
      </c>
      <c r="I861">
        <v>1312.9366454999999</v>
      </c>
      <c r="J861">
        <v>1305.2266846</v>
      </c>
      <c r="K861">
        <v>2400</v>
      </c>
      <c r="L861">
        <v>0</v>
      </c>
      <c r="M861">
        <v>0</v>
      </c>
      <c r="N861">
        <v>2400</v>
      </c>
    </row>
    <row r="862" spans="1:14" x14ac:dyDescent="0.25">
      <c r="A862">
        <v>416.14054099999998</v>
      </c>
      <c r="B862" s="1">
        <f>DATE(2011,6,21) + TIME(3,22,22)</f>
        <v>40715.140532407408</v>
      </c>
      <c r="C862">
        <v>80</v>
      </c>
      <c r="D862">
        <v>79.945327758999994</v>
      </c>
      <c r="E862">
        <v>50</v>
      </c>
      <c r="F862">
        <v>45.539154052999997</v>
      </c>
      <c r="G862">
        <v>1355.0919189000001</v>
      </c>
      <c r="H862">
        <v>1348.7593993999999</v>
      </c>
      <c r="I862">
        <v>1312.9160156</v>
      </c>
      <c r="J862">
        <v>1305.1986084</v>
      </c>
      <c r="K862">
        <v>2400</v>
      </c>
      <c r="L862">
        <v>0</v>
      </c>
      <c r="M862">
        <v>0</v>
      </c>
      <c r="N862">
        <v>2400</v>
      </c>
    </row>
    <row r="863" spans="1:14" x14ac:dyDescent="0.25">
      <c r="A863">
        <v>416.997255</v>
      </c>
      <c r="B863" s="1">
        <f>DATE(2011,6,21) + TIME(23,56,2)</f>
        <v>40715.997245370374</v>
      </c>
      <c r="C863">
        <v>80</v>
      </c>
      <c r="D863">
        <v>79.945304871000005</v>
      </c>
      <c r="E863">
        <v>50</v>
      </c>
      <c r="F863">
        <v>45.484882355000003</v>
      </c>
      <c r="G863">
        <v>1355.0649414</v>
      </c>
      <c r="H863">
        <v>1348.7403564000001</v>
      </c>
      <c r="I863">
        <v>1312.8950195</v>
      </c>
      <c r="J863">
        <v>1305.1700439000001</v>
      </c>
      <c r="K863">
        <v>2400</v>
      </c>
      <c r="L863">
        <v>0</v>
      </c>
      <c r="M863">
        <v>0</v>
      </c>
      <c r="N863">
        <v>2400</v>
      </c>
    </row>
    <row r="864" spans="1:14" x14ac:dyDescent="0.25">
      <c r="A864">
        <v>417.86147599999998</v>
      </c>
      <c r="B864" s="1">
        <f>DATE(2011,6,22) + TIME(20,40,31)</f>
        <v>40716.86146990741</v>
      </c>
      <c r="C864">
        <v>80</v>
      </c>
      <c r="D864">
        <v>79.945289611999996</v>
      </c>
      <c r="E864">
        <v>50</v>
      </c>
      <c r="F864">
        <v>45.430450438999998</v>
      </c>
      <c r="G864">
        <v>1355.0382079999999</v>
      </c>
      <c r="H864">
        <v>1348.7213135</v>
      </c>
      <c r="I864">
        <v>1312.8736572</v>
      </c>
      <c r="J864">
        <v>1305.140625</v>
      </c>
      <c r="K864">
        <v>2400</v>
      </c>
      <c r="L864">
        <v>0</v>
      </c>
      <c r="M864">
        <v>0</v>
      </c>
      <c r="N864">
        <v>2400</v>
      </c>
    </row>
    <row r="865" spans="1:14" x14ac:dyDescent="0.25">
      <c r="A865">
        <v>418.73522000000003</v>
      </c>
      <c r="B865" s="1">
        <f>DATE(2011,6,23) + TIME(17,38,42)</f>
        <v>40717.735208333332</v>
      </c>
      <c r="C865">
        <v>80</v>
      </c>
      <c r="D865">
        <v>79.945274353000002</v>
      </c>
      <c r="E865">
        <v>50</v>
      </c>
      <c r="F865">
        <v>45.375766753999997</v>
      </c>
      <c r="G865">
        <v>1355.0114745999999</v>
      </c>
      <c r="H865">
        <v>1348.7023925999999</v>
      </c>
      <c r="I865">
        <v>1312.8516846</v>
      </c>
      <c r="J865">
        <v>1305.1104736</v>
      </c>
      <c r="K865">
        <v>2400</v>
      </c>
      <c r="L865">
        <v>0</v>
      </c>
      <c r="M865">
        <v>0</v>
      </c>
      <c r="N865">
        <v>2400</v>
      </c>
    </row>
    <row r="866" spans="1:14" x14ac:dyDescent="0.25">
      <c r="A866">
        <v>419.62065200000001</v>
      </c>
      <c r="B866" s="1">
        <f>DATE(2011,6,24) + TIME(14,53,44)</f>
        <v>40718.620648148149</v>
      </c>
      <c r="C866">
        <v>80</v>
      </c>
      <c r="D866">
        <v>79.945259093999994</v>
      </c>
      <c r="E866">
        <v>50</v>
      </c>
      <c r="F866">
        <v>45.320709229000002</v>
      </c>
      <c r="G866">
        <v>1354.9849853999999</v>
      </c>
      <c r="H866">
        <v>1348.6834716999999</v>
      </c>
      <c r="I866">
        <v>1312.8292236</v>
      </c>
      <c r="J866">
        <v>1305.0794678</v>
      </c>
      <c r="K866">
        <v>2400</v>
      </c>
      <c r="L866">
        <v>0</v>
      </c>
      <c r="M866">
        <v>0</v>
      </c>
      <c r="N866">
        <v>2400</v>
      </c>
    </row>
    <row r="867" spans="1:14" x14ac:dyDescent="0.25">
      <c r="A867">
        <v>420.51965100000001</v>
      </c>
      <c r="B867" s="1">
        <f>DATE(2011,6,25) + TIME(12,28,17)</f>
        <v>40719.519641203704</v>
      </c>
      <c r="C867">
        <v>80</v>
      </c>
      <c r="D867">
        <v>79.945251464999998</v>
      </c>
      <c r="E867">
        <v>50</v>
      </c>
      <c r="F867">
        <v>45.265159607000001</v>
      </c>
      <c r="G867">
        <v>1354.958374</v>
      </c>
      <c r="H867">
        <v>1348.6645507999999</v>
      </c>
      <c r="I867">
        <v>1312.8060303</v>
      </c>
      <c r="J867">
        <v>1305.0474853999999</v>
      </c>
      <c r="K867">
        <v>2400</v>
      </c>
      <c r="L867">
        <v>0</v>
      </c>
      <c r="M867">
        <v>0</v>
      </c>
      <c r="N867">
        <v>2400</v>
      </c>
    </row>
    <row r="868" spans="1:14" x14ac:dyDescent="0.25">
      <c r="A868">
        <v>421.43444299999999</v>
      </c>
      <c r="B868" s="1">
        <f>DATE(2011,6,26) + TIME(10,25,35)</f>
        <v>40720.434432870374</v>
      </c>
      <c r="C868">
        <v>80</v>
      </c>
      <c r="D868">
        <v>79.945236206000004</v>
      </c>
      <c r="E868">
        <v>50</v>
      </c>
      <c r="F868">
        <v>45.208980560000001</v>
      </c>
      <c r="G868">
        <v>1354.9317627</v>
      </c>
      <c r="H868">
        <v>1348.6455077999999</v>
      </c>
      <c r="I868">
        <v>1312.7821045000001</v>
      </c>
      <c r="J868">
        <v>1305.0145264</v>
      </c>
      <c r="K868">
        <v>2400</v>
      </c>
      <c r="L868">
        <v>0</v>
      </c>
      <c r="M868">
        <v>0</v>
      </c>
      <c r="N868">
        <v>2400</v>
      </c>
    </row>
    <row r="869" spans="1:14" x14ac:dyDescent="0.25">
      <c r="A869">
        <v>422.36742299999997</v>
      </c>
      <c r="B869" s="1">
        <f>DATE(2011,6,27) + TIME(8,49,5)</f>
        <v>40721.367418981485</v>
      </c>
      <c r="C869">
        <v>80</v>
      </c>
      <c r="D869">
        <v>79.945228576999995</v>
      </c>
      <c r="E869">
        <v>50</v>
      </c>
      <c r="F869">
        <v>45.152030945</v>
      </c>
      <c r="G869">
        <v>1354.9050293</v>
      </c>
      <c r="H869">
        <v>1348.6263428</v>
      </c>
      <c r="I869">
        <v>1312.7574463000001</v>
      </c>
      <c r="J869">
        <v>1304.9802245999999</v>
      </c>
      <c r="K869">
        <v>2400</v>
      </c>
      <c r="L869">
        <v>0</v>
      </c>
      <c r="M869">
        <v>0</v>
      </c>
      <c r="N869">
        <v>2400</v>
      </c>
    </row>
    <row r="870" spans="1:14" x14ac:dyDescent="0.25">
      <c r="A870">
        <v>423.31489699999997</v>
      </c>
      <c r="B870" s="1">
        <f>DATE(2011,6,28) + TIME(7,33,27)</f>
        <v>40722.314895833333</v>
      </c>
      <c r="C870">
        <v>80</v>
      </c>
      <c r="D870">
        <v>79.945213318</v>
      </c>
      <c r="E870">
        <v>50</v>
      </c>
      <c r="F870">
        <v>45.094348906999997</v>
      </c>
      <c r="G870">
        <v>1354.8780518000001</v>
      </c>
      <c r="H870">
        <v>1348.6071777</v>
      </c>
      <c r="I870">
        <v>1312.7319336</v>
      </c>
      <c r="J870">
        <v>1304.9447021000001</v>
      </c>
      <c r="K870">
        <v>2400</v>
      </c>
      <c r="L870">
        <v>0</v>
      </c>
      <c r="M870">
        <v>0</v>
      </c>
      <c r="N870">
        <v>2400</v>
      </c>
    </row>
    <row r="871" spans="1:14" x14ac:dyDescent="0.25">
      <c r="A871">
        <v>424.27312599999999</v>
      </c>
      <c r="B871" s="1">
        <f>DATE(2011,6,29) + TIME(6,33,18)</f>
        <v>40723.273125</v>
      </c>
      <c r="C871">
        <v>80</v>
      </c>
      <c r="D871">
        <v>79.945205688000001</v>
      </c>
      <c r="E871">
        <v>50</v>
      </c>
      <c r="F871">
        <v>45.036052703999999</v>
      </c>
      <c r="G871">
        <v>1354.8510742000001</v>
      </c>
      <c r="H871">
        <v>1348.5877685999999</v>
      </c>
      <c r="I871">
        <v>1312.7056885</v>
      </c>
      <c r="J871">
        <v>1304.9079589999999</v>
      </c>
      <c r="K871">
        <v>2400</v>
      </c>
      <c r="L871">
        <v>0</v>
      </c>
      <c r="M871">
        <v>0</v>
      </c>
      <c r="N871">
        <v>2400</v>
      </c>
    </row>
    <row r="872" spans="1:14" x14ac:dyDescent="0.25">
      <c r="A872">
        <v>425.244552</v>
      </c>
      <c r="B872" s="1">
        <f>DATE(2011,6,30) + TIME(5,52,9)</f>
        <v>40724.24454861111</v>
      </c>
      <c r="C872">
        <v>80</v>
      </c>
      <c r="D872">
        <v>79.945198059000006</v>
      </c>
      <c r="E872">
        <v>50</v>
      </c>
      <c r="F872">
        <v>44.977130889999998</v>
      </c>
      <c r="G872">
        <v>1354.8240966999999</v>
      </c>
      <c r="H872">
        <v>1348.5683594</v>
      </c>
      <c r="I872">
        <v>1312.6785889</v>
      </c>
      <c r="J872">
        <v>1304.8701172000001</v>
      </c>
      <c r="K872">
        <v>2400</v>
      </c>
      <c r="L872">
        <v>0</v>
      </c>
      <c r="M872">
        <v>0</v>
      </c>
      <c r="N872">
        <v>2400</v>
      </c>
    </row>
    <row r="873" spans="1:14" x14ac:dyDescent="0.25">
      <c r="A873">
        <v>426</v>
      </c>
      <c r="B873" s="1">
        <f>DATE(2011,7,1) + TIME(0,0,0)</f>
        <v>40725</v>
      </c>
      <c r="C873">
        <v>80</v>
      </c>
      <c r="D873">
        <v>79.945182799999998</v>
      </c>
      <c r="E873">
        <v>50</v>
      </c>
      <c r="F873">
        <v>44.925109863000003</v>
      </c>
      <c r="G873">
        <v>1354.7969971</v>
      </c>
      <c r="H873">
        <v>1348.5489502</v>
      </c>
      <c r="I873">
        <v>1312.6508789</v>
      </c>
      <c r="J873">
        <v>1304.8322754000001</v>
      </c>
      <c r="K873">
        <v>2400</v>
      </c>
      <c r="L873">
        <v>0</v>
      </c>
      <c r="M873">
        <v>0</v>
      </c>
      <c r="N873">
        <v>2400</v>
      </c>
    </row>
    <row r="874" spans="1:14" x14ac:dyDescent="0.25">
      <c r="A874">
        <v>426.98712</v>
      </c>
      <c r="B874" s="1">
        <f>DATE(2011,7,1) + TIME(23,41,27)</f>
        <v>40725.987118055556</v>
      </c>
      <c r="C874">
        <v>80</v>
      </c>
      <c r="D874">
        <v>79.945175171000002</v>
      </c>
      <c r="E874">
        <v>50</v>
      </c>
      <c r="F874">
        <v>44.868568420000003</v>
      </c>
      <c r="G874">
        <v>1354.7763672000001</v>
      </c>
      <c r="H874">
        <v>1348.5340576000001</v>
      </c>
      <c r="I874">
        <v>1312.6282959</v>
      </c>
      <c r="J874">
        <v>1304.7990723</v>
      </c>
      <c r="K874">
        <v>2400</v>
      </c>
      <c r="L874">
        <v>0</v>
      </c>
      <c r="M874">
        <v>0</v>
      </c>
      <c r="N874">
        <v>2400</v>
      </c>
    </row>
    <row r="875" spans="1:14" x14ac:dyDescent="0.25">
      <c r="A875">
        <v>427.998017</v>
      </c>
      <c r="B875" s="1">
        <f>DATE(2011,7,2) + TIME(23,57,8)</f>
        <v>40726.99800925926</v>
      </c>
      <c r="C875">
        <v>80</v>
      </c>
      <c r="D875">
        <v>79.945175171000002</v>
      </c>
      <c r="E875">
        <v>50</v>
      </c>
      <c r="F875">
        <v>44.809471129999999</v>
      </c>
      <c r="G875">
        <v>1354.7495117000001</v>
      </c>
      <c r="H875">
        <v>1348.5147704999999</v>
      </c>
      <c r="I875">
        <v>1312.5994873</v>
      </c>
      <c r="J875">
        <v>1304.7585449000001</v>
      </c>
      <c r="K875">
        <v>2400</v>
      </c>
      <c r="L875">
        <v>0</v>
      </c>
      <c r="M875">
        <v>0</v>
      </c>
      <c r="N875">
        <v>2400</v>
      </c>
    </row>
    <row r="876" spans="1:14" x14ac:dyDescent="0.25">
      <c r="A876">
        <v>429.01053899999999</v>
      </c>
      <c r="B876" s="1">
        <f>DATE(2011,7,4) + TIME(0,15,10)</f>
        <v>40728.01053240741</v>
      </c>
      <c r="C876">
        <v>80</v>
      </c>
      <c r="D876">
        <v>79.945167541999993</v>
      </c>
      <c r="E876">
        <v>50</v>
      </c>
      <c r="F876">
        <v>44.74905777</v>
      </c>
      <c r="G876">
        <v>1354.7224120999999</v>
      </c>
      <c r="H876">
        <v>1348.4951172000001</v>
      </c>
      <c r="I876">
        <v>1312.5693358999999</v>
      </c>
      <c r="J876">
        <v>1304.7160644999999</v>
      </c>
      <c r="K876">
        <v>2400</v>
      </c>
      <c r="L876">
        <v>0</v>
      </c>
      <c r="M876">
        <v>0</v>
      </c>
      <c r="N876">
        <v>2400</v>
      </c>
    </row>
    <row r="877" spans="1:14" x14ac:dyDescent="0.25">
      <c r="A877">
        <v>430.02682900000002</v>
      </c>
      <c r="B877" s="1">
        <f>DATE(2011,7,5) + TIME(0,38,37)</f>
        <v>40729.026817129627</v>
      </c>
      <c r="C877">
        <v>80</v>
      </c>
      <c r="D877">
        <v>79.945159911999994</v>
      </c>
      <c r="E877">
        <v>50</v>
      </c>
      <c r="F877">
        <v>44.687957763999997</v>
      </c>
      <c r="G877">
        <v>1354.6955565999999</v>
      </c>
      <c r="H877">
        <v>1348.4757079999999</v>
      </c>
      <c r="I877">
        <v>1312.5385742000001</v>
      </c>
      <c r="J877">
        <v>1304.6726074000001</v>
      </c>
      <c r="K877">
        <v>2400</v>
      </c>
      <c r="L877">
        <v>0</v>
      </c>
      <c r="M877">
        <v>0</v>
      </c>
      <c r="N877">
        <v>2400</v>
      </c>
    </row>
    <row r="878" spans="1:14" x14ac:dyDescent="0.25">
      <c r="A878">
        <v>431.04973899999999</v>
      </c>
      <c r="B878" s="1">
        <f>DATE(2011,7,6) + TIME(1,11,37)</f>
        <v>40730.049733796295</v>
      </c>
      <c r="C878">
        <v>80</v>
      </c>
      <c r="D878">
        <v>79.945152282999999</v>
      </c>
      <c r="E878">
        <v>50</v>
      </c>
      <c r="F878">
        <v>44.626361846999998</v>
      </c>
      <c r="G878">
        <v>1354.6690673999999</v>
      </c>
      <c r="H878">
        <v>1348.456543</v>
      </c>
      <c r="I878">
        <v>1312.5072021000001</v>
      </c>
      <c r="J878">
        <v>1304.6280518000001</v>
      </c>
      <c r="K878">
        <v>2400</v>
      </c>
      <c r="L878">
        <v>0</v>
      </c>
      <c r="M878">
        <v>0</v>
      </c>
      <c r="N878">
        <v>2400</v>
      </c>
    </row>
    <row r="879" spans="1:14" x14ac:dyDescent="0.25">
      <c r="A879">
        <v>432.08407899999997</v>
      </c>
      <c r="B879" s="1">
        <f>DATE(2011,7,7) + TIME(2,1,4)</f>
        <v>40731.084074074075</v>
      </c>
      <c r="C879">
        <v>80</v>
      </c>
      <c r="D879">
        <v>79.945152282999999</v>
      </c>
      <c r="E879">
        <v>50</v>
      </c>
      <c r="F879">
        <v>44.564205170000001</v>
      </c>
      <c r="G879">
        <v>1354.6425781</v>
      </c>
      <c r="H879">
        <v>1348.4372559000001</v>
      </c>
      <c r="I879">
        <v>1312.4752197</v>
      </c>
      <c r="J879">
        <v>1304.5822754000001</v>
      </c>
      <c r="K879">
        <v>2400</v>
      </c>
      <c r="L879">
        <v>0</v>
      </c>
      <c r="M879">
        <v>0</v>
      </c>
      <c r="N879">
        <v>2400</v>
      </c>
    </row>
    <row r="880" spans="1:14" x14ac:dyDescent="0.25">
      <c r="A880">
        <v>433.13275399999998</v>
      </c>
      <c r="B880" s="1">
        <f>DATE(2011,7,8) + TIME(3,11,9)</f>
        <v>40732.132743055554</v>
      </c>
      <c r="C880">
        <v>80</v>
      </c>
      <c r="D880">
        <v>79.945152282999999</v>
      </c>
      <c r="E880">
        <v>50</v>
      </c>
      <c r="F880">
        <v>44.501342772999998</v>
      </c>
      <c r="G880">
        <v>1354.6162108999999</v>
      </c>
      <c r="H880">
        <v>1348.4180908000001</v>
      </c>
      <c r="I880">
        <v>1312.4423827999999</v>
      </c>
      <c r="J880">
        <v>1304.5352783000001</v>
      </c>
      <c r="K880">
        <v>2400</v>
      </c>
      <c r="L880">
        <v>0</v>
      </c>
      <c r="M880">
        <v>0</v>
      </c>
      <c r="N880">
        <v>2400</v>
      </c>
    </row>
    <row r="881" spans="1:14" x14ac:dyDescent="0.25">
      <c r="A881">
        <v>434.19800099999998</v>
      </c>
      <c r="B881" s="1">
        <f>DATE(2011,7,9) + TIME(4,45,7)</f>
        <v>40733.197997685187</v>
      </c>
      <c r="C881">
        <v>80</v>
      </c>
      <c r="D881">
        <v>79.945144653</v>
      </c>
      <c r="E881">
        <v>50</v>
      </c>
      <c r="F881">
        <v>44.437622070000003</v>
      </c>
      <c r="G881">
        <v>1354.5898437999999</v>
      </c>
      <c r="H881">
        <v>1348.3989257999999</v>
      </c>
      <c r="I881">
        <v>1312.4085693</v>
      </c>
      <c r="J881">
        <v>1304.4866943</v>
      </c>
      <c r="K881">
        <v>2400</v>
      </c>
      <c r="L881">
        <v>0</v>
      </c>
      <c r="M881">
        <v>0</v>
      </c>
      <c r="N881">
        <v>2400</v>
      </c>
    </row>
    <row r="882" spans="1:14" x14ac:dyDescent="0.25">
      <c r="A882">
        <v>435.28259000000003</v>
      </c>
      <c r="B882" s="1">
        <f>DATE(2011,7,10) + TIME(6,46,55)</f>
        <v>40734.282581018517</v>
      </c>
      <c r="C882">
        <v>80</v>
      </c>
      <c r="D882">
        <v>79.945144653</v>
      </c>
      <c r="E882">
        <v>50</v>
      </c>
      <c r="F882">
        <v>44.372879028</v>
      </c>
      <c r="G882">
        <v>1354.5632324000001</v>
      </c>
      <c r="H882">
        <v>1348.3795166</v>
      </c>
      <c r="I882">
        <v>1312.3737793</v>
      </c>
      <c r="J882">
        <v>1304.4366454999999</v>
      </c>
      <c r="K882">
        <v>2400</v>
      </c>
      <c r="L882">
        <v>0</v>
      </c>
      <c r="M882">
        <v>0</v>
      </c>
      <c r="N882">
        <v>2400</v>
      </c>
    </row>
    <row r="883" spans="1:14" x14ac:dyDescent="0.25">
      <c r="A883">
        <v>436.38261499999999</v>
      </c>
      <c r="B883" s="1">
        <f>DATE(2011,7,11) + TIME(9,10,57)</f>
        <v>40735.382604166669</v>
      </c>
      <c r="C883">
        <v>80</v>
      </c>
      <c r="D883">
        <v>79.945144653</v>
      </c>
      <c r="E883">
        <v>50</v>
      </c>
      <c r="F883">
        <v>44.307098388999997</v>
      </c>
      <c r="G883">
        <v>1354.5366211</v>
      </c>
      <c r="H883">
        <v>1348.3599853999999</v>
      </c>
      <c r="I883">
        <v>1312.3377685999999</v>
      </c>
      <c r="J883">
        <v>1304.3847656</v>
      </c>
      <c r="K883">
        <v>2400</v>
      </c>
      <c r="L883">
        <v>0</v>
      </c>
      <c r="M883">
        <v>0</v>
      </c>
      <c r="N883">
        <v>2400</v>
      </c>
    </row>
    <row r="884" spans="1:14" x14ac:dyDescent="0.25">
      <c r="A884">
        <v>437.49395299999998</v>
      </c>
      <c r="B884" s="1">
        <f>DATE(2011,7,12) + TIME(11,51,17)</f>
        <v>40736.493946759256</v>
      </c>
      <c r="C884">
        <v>80</v>
      </c>
      <c r="D884">
        <v>79.945144653</v>
      </c>
      <c r="E884">
        <v>50</v>
      </c>
      <c r="F884">
        <v>44.240406036000003</v>
      </c>
      <c r="G884">
        <v>1354.5098877</v>
      </c>
      <c r="H884">
        <v>1348.3404541</v>
      </c>
      <c r="I884">
        <v>1312.3009033000001</v>
      </c>
      <c r="J884">
        <v>1304.3312988</v>
      </c>
      <c r="K884">
        <v>2400</v>
      </c>
      <c r="L884">
        <v>0</v>
      </c>
      <c r="M884">
        <v>0</v>
      </c>
      <c r="N884">
        <v>2400</v>
      </c>
    </row>
    <row r="885" spans="1:14" x14ac:dyDescent="0.25">
      <c r="A885">
        <v>438.61640299999999</v>
      </c>
      <c r="B885" s="1">
        <f>DATE(2011,7,13) + TIME(14,47,37)</f>
        <v>40737.616400462961</v>
      </c>
      <c r="C885">
        <v>80</v>
      </c>
      <c r="D885">
        <v>79.945152282999999</v>
      </c>
      <c r="E885">
        <v>50</v>
      </c>
      <c r="F885">
        <v>44.172863006999997</v>
      </c>
      <c r="G885">
        <v>1354.4831543</v>
      </c>
      <c r="H885">
        <v>1348.3209228999999</v>
      </c>
      <c r="I885">
        <v>1312.2629394999999</v>
      </c>
      <c r="J885">
        <v>1304.2762451000001</v>
      </c>
      <c r="K885">
        <v>2400</v>
      </c>
      <c r="L885">
        <v>0</v>
      </c>
      <c r="M885">
        <v>0</v>
      </c>
      <c r="N885">
        <v>2400</v>
      </c>
    </row>
    <row r="886" spans="1:14" x14ac:dyDescent="0.25">
      <c r="A886">
        <v>439.75273700000002</v>
      </c>
      <c r="B886" s="1">
        <f>DATE(2011,7,14) + TIME(18,3,56)</f>
        <v>40738.75273148148</v>
      </c>
      <c r="C886">
        <v>80</v>
      </c>
      <c r="D886">
        <v>79.945152282999999</v>
      </c>
      <c r="E886">
        <v>50</v>
      </c>
      <c r="F886">
        <v>44.104412078999999</v>
      </c>
      <c r="G886">
        <v>1354.456543</v>
      </c>
      <c r="H886">
        <v>1348.3013916</v>
      </c>
      <c r="I886">
        <v>1312.2241211</v>
      </c>
      <c r="J886">
        <v>1304.2197266000001</v>
      </c>
      <c r="K886">
        <v>2400</v>
      </c>
      <c r="L886">
        <v>0</v>
      </c>
      <c r="M886">
        <v>0</v>
      </c>
      <c r="N886">
        <v>2400</v>
      </c>
    </row>
    <row r="887" spans="1:14" x14ac:dyDescent="0.25">
      <c r="A887">
        <v>440.905641</v>
      </c>
      <c r="B887" s="1">
        <f>DATE(2011,7,15) + TIME(21,44,7)</f>
        <v>40739.905636574076</v>
      </c>
      <c r="C887">
        <v>80</v>
      </c>
      <c r="D887">
        <v>79.945152282999999</v>
      </c>
      <c r="E887">
        <v>50</v>
      </c>
      <c r="F887">
        <v>44.034923552999999</v>
      </c>
      <c r="G887">
        <v>1354.4298096</v>
      </c>
      <c r="H887">
        <v>1348.2817382999999</v>
      </c>
      <c r="I887">
        <v>1312.1843262</v>
      </c>
      <c r="J887">
        <v>1304.1616211</v>
      </c>
      <c r="K887">
        <v>2400</v>
      </c>
      <c r="L887">
        <v>0</v>
      </c>
      <c r="M887">
        <v>0</v>
      </c>
      <c r="N887">
        <v>2400</v>
      </c>
    </row>
    <row r="888" spans="1:14" x14ac:dyDescent="0.25">
      <c r="A888">
        <v>442.078172</v>
      </c>
      <c r="B888" s="1">
        <f>DATE(2011,7,17) + TIME(1,52,34)</f>
        <v>40741.0781712963</v>
      </c>
      <c r="C888">
        <v>80</v>
      </c>
      <c r="D888">
        <v>79.945159911999994</v>
      </c>
      <c r="E888">
        <v>50</v>
      </c>
      <c r="F888">
        <v>43.964214325</v>
      </c>
      <c r="G888">
        <v>1354.4030762</v>
      </c>
      <c r="H888">
        <v>1348.2620850000001</v>
      </c>
      <c r="I888">
        <v>1312.1434326000001</v>
      </c>
      <c r="J888">
        <v>1304.1016846</v>
      </c>
      <c r="K888">
        <v>2400</v>
      </c>
      <c r="L888">
        <v>0</v>
      </c>
      <c r="M888">
        <v>0</v>
      </c>
      <c r="N888">
        <v>2400</v>
      </c>
    </row>
    <row r="889" spans="1:14" x14ac:dyDescent="0.25">
      <c r="A889">
        <v>443.27322800000002</v>
      </c>
      <c r="B889" s="1">
        <f>DATE(2011,7,18) + TIME(6,33,26)</f>
        <v>40742.273217592592</v>
      </c>
      <c r="C889">
        <v>80</v>
      </c>
      <c r="D889">
        <v>79.945167541999993</v>
      </c>
      <c r="E889">
        <v>50</v>
      </c>
      <c r="F889">
        <v>43.892089843999997</v>
      </c>
      <c r="G889">
        <v>1354.3763428</v>
      </c>
      <c r="H889">
        <v>1348.2421875</v>
      </c>
      <c r="I889">
        <v>1312.1013184000001</v>
      </c>
      <c r="J889">
        <v>1304.0396728999999</v>
      </c>
      <c r="K889">
        <v>2400</v>
      </c>
      <c r="L889">
        <v>0</v>
      </c>
      <c r="M889">
        <v>0</v>
      </c>
      <c r="N889">
        <v>2400</v>
      </c>
    </row>
    <row r="890" spans="1:14" x14ac:dyDescent="0.25">
      <c r="A890">
        <v>444.471633</v>
      </c>
      <c r="B890" s="1">
        <f>DATE(2011,7,19) + TIME(11,19,9)</f>
        <v>40743.471631944441</v>
      </c>
      <c r="C890">
        <v>80</v>
      </c>
      <c r="D890">
        <v>79.945175171000002</v>
      </c>
      <c r="E890">
        <v>50</v>
      </c>
      <c r="F890">
        <v>43.818908690999997</v>
      </c>
      <c r="G890">
        <v>1354.3492432</v>
      </c>
      <c r="H890">
        <v>1348.222168</v>
      </c>
      <c r="I890">
        <v>1312.0577393000001</v>
      </c>
      <c r="J890">
        <v>1303.9757079999999</v>
      </c>
      <c r="K890">
        <v>2400</v>
      </c>
      <c r="L890">
        <v>0</v>
      </c>
      <c r="M890">
        <v>0</v>
      </c>
      <c r="N890">
        <v>2400</v>
      </c>
    </row>
    <row r="891" spans="1:14" x14ac:dyDescent="0.25">
      <c r="A891">
        <v>445.676063</v>
      </c>
      <c r="B891" s="1">
        <f>DATE(2011,7,20) + TIME(16,13,31)</f>
        <v>40744.676053240742</v>
      </c>
      <c r="C891">
        <v>80</v>
      </c>
      <c r="D891">
        <v>79.945175171000002</v>
      </c>
      <c r="E891">
        <v>50</v>
      </c>
      <c r="F891">
        <v>43.744911193999997</v>
      </c>
      <c r="G891">
        <v>1354.3223877</v>
      </c>
      <c r="H891">
        <v>1348.2023925999999</v>
      </c>
      <c r="I891">
        <v>1312.0135498</v>
      </c>
      <c r="J891">
        <v>1303.9102783000001</v>
      </c>
      <c r="K891">
        <v>2400</v>
      </c>
      <c r="L891">
        <v>0</v>
      </c>
      <c r="M891">
        <v>0</v>
      </c>
      <c r="N891">
        <v>2400</v>
      </c>
    </row>
    <row r="892" spans="1:14" x14ac:dyDescent="0.25">
      <c r="A892">
        <v>446.88919399999997</v>
      </c>
      <c r="B892" s="1">
        <f>DATE(2011,7,21) + TIME(21,20,26)</f>
        <v>40745.889189814814</v>
      </c>
      <c r="C892">
        <v>80</v>
      </c>
      <c r="D892">
        <v>79.945182799999998</v>
      </c>
      <c r="E892">
        <v>50</v>
      </c>
      <c r="F892">
        <v>43.670093536000003</v>
      </c>
      <c r="G892">
        <v>1354.2957764</v>
      </c>
      <c r="H892">
        <v>1348.1826172000001</v>
      </c>
      <c r="I892">
        <v>1311.9686279</v>
      </c>
      <c r="J892">
        <v>1303.8435059000001</v>
      </c>
      <c r="K892">
        <v>2400</v>
      </c>
      <c r="L892">
        <v>0</v>
      </c>
      <c r="M892">
        <v>0</v>
      </c>
      <c r="N892">
        <v>2400</v>
      </c>
    </row>
    <row r="893" spans="1:14" x14ac:dyDescent="0.25">
      <c r="A893">
        <v>448.118629</v>
      </c>
      <c r="B893" s="1">
        <f>DATE(2011,7,23) + TIME(2,50,49)</f>
        <v>40747.118622685186</v>
      </c>
      <c r="C893">
        <v>80</v>
      </c>
      <c r="D893">
        <v>79.945198059000006</v>
      </c>
      <c r="E893">
        <v>50</v>
      </c>
      <c r="F893">
        <v>43.594219207999998</v>
      </c>
      <c r="G893">
        <v>1354.2692870999999</v>
      </c>
      <c r="H893">
        <v>1348.1628418</v>
      </c>
      <c r="I893">
        <v>1311.9227295000001</v>
      </c>
      <c r="J893">
        <v>1303.7752685999999</v>
      </c>
      <c r="K893">
        <v>2400</v>
      </c>
      <c r="L893">
        <v>0</v>
      </c>
      <c r="M893">
        <v>0</v>
      </c>
      <c r="N893">
        <v>2400</v>
      </c>
    </row>
    <row r="894" spans="1:14" x14ac:dyDescent="0.25">
      <c r="A894">
        <v>449.36797100000001</v>
      </c>
      <c r="B894" s="1">
        <f>DATE(2011,7,24) + TIME(8,49,52)</f>
        <v>40748.367962962962</v>
      </c>
      <c r="C894">
        <v>80</v>
      </c>
      <c r="D894">
        <v>79.945205688000001</v>
      </c>
      <c r="E894">
        <v>50</v>
      </c>
      <c r="F894">
        <v>43.516986846999998</v>
      </c>
      <c r="G894">
        <v>1354.2426757999999</v>
      </c>
      <c r="H894">
        <v>1348.1430664</v>
      </c>
      <c r="I894">
        <v>1311.8757324000001</v>
      </c>
      <c r="J894">
        <v>1303.7050781</v>
      </c>
      <c r="K894">
        <v>2400</v>
      </c>
      <c r="L894">
        <v>0</v>
      </c>
      <c r="M894">
        <v>0</v>
      </c>
      <c r="N894">
        <v>2400</v>
      </c>
    </row>
    <row r="895" spans="1:14" x14ac:dyDescent="0.25">
      <c r="A895">
        <v>450.62354900000003</v>
      </c>
      <c r="B895" s="1">
        <f>DATE(2011,7,25) + TIME(14,57,54)</f>
        <v>40749.623541666668</v>
      </c>
      <c r="C895">
        <v>80</v>
      </c>
      <c r="D895">
        <v>79.945213318</v>
      </c>
      <c r="E895">
        <v>50</v>
      </c>
      <c r="F895">
        <v>43.438568115000002</v>
      </c>
      <c r="G895">
        <v>1354.2160644999999</v>
      </c>
      <c r="H895">
        <v>1348.1230469</v>
      </c>
      <c r="I895">
        <v>1311.8275146000001</v>
      </c>
      <c r="J895">
        <v>1303.6329346</v>
      </c>
      <c r="K895">
        <v>2400</v>
      </c>
      <c r="L895">
        <v>0</v>
      </c>
      <c r="M895">
        <v>0</v>
      </c>
      <c r="N895">
        <v>2400</v>
      </c>
    </row>
    <row r="896" spans="1:14" x14ac:dyDescent="0.25">
      <c r="A896">
        <v>451.88428199999998</v>
      </c>
      <c r="B896" s="1">
        <f>DATE(2011,7,26) + TIME(21,13,21)</f>
        <v>40750.884270833332</v>
      </c>
      <c r="C896">
        <v>80</v>
      </c>
      <c r="D896">
        <v>79.945228576999995</v>
      </c>
      <c r="E896">
        <v>50</v>
      </c>
      <c r="F896">
        <v>43.359199523999997</v>
      </c>
      <c r="G896">
        <v>1354.1894531</v>
      </c>
      <c r="H896">
        <v>1348.1032714999999</v>
      </c>
      <c r="I896">
        <v>1311.7784423999999</v>
      </c>
      <c r="J896">
        <v>1303.5592041</v>
      </c>
      <c r="K896">
        <v>2400</v>
      </c>
      <c r="L896">
        <v>0</v>
      </c>
      <c r="M896">
        <v>0</v>
      </c>
      <c r="N896">
        <v>2400</v>
      </c>
    </row>
    <row r="897" spans="1:14" x14ac:dyDescent="0.25">
      <c r="A897">
        <v>453.15839199999999</v>
      </c>
      <c r="B897" s="1">
        <f>DATE(2011,7,28) + TIME(3,48,5)</f>
        <v>40752.158391203702</v>
      </c>
      <c r="C897">
        <v>80</v>
      </c>
      <c r="D897">
        <v>79.945243834999999</v>
      </c>
      <c r="E897">
        <v>50</v>
      </c>
      <c r="F897">
        <v>43.278759002999998</v>
      </c>
      <c r="G897">
        <v>1354.1630858999999</v>
      </c>
      <c r="H897">
        <v>1348.0834961</v>
      </c>
      <c r="I897">
        <v>1311.7287598</v>
      </c>
      <c r="J897">
        <v>1303.4841309000001</v>
      </c>
      <c r="K897">
        <v>2400</v>
      </c>
      <c r="L897">
        <v>0</v>
      </c>
      <c r="M897">
        <v>0</v>
      </c>
      <c r="N897">
        <v>2400</v>
      </c>
    </row>
    <row r="898" spans="1:14" x14ac:dyDescent="0.25">
      <c r="A898">
        <v>454.44939599999998</v>
      </c>
      <c r="B898" s="1">
        <f>DATE(2011,7,29) + TIME(10,47,7)</f>
        <v>40753.449386574073</v>
      </c>
      <c r="C898">
        <v>80</v>
      </c>
      <c r="D898">
        <v>79.945251464999998</v>
      </c>
      <c r="E898">
        <v>50</v>
      </c>
      <c r="F898">
        <v>43.196998596</v>
      </c>
      <c r="G898">
        <v>1354.1368408000001</v>
      </c>
      <c r="H898">
        <v>1348.0637207</v>
      </c>
      <c r="I898">
        <v>1311.6779785000001</v>
      </c>
      <c r="J898">
        <v>1303.4073486</v>
      </c>
      <c r="K898">
        <v>2400</v>
      </c>
      <c r="L898">
        <v>0</v>
      </c>
      <c r="M898">
        <v>0</v>
      </c>
      <c r="N898">
        <v>2400</v>
      </c>
    </row>
    <row r="899" spans="1:14" x14ac:dyDescent="0.25">
      <c r="A899">
        <v>455.760445</v>
      </c>
      <c r="B899" s="1">
        <f>DATE(2011,7,30) + TIME(18,15,2)</f>
        <v>40754.760439814818</v>
      </c>
      <c r="C899">
        <v>80</v>
      </c>
      <c r="D899">
        <v>79.945266724000007</v>
      </c>
      <c r="E899">
        <v>50</v>
      </c>
      <c r="F899">
        <v>43.113685607999997</v>
      </c>
      <c r="G899">
        <v>1354.1103516000001</v>
      </c>
      <c r="H899">
        <v>1348.0438231999999</v>
      </c>
      <c r="I899">
        <v>1311.6260986</v>
      </c>
      <c r="J899">
        <v>1303.3284911999999</v>
      </c>
      <c r="K899">
        <v>2400</v>
      </c>
      <c r="L899">
        <v>0</v>
      </c>
      <c r="M899">
        <v>0</v>
      </c>
      <c r="N899">
        <v>2400</v>
      </c>
    </row>
    <row r="900" spans="1:14" x14ac:dyDescent="0.25">
      <c r="A900">
        <v>457</v>
      </c>
      <c r="B900" s="1">
        <f>DATE(2011,8,1) + TIME(0,0,0)</f>
        <v>40756</v>
      </c>
      <c r="C900">
        <v>80</v>
      </c>
      <c r="D900">
        <v>79.945281981999997</v>
      </c>
      <c r="E900">
        <v>50</v>
      </c>
      <c r="F900">
        <v>43.031085967999999</v>
      </c>
      <c r="G900">
        <v>1354.0838623</v>
      </c>
      <c r="H900">
        <v>1348.0238036999999</v>
      </c>
      <c r="I900">
        <v>1311.5731201000001</v>
      </c>
      <c r="J900">
        <v>1303.2481689000001</v>
      </c>
      <c r="K900">
        <v>2400</v>
      </c>
      <c r="L900">
        <v>0</v>
      </c>
      <c r="M900">
        <v>0</v>
      </c>
      <c r="N900">
        <v>2400</v>
      </c>
    </row>
    <row r="901" spans="1:14" x14ac:dyDescent="0.25">
      <c r="A901">
        <v>458.33472</v>
      </c>
      <c r="B901" s="1">
        <f>DATE(2011,8,2) + TIME(8,1,59)</f>
        <v>40757.334710648145</v>
      </c>
      <c r="C901">
        <v>80</v>
      </c>
      <c r="D901">
        <v>79.945297241000006</v>
      </c>
      <c r="E901">
        <v>50</v>
      </c>
      <c r="F901">
        <v>42.946842193999998</v>
      </c>
      <c r="G901">
        <v>1354.059082</v>
      </c>
      <c r="H901">
        <v>1348.0050048999999</v>
      </c>
      <c r="I901">
        <v>1311.5218506000001</v>
      </c>
      <c r="J901">
        <v>1303.1691894999999</v>
      </c>
      <c r="K901">
        <v>2400</v>
      </c>
      <c r="L901">
        <v>0</v>
      </c>
      <c r="M901">
        <v>0</v>
      </c>
      <c r="N901">
        <v>2400</v>
      </c>
    </row>
    <row r="902" spans="1:14" x14ac:dyDescent="0.25">
      <c r="A902">
        <v>459.71683100000001</v>
      </c>
      <c r="B902" s="1">
        <f>DATE(2011,8,3) + TIME(17,12,14)</f>
        <v>40758.716828703706</v>
      </c>
      <c r="C902">
        <v>80</v>
      </c>
      <c r="D902">
        <v>79.945320128999995</v>
      </c>
      <c r="E902">
        <v>50</v>
      </c>
      <c r="F902">
        <v>42.859222412000001</v>
      </c>
      <c r="G902">
        <v>1354.0325928</v>
      </c>
      <c r="H902">
        <v>1347.9849853999999</v>
      </c>
      <c r="I902">
        <v>1311.4670410000001</v>
      </c>
      <c r="J902">
        <v>1303.0850829999999</v>
      </c>
      <c r="K902">
        <v>2400</v>
      </c>
      <c r="L902">
        <v>0</v>
      </c>
      <c r="M902">
        <v>0</v>
      </c>
      <c r="N902">
        <v>2400</v>
      </c>
    </row>
    <row r="903" spans="1:14" x14ac:dyDescent="0.25">
      <c r="A903">
        <v>461.11668700000001</v>
      </c>
      <c r="B903" s="1">
        <f>DATE(2011,8,5) + TIME(2,48,1)</f>
        <v>40760.116678240738</v>
      </c>
      <c r="C903">
        <v>80</v>
      </c>
      <c r="D903">
        <v>79.945335388000004</v>
      </c>
      <c r="E903">
        <v>50</v>
      </c>
      <c r="F903">
        <v>42.768783569</v>
      </c>
      <c r="G903">
        <v>1354.0054932</v>
      </c>
      <c r="H903">
        <v>1347.9644774999999</v>
      </c>
      <c r="I903">
        <v>1311.4099120999999</v>
      </c>
      <c r="J903">
        <v>1302.9973144999999</v>
      </c>
      <c r="K903">
        <v>2400</v>
      </c>
      <c r="L903">
        <v>0</v>
      </c>
      <c r="M903">
        <v>0</v>
      </c>
      <c r="N903">
        <v>2400</v>
      </c>
    </row>
    <row r="904" spans="1:14" x14ac:dyDescent="0.25">
      <c r="A904">
        <v>462.53251699999998</v>
      </c>
      <c r="B904" s="1">
        <f>DATE(2011,8,6) + TIME(12,46,49)</f>
        <v>40761.532511574071</v>
      </c>
      <c r="C904">
        <v>80</v>
      </c>
      <c r="D904">
        <v>79.945358275999993</v>
      </c>
      <c r="E904">
        <v>50</v>
      </c>
      <c r="F904">
        <v>42.676242827999999</v>
      </c>
      <c r="G904">
        <v>1353.9783935999999</v>
      </c>
      <c r="H904">
        <v>1347.9437256000001</v>
      </c>
      <c r="I904">
        <v>1311.3515625</v>
      </c>
      <c r="J904">
        <v>1302.9071045000001</v>
      </c>
      <c r="K904">
        <v>2400</v>
      </c>
      <c r="L904">
        <v>0</v>
      </c>
      <c r="M904">
        <v>0</v>
      </c>
      <c r="N904">
        <v>2400</v>
      </c>
    </row>
    <row r="905" spans="1:14" x14ac:dyDescent="0.25">
      <c r="A905">
        <v>463.95141899999999</v>
      </c>
      <c r="B905" s="1">
        <f>DATE(2011,8,7) + TIME(22,50,2)</f>
        <v>40762.951412037037</v>
      </c>
      <c r="C905">
        <v>80</v>
      </c>
      <c r="D905">
        <v>79.945381165000001</v>
      </c>
      <c r="E905">
        <v>50</v>
      </c>
      <c r="F905">
        <v>42.582252502000003</v>
      </c>
      <c r="G905">
        <v>1353.9511719</v>
      </c>
      <c r="H905">
        <v>1347.9230957</v>
      </c>
      <c r="I905">
        <v>1311.2921143000001</v>
      </c>
      <c r="J905">
        <v>1302.8148193</v>
      </c>
      <c r="K905">
        <v>2400</v>
      </c>
      <c r="L905">
        <v>0</v>
      </c>
      <c r="M905">
        <v>0</v>
      </c>
      <c r="N905">
        <v>2400</v>
      </c>
    </row>
    <row r="906" spans="1:14" x14ac:dyDescent="0.25">
      <c r="A906">
        <v>465.374797</v>
      </c>
      <c r="B906" s="1">
        <f>DATE(2011,8,9) + TIME(8,59,42)</f>
        <v>40764.374791666669</v>
      </c>
      <c r="C906">
        <v>80</v>
      </c>
      <c r="D906">
        <v>79.945396423000005</v>
      </c>
      <c r="E906">
        <v>50</v>
      </c>
      <c r="F906">
        <v>42.487258910999998</v>
      </c>
      <c r="G906">
        <v>1353.9241943</v>
      </c>
      <c r="H906">
        <v>1347.9024658000001</v>
      </c>
      <c r="I906">
        <v>1311.2321777</v>
      </c>
      <c r="J906">
        <v>1302.7211914</v>
      </c>
      <c r="K906">
        <v>2400</v>
      </c>
      <c r="L906">
        <v>0</v>
      </c>
      <c r="M906">
        <v>0</v>
      </c>
      <c r="N906">
        <v>2400</v>
      </c>
    </row>
    <row r="907" spans="1:14" x14ac:dyDescent="0.25">
      <c r="A907">
        <v>466.80147099999999</v>
      </c>
      <c r="B907" s="1">
        <f>DATE(2011,8,10) + TIME(19,14,7)</f>
        <v>40765.801469907405</v>
      </c>
      <c r="C907">
        <v>80</v>
      </c>
      <c r="D907">
        <v>79.945419311999999</v>
      </c>
      <c r="E907">
        <v>50</v>
      </c>
      <c r="F907">
        <v>42.391483307000001</v>
      </c>
      <c r="G907">
        <v>1353.8974608999999</v>
      </c>
      <c r="H907">
        <v>1347.8819579999999</v>
      </c>
      <c r="I907">
        <v>1311.1716309000001</v>
      </c>
      <c r="J907">
        <v>1302.6264647999999</v>
      </c>
      <c r="K907">
        <v>2400</v>
      </c>
      <c r="L907">
        <v>0</v>
      </c>
      <c r="M907">
        <v>0</v>
      </c>
      <c r="N907">
        <v>2400</v>
      </c>
    </row>
    <row r="908" spans="1:14" x14ac:dyDescent="0.25">
      <c r="A908">
        <v>468.23500899999999</v>
      </c>
      <c r="B908" s="1">
        <f>DATE(2011,8,12) + TIME(5,38,24)</f>
        <v>40767.235000000001</v>
      </c>
      <c r="C908">
        <v>80</v>
      </c>
      <c r="D908">
        <v>79.945442200000002</v>
      </c>
      <c r="E908">
        <v>50</v>
      </c>
      <c r="F908">
        <v>42.294982910000002</v>
      </c>
      <c r="G908">
        <v>1353.8709716999999</v>
      </c>
      <c r="H908">
        <v>1347.8615723</v>
      </c>
      <c r="I908">
        <v>1311.1107178</v>
      </c>
      <c r="J908">
        <v>1302.5305175999999</v>
      </c>
      <c r="K908">
        <v>2400</v>
      </c>
      <c r="L908">
        <v>0</v>
      </c>
      <c r="M908">
        <v>0</v>
      </c>
      <c r="N908">
        <v>2400</v>
      </c>
    </row>
    <row r="909" spans="1:14" x14ac:dyDescent="0.25">
      <c r="A909">
        <v>469.68065999999999</v>
      </c>
      <c r="B909" s="1">
        <f>DATE(2011,8,13) + TIME(16,20,9)</f>
        <v>40768.680659722224</v>
      </c>
      <c r="C909">
        <v>80</v>
      </c>
      <c r="D909">
        <v>79.945465088000006</v>
      </c>
      <c r="E909">
        <v>50</v>
      </c>
      <c r="F909">
        <v>42.197658539000003</v>
      </c>
      <c r="G909">
        <v>1353.8444824000001</v>
      </c>
      <c r="H909">
        <v>1347.8411865</v>
      </c>
      <c r="I909">
        <v>1311.0493164</v>
      </c>
      <c r="J909">
        <v>1302.4334716999999</v>
      </c>
      <c r="K909">
        <v>2400</v>
      </c>
      <c r="L909">
        <v>0</v>
      </c>
      <c r="M909">
        <v>0</v>
      </c>
      <c r="N909">
        <v>2400</v>
      </c>
    </row>
    <row r="910" spans="1:14" x14ac:dyDescent="0.25">
      <c r="A910">
        <v>471.14826399999998</v>
      </c>
      <c r="B910" s="1">
        <f>DATE(2011,8,15) + TIME(3,33,30)</f>
        <v>40770.148263888892</v>
      </c>
      <c r="C910">
        <v>80</v>
      </c>
      <c r="D910">
        <v>79.945495605000005</v>
      </c>
      <c r="E910">
        <v>50</v>
      </c>
      <c r="F910">
        <v>42.099193573000001</v>
      </c>
      <c r="G910">
        <v>1353.8181152</v>
      </c>
      <c r="H910">
        <v>1347.8209228999999</v>
      </c>
      <c r="I910">
        <v>1310.9871826000001</v>
      </c>
      <c r="J910">
        <v>1302.3348389</v>
      </c>
      <c r="K910">
        <v>2400</v>
      </c>
      <c r="L910">
        <v>0</v>
      </c>
      <c r="M910">
        <v>0</v>
      </c>
      <c r="N910">
        <v>2400</v>
      </c>
    </row>
    <row r="911" spans="1:14" x14ac:dyDescent="0.25">
      <c r="A911">
        <v>472.64165500000001</v>
      </c>
      <c r="B911" s="1">
        <f>DATE(2011,8,16) + TIME(15,23,59)</f>
        <v>40771.641655092593</v>
      </c>
      <c r="C911">
        <v>80</v>
      </c>
      <c r="D911">
        <v>79.945518493999998</v>
      </c>
      <c r="E911">
        <v>50</v>
      </c>
      <c r="F911">
        <v>41.999286652000002</v>
      </c>
      <c r="G911">
        <v>1353.791626</v>
      </c>
      <c r="H911">
        <v>1347.8004149999999</v>
      </c>
      <c r="I911">
        <v>1310.9241943</v>
      </c>
      <c r="J911">
        <v>1302.2341309000001</v>
      </c>
      <c r="K911">
        <v>2400</v>
      </c>
      <c r="L911">
        <v>0</v>
      </c>
      <c r="M911">
        <v>0</v>
      </c>
      <c r="N911">
        <v>2400</v>
      </c>
    </row>
    <row r="912" spans="1:14" x14ac:dyDescent="0.25">
      <c r="A912">
        <v>474.151792</v>
      </c>
      <c r="B912" s="1">
        <f>DATE(2011,8,18) + TIME(3,38,34)</f>
        <v>40773.151782407411</v>
      </c>
      <c r="C912">
        <v>80</v>
      </c>
      <c r="D912">
        <v>79.945549010999997</v>
      </c>
      <c r="E912">
        <v>50</v>
      </c>
      <c r="F912">
        <v>41.898071289000001</v>
      </c>
      <c r="G912">
        <v>1353.7648925999999</v>
      </c>
      <c r="H912">
        <v>1347.7796631000001</v>
      </c>
      <c r="I912">
        <v>1310.8599853999999</v>
      </c>
      <c r="J912">
        <v>1302.1313477000001</v>
      </c>
      <c r="K912">
        <v>2400</v>
      </c>
      <c r="L912">
        <v>0</v>
      </c>
      <c r="M912">
        <v>0</v>
      </c>
      <c r="N912">
        <v>2400</v>
      </c>
    </row>
    <row r="913" spans="1:14" x14ac:dyDescent="0.25">
      <c r="A913">
        <v>475.67911800000002</v>
      </c>
      <c r="B913" s="1">
        <f>DATE(2011,8,19) + TIME(16,17,55)</f>
        <v>40774.679108796299</v>
      </c>
      <c r="C913">
        <v>80</v>
      </c>
      <c r="D913">
        <v>79.945571899000001</v>
      </c>
      <c r="E913">
        <v>50</v>
      </c>
      <c r="F913">
        <v>41.795883179</v>
      </c>
      <c r="G913">
        <v>1353.7380370999999</v>
      </c>
      <c r="H913">
        <v>1347.7589111</v>
      </c>
      <c r="I913">
        <v>1310.7950439000001</v>
      </c>
      <c r="J913">
        <v>1302.0267334</v>
      </c>
      <c r="K913">
        <v>2400</v>
      </c>
      <c r="L913">
        <v>0</v>
      </c>
      <c r="M913">
        <v>0</v>
      </c>
      <c r="N913">
        <v>2400</v>
      </c>
    </row>
    <row r="914" spans="1:14" x14ac:dyDescent="0.25">
      <c r="A914">
        <v>477.230234</v>
      </c>
      <c r="B914" s="1">
        <f>DATE(2011,8,21) + TIME(5,31,32)</f>
        <v>40776.230231481481</v>
      </c>
      <c r="C914">
        <v>80</v>
      </c>
      <c r="D914">
        <v>79.945602417000003</v>
      </c>
      <c r="E914">
        <v>50</v>
      </c>
      <c r="F914">
        <v>41.692836761000002</v>
      </c>
      <c r="G914">
        <v>1353.7111815999999</v>
      </c>
      <c r="H914">
        <v>1347.7379149999999</v>
      </c>
      <c r="I914">
        <v>1310.7293701000001</v>
      </c>
      <c r="J914">
        <v>1301.9204102000001</v>
      </c>
      <c r="K914">
        <v>2400</v>
      </c>
      <c r="L914">
        <v>0</v>
      </c>
      <c r="M914">
        <v>0</v>
      </c>
      <c r="N914">
        <v>2400</v>
      </c>
    </row>
    <row r="915" spans="1:14" x14ac:dyDescent="0.25">
      <c r="A915">
        <v>478.80974600000002</v>
      </c>
      <c r="B915" s="1">
        <f>DATE(2011,8,22) + TIME(19,26,2)</f>
        <v>40777.809745370374</v>
      </c>
      <c r="C915">
        <v>80</v>
      </c>
      <c r="D915">
        <v>79.945632935000006</v>
      </c>
      <c r="E915">
        <v>50</v>
      </c>
      <c r="F915">
        <v>41.588893890000001</v>
      </c>
      <c r="G915">
        <v>1353.6842041</v>
      </c>
      <c r="H915">
        <v>1347.7169189000001</v>
      </c>
      <c r="I915">
        <v>1310.6629639</v>
      </c>
      <c r="J915">
        <v>1301.8121338000001</v>
      </c>
      <c r="K915">
        <v>2400</v>
      </c>
      <c r="L915">
        <v>0</v>
      </c>
      <c r="M915">
        <v>0</v>
      </c>
      <c r="N915">
        <v>2400</v>
      </c>
    </row>
    <row r="916" spans="1:14" x14ac:dyDescent="0.25">
      <c r="A916">
        <v>480.404561</v>
      </c>
      <c r="B916" s="1">
        <f>DATE(2011,8,24) + TIME(9,42,34)</f>
        <v>40779.404560185183</v>
      </c>
      <c r="C916">
        <v>80</v>
      </c>
      <c r="D916">
        <v>79.945671082000004</v>
      </c>
      <c r="E916">
        <v>50</v>
      </c>
      <c r="F916">
        <v>41.484489441000001</v>
      </c>
      <c r="G916">
        <v>1353.6568603999999</v>
      </c>
      <c r="H916">
        <v>1347.6955565999999</v>
      </c>
      <c r="I916">
        <v>1310.5955810999999</v>
      </c>
      <c r="J916">
        <v>1301.7017822</v>
      </c>
      <c r="K916">
        <v>2400</v>
      </c>
      <c r="L916">
        <v>0</v>
      </c>
      <c r="M916">
        <v>0</v>
      </c>
      <c r="N916">
        <v>2400</v>
      </c>
    </row>
    <row r="917" spans="1:14" x14ac:dyDescent="0.25">
      <c r="A917">
        <v>482.00444700000003</v>
      </c>
      <c r="B917" s="1">
        <f>DATE(2011,8,26) + TIME(0,6,24)</f>
        <v>40781.004444444443</v>
      </c>
      <c r="C917">
        <v>80</v>
      </c>
      <c r="D917">
        <v>79.945701599000003</v>
      </c>
      <c r="E917">
        <v>50</v>
      </c>
      <c r="F917">
        <v>41.380496979</v>
      </c>
      <c r="G917">
        <v>1353.6296387</v>
      </c>
      <c r="H917">
        <v>1347.6741943</v>
      </c>
      <c r="I917">
        <v>1310.5277100000001</v>
      </c>
      <c r="J917">
        <v>1301.5902100000001</v>
      </c>
      <c r="K917">
        <v>2400</v>
      </c>
      <c r="L917">
        <v>0</v>
      </c>
      <c r="M917">
        <v>0</v>
      </c>
      <c r="N917">
        <v>2400</v>
      </c>
    </row>
    <row r="918" spans="1:14" x14ac:dyDescent="0.25">
      <c r="A918">
        <v>483.61783200000002</v>
      </c>
      <c r="B918" s="1">
        <f>DATE(2011,8,27) + TIME(14,49,40)</f>
        <v>40782.617824074077</v>
      </c>
      <c r="C918">
        <v>80</v>
      </c>
      <c r="D918">
        <v>79.945732117000006</v>
      </c>
      <c r="E918">
        <v>50</v>
      </c>
      <c r="F918">
        <v>41.277462006</v>
      </c>
      <c r="G918">
        <v>1353.6024170000001</v>
      </c>
      <c r="H918">
        <v>1347.652832</v>
      </c>
      <c r="I918">
        <v>1310.4600829999999</v>
      </c>
      <c r="J918">
        <v>1301.4780272999999</v>
      </c>
      <c r="K918">
        <v>2400</v>
      </c>
      <c r="L918">
        <v>0</v>
      </c>
      <c r="M918">
        <v>0</v>
      </c>
      <c r="N918">
        <v>2400</v>
      </c>
    </row>
    <row r="919" spans="1:14" x14ac:dyDescent="0.25">
      <c r="A919">
        <v>485.23769399999998</v>
      </c>
      <c r="B919" s="1">
        <f>DATE(2011,8,29) + TIME(5,42,16)</f>
        <v>40784.237685185188</v>
      </c>
      <c r="C919">
        <v>80</v>
      </c>
      <c r="D919">
        <v>79.945770264000004</v>
      </c>
      <c r="E919">
        <v>50</v>
      </c>
      <c r="F919">
        <v>41.175891876000001</v>
      </c>
      <c r="G919">
        <v>1353.5753173999999</v>
      </c>
      <c r="H919">
        <v>1347.6314697</v>
      </c>
      <c r="I919">
        <v>1310.3922118999999</v>
      </c>
      <c r="J919">
        <v>1301.3649902</v>
      </c>
      <c r="K919">
        <v>2400</v>
      </c>
      <c r="L919">
        <v>0</v>
      </c>
      <c r="M919">
        <v>0</v>
      </c>
      <c r="N919">
        <v>2400</v>
      </c>
    </row>
    <row r="920" spans="1:14" x14ac:dyDescent="0.25">
      <c r="A920">
        <v>486.86838799999998</v>
      </c>
      <c r="B920" s="1">
        <f>DATE(2011,8,30) + TIME(20,50,28)</f>
        <v>40785.868379629632</v>
      </c>
      <c r="C920">
        <v>80</v>
      </c>
      <c r="D920">
        <v>79.945800781000003</v>
      </c>
      <c r="E920">
        <v>50</v>
      </c>
      <c r="F920">
        <v>41.076343536000003</v>
      </c>
      <c r="G920">
        <v>1353.5483397999999</v>
      </c>
      <c r="H920">
        <v>1347.6101074000001</v>
      </c>
      <c r="I920">
        <v>1310.3248291</v>
      </c>
      <c r="J920">
        <v>1301.2518310999999</v>
      </c>
      <c r="K920">
        <v>2400</v>
      </c>
      <c r="L920">
        <v>0</v>
      </c>
      <c r="M920">
        <v>0</v>
      </c>
      <c r="N920">
        <v>2400</v>
      </c>
    </row>
    <row r="921" spans="1:14" x14ac:dyDescent="0.25">
      <c r="A921">
        <v>488</v>
      </c>
      <c r="B921" s="1">
        <f>DATE(2011,9,1) + TIME(0,0,0)</f>
        <v>40787</v>
      </c>
      <c r="C921">
        <v>80</v>
      </c>
      <c r="D921">
        <v>79.945816039999997</v>
      </c>
      <c r="E921">
        <v>50</v>
      </c>
      <c r="F921">
        <v>40.992069244</v>
      </c>
      <c r="G921">
        <v>1353.5212402</v>
      </c>
      <c r="H921">
        <v>1347.5886230000001</v>
      </c>
      <c r="I921">
        <v>1310.2592772999999</v>
      </c>
      <c r="J921">
        <v>1301.1435547000001</v>
      </c>
      <c r="K921">
        <v>2400</v>
      </c>
      <c r="L921">
        <v>0</v>
      </c>
      <c r="M921">
        <v>0</v>
      </c>
      <c r="N921">
        <v>2400</v>
      </c>
    </row>
    <row r="922" spans="1:14" x14ac:dyDescent="0.25">
      <c r="A922">
        <v>489.64675499999998</v>
      </c>
      <c r="B922" s="1">
        <f>DATE(2011,9,2) + TIME(15,31,19)</f>
        <v>40788.646747685183</v>
      </c>
      <c r="C922">
        <v>80</v>
      </c>
      <c r="D922">
        <v>79.945861816000004</v>
      </c>
      <c r="E922">
        <v>50</v>
      </c>
      <c r="F922">
        <v>40.908729553000001</v>
      </c>
      <c r="G922">
        <v>1353.5026855000001</v>
      </c>
      <c r="H922">
        <v>1347.5739745999999</v>
      </c>
      <c r="I922">
        <v>1310.2087402</v>
      </c>
      <c r="J922">
        <v>1301.0543213000001</v>
      </c>
      <c r="K922">
        <v>2400</v>
      </c>
      <c r="L922">
        <v>0</v>
      </c>
      <c r="M922">
        <v>0</v>
      </c>
      <c r="N922">
        <v>2400</v>
      </c>
    </row>
    <row r="923" spans="1:14" x14ac:dyDescent="0.25">
      <c r="A923">
        <v>491.31682999999998</v>
      </c>
      <c r="B923" s="1">
        <f>DATE(2011,9,4) + TIME(7,36,14)</f>
        <v>40790.316828703704</v>
      </c>
      <c r="C923">
        <v>80</v>
      </c>
      <c r="D923">
        <v>79.945899963000002</v>
      </c>
      <c r="E923">
        <v>50</v>
      </c>
      <c r="F923">
        <v>40.821136475000003</v>
      </c>
      <c r="G923">
        <v>1353.4758300999999</v>
      </c>
      <c r="H923">
        <v>1347.5526123</v>
      </c>
      <c r="I923">
        <v>1310.1439209</v>
      </c>
      <c r="J923">
        <v>1300.9444579999999</v>
      </c>
      <c r="K923">
        <v>2400</v>
      </c>
      <c r="L923">
        <v>0</v>
      </c>
      <c r="M923">
        <v>0</v>
      </c>
      <c r="N923">
        <v>2400</v>
      </c>
    </row>
    <row r="924" spans="1:14" x14ac:dyDescent="0.25">
      <c r="A924">
        <v>493.00189599999999</v>
      </c>
      <c r="B924" s="1">
        <f>DATE(2011,9,6) + TIME(0,2,43)</f>
        <v>40792.001886574071</v>
      </c>
      <c r="C924">
        <v>80</v>
      </c>
      <c r="D924">
        <v>79.94593811</v>
      </c>
      <c r="E924">
        <v>50</v>
      </c>
      <c r="F924">
        <v>40.735008239999999</v>
      </c>
      <c r="G924">
        <v>1353.4488524999999</v>
      </c>
      <c r="H924">
        <v>1347.5310059000001</v>
      </c>
      <c r="I924">
        <v>1310.0782471</v>
      </c>
      <c r="J924">
        <v>1300.8317870999999</v>
      </c>
      <c r="K924">
        <v>2400</v>
      </c>
      <c r="L924">
        <v>0</v>
      </c>
      <c r="M924">
        <v>0</v>
      </c>
      <c r="N924">
        <v>2400</v>
      </c>
    </row>
    <row r="925" spans="1:14" x14ac:dyDescent="0.25">
      <c r="A925">
        <v>494.71773000000002</v>
      </c>
      <c r="B925" s="1">
        <f>DATE(2011,9,7) + TIME(17,13,31)</f>
        <v>40793.717719907407</v>
      </c>
      <c r="C925">
        <v>80</v>
      </c>
      <c r="D925">
        <v>79.945976256999998</v>
      </c>
      <c r="E925">
        <v>50</v>
      </c>
      <c r="F925">
        <v>40.652843474999997</v>
      </c>
      <c r="G925">
        <v>1353.4217529</v>
      </c>
      <c r="H925">
        <v>1347.5093993999999</v>
      </c>
      <c r="I925">
        <v>1310.0124512</v>
      </c>
      <c r="J925">
        <v>1300.7181396000001</v>
      </c>
      <c r="K925">
        <v>2400</v>
      </c>
      <c r="L925">
        <v>0</v>
      </c>
      <c r="M925">
        <v>0</v>
      </c>
      <c r="N925">
        <v>2400</v>
      </c>
    </row>
    <row r="926" spans="1:14" x14ac:dyDescent="0.25">
      <c r="A926">
        <v>496.46970299999998</v>
      </c>
      <c r="B926" s="1">
        <f>DATE(2011,9,9) + TIME(11,16,22)</f>
        <v>40795.469699074078</v>
      </c>
      <c r="C926">
        <v>80</v>
      </c>
      <c r="D926">
        <v>79.946022033999995</v>
      </c>
      <c r="E926">
        <v>50</v>
      </c>
      <c r="F926">
        <v>40.575958252</v>
      </c>
      <c r="G926">
        <v>1353.3942870999999</v>
      </c>
      <c r="H926">
        <v>1347.4874268000001</v>
      </c>
      <c r="I926">
        <v>1309.9466553</v>
      </c>
      <c r="J926">
        <v>1300.6036377</v>
      </c>
      <c r="K926">
        <v>2400</v>
      </c>
      <c r="L926">
        <v>0</v>
      </c>
      <c r="M926">
        <v>0</v>
      </c>
      <c r="N926">
        <v>2400</v>
      </c>
    </row>
    <row r="927" spans="1:14" x14ac:dyDescent="0.25">
      <c r="A927">
        <v>497.35636299999999</v>
      </c>
      <c r="B927" s="1">
        <f>DATE(2011,9,10) + TIME(8,33,9)</f>
        <v>40796.356354166666</v>
      </c>
      <c r="C927">
        <v>80</v>
      </c>
      <c r="D927">
        <v>79.946022033999995</v>
      </c>
      <c r="E927">
        <v>50</v>
      </c>
      <c r="F927">
        <v>40.522689819</v>
      </c>
      <c r="G927">
        <v>1353.3664550999999</v>
      </c>
      <c r="H927">
        <v>1347.4649658000001</v>
      </c>
      <c r="I927">
        <v>1309.8850098</v>
      </c>
      <c r="J927">
        <v>1300.4989014</v>
      </c>
      <c r="K927">
        <v>2400</v>
      </c>
      <c r="L927">
        <v>0</v>
      </c>
      <c r="M927">
        <v>0</v>
      </c>
      <c r="N927">
        <v>2400</v>
      </c>
    </row>
    <row r="928" spans="1:14" x14ac:dyDescent="0.25">
      <c r="A928">
        <v>498.243022</v>
      </c>
      <c r="B928" s="1">
        <f>DATE(2011,9,11) + TIME(5,49,57)</f>
        <v>40797.243020833332</v>
      </c>
      <c r="C928">
        <v>80</v>
      </c>
      <c r="D928">
        <v>79.946037292</v>
      </c>
      <c r="E928">
        <v>50</v>
      </c>
      <c r="F928">
        <v>40.482242583999998</v>
      </c>
      <c r="G928">
        <v>1353.3524170000001</v>
      </c>
      <c r="H928">
        <v>1347.4536132999999</v>
      </c>
      <c r="I928">
        <v>1309.8477783000001</v>
      </c>
      <c r="J928">
        <v>1300.4317627</v>
      </c>
      <c r="K928">
        <v>2400</v>
      </c>
      <c r="L928">
        <v>0</v>
      </c>
      <c r="M928">
        <v>0</v>
      </c>
      <c r="N928">
        <v>2400</v>
      </c>
    </row>
    <row r="929" spans="1:14" x14ac:dyDescent="0.25">
      <c r="A929">
        <v>499.129682</v>
      </c>
      <c r="B929" s="1">
        <f>DATE(2011,9,12) + TIME(3,6,44)</f>
        <v>40798.129675925928</v>
      </c>
      <c r="C929">
        <v>80</v>
      </c>
      <c r="D929">
        <v>79.946060181000007</v>
      </c>
      <c r="E929">
        <v>50</v>
      </c>
      <c r="F929">
        <v>40.449401854999998</v>
      </c>
      <c r="G929">
        <v>1353.338501</v>
      </c>
      <c r="H929">
        <v>1347.4423827999999</v>
      </c>
      <c r="I929">
        <v>1309.8133545000001</v>
      </c>
      <c r="J929">
        <v>1300.3702393000001</v>
      </c>
      <c r="K929">
        <v>2400</v>
      </c>
      <c r="L929">
        <v>0</v>
      </c>
      <c r="M929">
        <v>0</v>
      </c>
      <c r="N929">
        <v>2400</v>
      </c>
    </row>
    <row r="930" spans="1:14" x14ac:dyDescent="0.25">
      <c r="A930">
        <v>500.01634100000001</v>
      </c>
      <c r="B930" s="1">
        <f>DATE(2011,9,13) + TIME(0,23,31)</f>
        <v>40799.016331018516</v>
      </c>
      <c r="C930">
        <v>80</v>
      </c>
      <c r="D930">
        <v>79.946083068999997</v>
      </c>
      <c r="E930">
        <v>50</v>
      </c>
      <c r="F930">
        <v>40.421764373999999</v>
      </c>
      <c r="G930">
        <v>1353.3245850000001</v>
      </c>
      <c r="H930">
        <v>1347.4311522999999</v>
      </c>
      <c r="I930">
        <v>1309.7805175999999</v>
      </c>
      <c r="J930">
        <v>1300.3117675999999</v>
      </c>
      <c r="K930">
        <v>2400</v>
      </c>
      <c r="L930">
        <v>0</v>
      </c>
      <c r="M930">
        <v>0</v>
      </c>
      <c r="N930">
        <v>2400</v>
      </c>
    </row>
    <row r="931" spans="1:14" x14ac:dyDescent="0.25">
      <c r="A931">
        <v>500.90300100000002</v>
      </c>
      <c r="B931" s="1">
        <f>DATE(2011,9,13) + TIME(21,40,19)</f>
        <v>40799.902997685182</v>
      </c>
      <c r="C931">
        <v>80</v>
      </c>
      <c r="D931">
        <v>79.946098328000005</v>
      </c>
      <c r="E931">
        <v>50</v>
      </c>
      <c r="F931">
        <v>40.398250580000003</v>
      </c>
      <c r="G931">
        <v>1353.3107910000001</v>
      </c>
      <c r="H931">
        <v>1347.4199219</v>
      </c>
      <c r="I931">
        <v>1309.7486572</v>
      </c>
      <c r="J931">
        <v>1300.2551269999999</v>
      </c>
      <c r="K931">
        <v>2400</v>
      </c>
      <c r="L931">
        <v>0</v>
      </c>
      <c r="M931">
        <v>0</v>
      </c>
      <c r="N931">
        <v>2400</v>
      </c>
    </row>
    <row r="932" spans="1:14" x14ac:dyDescent="0.25">
      <c r="A932">
        <v>501.78966000000003</v>
      </c>
      <c r="B932" s="1">
        <f>DATE(2011,9,14) + TIME(18,57,6)</f>
        <v>40800.789652777778</v>
      </c>
      <c r="C932">
        <v>80</v>
      </c>
      <c r="D932">
        <v>79.946121215999995</v>
      </c>
      <c r="E932">
        <v>50</v>
      </c>
      <c r="F932">
        <v>40.378421783</v>
      </c>
      <c r="G932">
        <v>1353.2969971</v>
      </c>
      <c r="H932">
        <v>1347.4088135</v>
      </c>
      <c r="I932">
        <v>1309.7175293</v>
      </c>
      <c r="J932">
        <v>1300.1995850000001</v>
      </c>
      <c r="K932">
        <v>2400</v>
      </c>
      <c r="L932">
        <v>0</v>
      </c>
      <c r="M932">
        <v>0</v>
      </c>
      <c r="N932">
        <v>2400</v>
      </c>
    </row>
    <row r="933" spans="1:14" x14ac:dyDescent="0.25">
      <c r="A933">
        <v>503.56297899999998</v>
      </c>
      <c r="B933" s="1">
        <f>DATE(2011,9,16) + TIME(13,30,41)</f>
        <v>40802.562974537039</v>
      </c>
      <c r="C933">
        <v>80</v>
      </c>
      <c r="D933">
        <v>79.946182250999996</v>
      </c>
      <c r="E933">
        <v>50</v>
      </c>
      <c r="F933">
        <v>40.357059479</v>
      </c>
      <c r="G933">
        <v>1353.2834473</v>
      </c>
      <c r="H933">
        <v>1347.3977050999999</v>
      </c>
      <c r="I933">
        <v>1309.6838379000001</v>
      </c>
      <c r="J933">
        <v>1300.1384277</v>
      </c>
      <c r="K933">
        <v>2400</v>
      </c>
      <c r="L933">
        <v>0</v>
      </c>
      <c r="M933">
        <v>0</v>
      </c>
      <c r="N933">
        <v>2400</v>
      </c>
    </row>
    <row r="934" spans="1:14" x14ac:dyDescent="0.25">
      <c r="A934">
        <v>505.34073899999999</v>
      </c>
      <c r="B934" s="1">
        <f>DATE(2011,9,18) + TIME(8,10,39)</f>
        <v>40804.340729166666</v>
      </c>
      <c r="C934">
        <v>80</v>
      </c>
      <c r="D934">
        <v>79.946235657000003</v>
      </c>
      <c r="E934">
        <v>50</v>
      </c>
      <c r="F934">
        <v>40.337532043000003</v>
      </c>
      <c r="G934">
        <v>1353.2562256000001</v>
      </c>
      <c r="H934">
        <v>1347.3756103999999</v>
      </c>
      <c r="I934">
        <v>1309.6291504000001</v>
      </c>
      <c r="J934">
        <v>1300.0413818</v>
      </c>
      <c r="K934">
        <v>2400</v>
      </c>
      <c r="L934">
        <v>0</v>
      </c>
      <c r="M934">
        <v>0</v>
      </c>
      <c r="N934">
        <v>2400</v>
      </c>
    </row>
    <row r="935" spans="1:14" x14ac:dyDescent="0.25">
      <c r="A935">
        <v>507.15429499999999</v>
      </c>
      <c r="B935" s="1">
        <f>DATE(2011,9,20) + TIME(3,42,11)</f>
        <v>40806.154293981483</v>
      </c>
      <c r="C935">
        <v>80</v>
      </c>
      <c r="D935">
        <v>79.946281432999996</v>
      </c>
      <c r="E935">
        <v>50</v>
      </c>
      <c r="F935">
        <v>40.328929901000002</v>
      </c>
      <c r="G935">
        <v>1353.2290039</v>
      </c>
      <c r="H935">
        <v>1347.3533935999999</v>
      </c>
      <c r="I935">
        <v>1309.5725098</v>
      </c>
      <c r="J935">
        <v>1299.9399414</v>
      </c>
      <c r="K935">
        <v>2400</v>
      </c>
      <c r="L935">
        <v>0</v>
      </c>
      <c r="M935">
        <v>0</v>
      </c>
      <c r="N935">
        <v>2400</v>
      </c>
    </row>
    <row r="936" spans="1:14" x14ac:dyDescent="0.25">
      <c r="A936">
        <v>508.99646799999999</v>
      </c>
      <c r="B936" s="1">
        <f>DATE(2011,9,21) + TIME(23,54,54)</f>
        <v>40807.996458333335</v>
      </c>
      <c r="C936">
        <v>80</v>
      </c>
      <c r="D936">
        <v>79.946327209000003</v>
      </c>
      <c r="E936">
        <v>50</v>
      </c>
      <c r="F936">
        <v>40.335285186999997</v>
      </c>
      <c r="G936">
        <v>1353.2014160000001</v>
      </c>
      <c r="H936">
        <v>1347.3309326000001</v>
      </c>
      <c r="I936">
        <v>1309.5157471</v>
      </c>
      <c r="J936">
        <v>1299.8378906</v>
      </c>
      <c r="K936">
        <v>2400</v>
      </c>
      <c r="L936">
        <v>0</v>
      </c>
      <c r="M936">
        <v>0</v>
      </c>
      <c r="N936">
        <v>2400</v>
      </c>
    </row>
    <row r="937" spans="1:14" x14ac:dyDescent="0.25">
      <c r="A937">
        <v>510.85503499999999</v>
      </c>
      <c r="B937" s="1">
        <f>DATE(2011,9,23) + TIME(20,31,15)</f>
        <v>40809.855034722219</v>
      </c>
      <c r="C937">
        <v>80</v>
      </c>
      <c r="D937">
        <v>79.946372986</v>
      </c>
      <c r="E937">
        <v>50</v>
      </c>
      <c r="F937">
        <v>40.359169006000002</v>
      </c>
      <c r="G937">
        <v>1353.1735839999999</v>
      </c>
      <c r="H937">
        <v>1347.3081055</v>
      </c>
      <c r="I937">
        <v>1309.4598389</v>
      </c>
      <c r="J937">
        <v>1299.7373047000001</v>
      </c>
      <c r="K937">
        <v>2400</v>
      </c>
      <c r="L937">
        <v>0</v>
      </c>
      <c r="M937">
        <v>0</v>
      </c>
      <c r="N937">
        <v>2400</v>
      </c>
    </row>
    <row r="938" spans="1:14" x14ac:dyDescent="0.25">
      <c r="A938">
        <v>512.73552800000004</v>
      </c>
      <c r="B938" s="1">
        <f>DATE(2011,9,25) + TIME(17,39,9)</f>
        <v>40811.735520833332</v>
      </c>
      <c r="C938">
        <v>80</v>
      </c>
      <c r="D938">
        <v>79.946426392000006</v>
      </c>
      <c r="E938">
        <v>50</v>
      </c>
      <c r="F938">
        <v>40.402442932</v>
      </c>
      <c r="G938">
        <v>1353.1456298999999</v>
      </c>
      <c r="H938">
        <v>1347.2851562000001</v>
      </c>
      <c r="I938">
        <v>1309.4053954999999</v>
      </c>
      <c r="J938">
        <v>1299.6395264</v>
      </c>
      <c r="K938">
        <v>2400</v>
      </c>
      <c r="L938">
        <v>0</v>
      </c>
      <c r="M938">
        <v>0</v>
      </c>
      <c r="N938">
        <v>2400</v>
      </c>
    </row>
    <row r="939" spans="1:14" x14ac:dyDescent="0.25">
      <c r="A939">
        <v>514.658546</v>
      </c>
      <c r="B939" s="1">
        <f>DATE(2011,9,27) + TIME(15,48,18)</f>
        <v>40813.658541666664</v>
      </c>
      <c r="C939">
        <v>80</v>
      </c>
      <c r="D939">
        <v>79.946472168</v>
      </c>
      <c r="E939">
        <v>50</v>
      </c>
      <c r="F939">
        <v>40.466968536000003</v>
      </c>
      <c r="G939">
        <v>1353.1175536999999</v>
      </c>
      <c r="H939">
        <v>1347.2620850000001</v>
      </c>
      <c r="I939">
        <v>1309.3522949000001</v>
      </c>
      <c r="J939">
        <v>1299.5447998</v>
      </c>
      <c r="K939">
        <v>2400</v>
      </c>
      <c r="L939">
        <v>0</v>
      </c>
      <c r="M939">
        <v>0</v>
      </c>
      <c r="N939">
        <v>2400</v>
      </c>
    </row>
    <row r="940" spans="1:14" x14ac:dyDescent="0.25">
      <c r="A940">
        <v>516.60031900000001</v>
      </c>
      <c r="B940" s="1">
        <f>DATE(2011,9,29) + TIME(14,24,27)</f>
        <v>40815.600312499999</v>
      </c>
      <c r="C940">
        <v>80</v>
      </c>
      <c r="D940">
        <v>79.946525574000006</v>
      </c>
      <c r="E940">
        <v>50</v>
      </c>
      <c r="F940">
        <v>40.554611205999997</v>
      </c>
      <c r="G940">
        <v>1353.0891113</v>
      </c>
      <c r="H940">
        <v>1347.2386475000001</v>
      </c>
      <c r="I940">
        <v>1309.3006591999999</v>
      </c>
      <c r="J940">
        <v>1299.4527588000001</v>
      </c>
      <c r="K940">
        <v>2400</v>
      </c>
      <c r="L940">
        <v>0</v>
      </c>
      <c r="M940">
        <v>0</v>
      </c>
      <c r="N940">
        <v>2400</v>
      </c>
    </row>
    <row r="941" spans="1:14" x14ac:dyDescent="0.25">
      <c r="A941">
        <v>518</v>
      </c>
      <c r="B941" s="1">
        <f>DATE(2011,10,1) + TIME(0,0,0)</f>
        <v>40817</v>
      </c>
      <c r="C941">
        <v>80</v>
      </c>
      <c r="D941">
        <v>79.946556091000005</v>
      </c>
      <c r="E941">
        <v>50</v>
      </c>
      <c r="F941">
        <v>40.655155182000001</v>
      </c>
      <c r="G941">
        <v>1353.0605469</v>
      </c>
      <c r="H941">
        <v>1347.2149658000001</v>
      </c>
      <c r="I941">
        <v>1309.2541504000001</v>
      </c>
      <c r="J941">
        <v>1299.3686522999999</v>
      </c>
      <c r="K941">
        <v>2400</v>
      </c>
      <c r="L941">
        <v>0</v>
      </c>
      <c r="M941">
        <v>0</v>
      </c>
      <c r="N941">
        <v>2400</v>
      </c>
    </row>
    <row r="942" spans="1:14" x14ac:dyDescent="0.25">
      <c r="A942">
        <v>519.96306900000002</v>
      </c>
      <c r="B942" s="1">
        <f>DATE(2011,10,2) + TIME(23,6,49)</f>
        <v>40818.963067129633</v>
      </c>
      <c r="C942">
        <v>80</v>
      </c>
      <c r="D942">
        <v>79.946617126000007</v>
      </c>
      <c r="E942">
        <v>50</v>
      </c>
      <c r="F942">
        <v>40.769752502000003</v>
      </c>
      <c r="G942">
        <v>1353.0401611</v>
      </c>
      <c r="H942">
        <v>1347.1979980000001</v>
      </c>
      <c r="I942">
        <v>1309.2138672000001</v>
      </c>
      <c r="J942">
        <v>1299.3012695</v>
      </c>
      <c r="K942">
        <v>2400</v>
      </c>
      <c r="L942">
        <v>0</v>
      </c>
      <c r="M942">
        <v>0</v>
      </c>
      <c r="N942">
        <v>2400</v>
      </c>
    </row>
    <row r="943" spans="1:14" x14ac:dyDescent="0.25">
      <c r="A943">
        <v>521.95549000000005</v>
      </c>
      <c r="B943" s="1">
        <f>DATE(2011,10,4) + TIME(22,55,54)</f>
        <v>40820.95548611111</v>
      </c>
      <c r="C943">
        <v>80</v>
      </c>
      <c r="D943">
        <v>79.946670531999999</v>
      </c>
      <c r="E943">
        <v>50</v>
      </c>
      <c r="F943">
        <v>40.920150757000002</v>
      </c>
      <c r="G943">
        <v>1353.0117187999999</v>
      </c>
      <c r="H943">
        <v>1347.1744385</v>
      </c>
      <c r="I943">
        <v>1309.1694336</v>
      </c>
      <c r="J943">
        <v>1299.2236327999999</v>
      </c>
      <c r="K943">
        <v>2400</v>
      </c>
      <c r="L943">
        <v>0</v>
      </c>
      <c r="M943">
        <v>0</v>
      </c>
      <c r="N943">
        <v>2400</v>
      </c>
    </row>
    <row r="944" spans="1:14" x14ac:dyDescent="0.25">
      <c r="A944">
        <v>523.95166900000004</v>
      </c>
      <c r="B944" s="1">
        <f>DATE(2011,10,6) + TIME(22,50,24)</f>
        <v>40822.951666666668</v>
      </c>
      <c r="C944">
        <v>80</v>
      </c>
      <c r="D944">
        <v>79.946723938000005</v>
      </c>
      <c r="E944">
        <v>50</v>
      </c>
      <c r="F944">
        <v>41.099056244000003</v>
      </c>
      <c r="G944">
        <v>1352.9830322</v>
      </c>
      <c r="H944">
        <v>1347.1505127</v>
      </c>
      <c r="I944">
        <v>1309.1254882999999</v>
      </c>
      <c r="J944">
        <v>1299.1488036999999</v>
      </c>
      <c r="K944">
        <v>2400</v>
      </c>
      <c r="L944">
        <v>0</v>
      </c>
      <c r="M944">
        <v>0</v>
      </c>
      <c r="N944">
        <v>2400</v>
      </c>
    </row>
    <row r="945" spans="1:14" x14ac:dyDescent="0.25">
      <c r="A945">
        <v>525.95876899999996</v>
      </c>
      <c r="B945" s="1">
        <f>DATE(2011,10,8) + TIME(23,0,37)</f>
        <v>40824.958761574075</v>
      </c>
      <c r="C945">
        <v>80</v>
      </c>
      <c r="D945">
        <v>79.946777343999997</v>
      </c>
      <c r="E945">
        <v>50</v>
      </c>
      <c r="F945">
        <v>41.302864075000002</v>
      </c>
      <c r="G945">
        <v>1352.9545897999999</v>
      </c>
      <c r="H945">
        <v>1347.1267089999999</v>
      </c>
      <c r="I945">
        <v>1309.083374</v>
      </c>
      <c r="J945">
        <v>1299.0786132999999</v>
      </c>
      <c r="K945">
        <v>2400</v>
      </c>
      <c r="L945">
        <v>0</v>
      </c>
      <c r="M945">
        <v>0</v>
      </c>
      <c r="N945">
        <v>2400</v>
      </c>
    </row>
    <row r="946" spans="1:14" x14ac:dyDescent="0.25">
      <c r="A946">
        <v>527.98420699999997</v>
      </c>
      <c r="B946" s="1">
        <f>DATE(2011,10,10) + TIME(23,37,15)</f>
        <v>40826.984201388892</v>
      </c>
      <c r="C946">
        <v>80</v>
      </c>
      <c r="D946">
        <v>79.946838378999999</v>
      </c>
      <c r="E946">
        <v>50</v>
      </c>
      <c r="F946">
        <v>41.530128478999998</v>
      </c>
      <c r="G946">
        <v>1352.9261475000001</v>
      </c>
      <c r="H946">
        <v>1347.1030272999999</v>
      </c>
      <c r="I946">
        <v>1309.0430908000001</v>
      </c>
      <c r="J946">
        <v>1299.0133057</v>
      </c>
      <c r="K946">
        <v>2400</v>
      </c>
      <c r="L946">
        <v>0</v>
      </c>
      <c r="M946">
        <v>0</v>
      </c>
      <c r="N946">
        <v>2400</v>
      </c>
    </row>
    <row r="947" spans="1:14" x14ac:dyDescent="0.25">
      <c r="A947">
        <v>530.034986</v>
      </c>
      <c r="B947" s="1">
        <f>DATE(2011,10,13) + TIME(0,50,22)</f>
        <v>40829.03497685185</v>
      </c>
      <c r="C947">
        <v>80</v>
      </c>
      <c r="D947">
        <v>79.946891785000005</v>
      </c>
      <c r="E947">
        <v>50</v>
      </c>
      <c r="F947">
        <v>41.779811858999999</v>
      </c>
      <c r="G947">
        <v>1352.8978271000001</v>
      </c>
      <c r="H947">
        <v>1347.0792236</v>
      </c>
      <c r="I947">
        <v>1309.0048827999999</v>
      </c>
      <c r="J947">
        <v>1298.9527588000001</v>
      </c>
      <c r="K947">
        <v>2400</v>
      </c>
      <c r="L947">
        <v>0</v>
      </c>
      <c r="M947">
        <v>0</v>
      </c>
      <c r="N947">
        <v>2400</v>
      </c>
    </row>
    <row r="948" spans="1:14" x14ac:dyDescent="0.25">
      <c r="A948">
        <v>532.11751600000002</v>
      </c>
      <c r="B948" s="1">
        <f>DATE(2011,10,15) + TIME(2,49,13)</f>
        <v>40831.117511574077</v>
      </c>
      <c r="C948">
        <v>80</v>
      </c>
      <c r="D948">
        <v>79.946952820000007</v>
      </c>
      <c r="E948">
        <v>50</v>
      </c>
      <c r="F948">
        <v>42.050983428999999</v>
      </c>
      <c r="G948">
        <v>1352.8692627</v>
      </c>
      <c r="H948">
        <v>1347.0554199000001</v>
      </c>
      <c r="I948">
        <v>1308.9685059000001</v>
      </c>
      <c r="J948">
        <v>1298.8969727000001</v>
      </c>
      <c r="K948">
        <v>2400</v>
      </c>
      <c r="L948">
        <v>0</v>
      </c>
      <c r="M948">
        <v>0</v>
      </c>
      <c r="N948">
        <v>2400</v>
      </c>
    </row>
    <row r="949" spans="1:14" x14ac:dyDescent="0.25">
      <c r="A949">
        <v>534.22746400000005</v>
      </c>
      <c r="B949" s="1">
        <f>DATE(2011,10,17) + TIME(5,27,32)</f>
        <v>40833.227453703701</v>
      </c>
      <c r="C949">
        <v>80</v>
      </c>
      <c r="D949">
        <v>79.947013854999994</v>
      </c>
      <c r="E949">
        <v>50</v>
      </c>
      <c r="F949">
        <v>42.342262267999999</v>
      </c>
      <c r="G949">
        <v>1352.8406981999999</v>
      </c>
      <c r="H949">
        <v>1347.0313721</v>
      </c>
      <c r="I949">
        <v>1308.9338379000001</v>
      </c>
      <c r="J949">
        <v>1298.8455810999999</v>
      </c>
      <c r="K949">
        <v>2400</v>
      </c>
      <c r="L949">
        <v>0</v>
      </c>
      <c r="M949">
        <v>0</v>
      </c>
      <c r="N949">
        <v>2400</v>
      </c>
    </row>
    <row r="950" spans="1:14" x14ac:dyDescent="0.25">
      <c r="A950">
        <v>536.35330299999998</v>
      </c>
      <c r="B950" s="1">
        <f>DATE(2011,10,19) + TIME(8,28,45)</f>
        <v>40835.353298611109</v>
      </c>
      <c r="C950">
        <v>80</v>
      </c>
      <c r="D950">
        <v>79.947074889999996</v>
      </c>
      <c r="E950">
        <v>50</v>
      </c>
      <c r="F950">
        <v>42.650997162000003</v>
      </c>
      <c r="G950">
        <v>1352.8120117000001</v>
      </c>
      <c r="H950">
        <v>1347.0072021000001</v>
      </c>
      <c r="I950">
        <v>1308.9012451000001</v>
      </c>
      <c r="J950">
        <v>1298.7988281</v>
      </c>
      <c r="K950">
        <v>2400</v>
      </c>
      <c r="L950">
        <v>0</v>
      </c>
      <c r="M950">
        <v>0</v>
      </c>
      <c r="N950">
        <v>2400</v>
      </c>
    </row>
    <row r="951" spans="1:14" x14ac:dyDescent="0.25">
      <c r="A951">
        <v>538.50225699999999</v>
      </c>
      <c r="B951" s="1">
        <f>DATE(2011,10,21) + TIME(12,3,14)</f>
        <v>40837.502245370371</v>
      </c>
      <c r="C951">
        <v>80</v>
      </c>
      <c r="D951">
        <v>79.947135924999998</v>
      </c>
      <c r="E951">
        <v>50</v>
      </c>
      <c r="F951">
        <v>42.973781586000001</v>
      </c>
      <c r="G951">
        <v>1352.7834473</v>
      </c>
      <c r="H951">
        <v>1346.9831543</v>
      </c>
      <c r="I951">
        <v>1308.8704834</v>
      </c>
      <c r="J951">
        <v>1298.7567139</v>
      </c>
      <c r="K951">
        <v>2400</v>
      </c>
      <c r="L951">
        <v>0</v>
      </c>
      <c r="M951">
        <v>0</v>
      </c>
      <c r="N951">
        <v>2400</v>
      </c>
    </row>
    <row r="952" spans="1:14" x14ac:dyDescent="0.25">
      <c r="A952">
        <v>540.68122700000004</v>
      </c>
      <c r="B952" s="1">
        <f>DATE(2011,10,23) + TIME(16,20,58)</f>
        <v>40839.681226851855</v>
      </c>
      <c r="C952">
        <v>80</v>
      </c>
      <c r="D952">
        <v>79.947196959999999</v>
      </c>
      <c r="E952">
        <v>50</v>
      </c>
      <c r="F952">
        <v>43.308773041000002</v>
      </c>
      <c r="G952">
        <v>1352.7550048999999</v>
      </c>
      <c r="H952">
        <v>1346.9591064000001</v>
      </c>
      <c r="I952">
        <v>1308.8417969</v>
      </c>
      <c r="J952">
        <v>1298.7189940999999</v>
      </c>
      <c r="K952">
        <v>2400</v>
      </c>
      <c r="L952">
        <v>0</v>
      </c>
      <c r="M952">
        <v>0</v>
      </c>
      <c r="N952">
        <v>2400</v>
      </c>
    </row>
    <row r="953" spans="1:14" x14ac:dyDescent="0.25">
      <c r="A953">
        <v>542.89786300000003</v>
      </c>
      <c r="B953" s="1">
        <f>DATE(2011,10,25) + TIME(21,32,55)</f>
        <v>40841.897858796299</v>
      </c>
      <c r="C953">
        <v>80</v>
      </c>
      <c r="D953">
        <v>79.947257996000005</v>
      </c>
      <c r="E953">
        <v>50</v>
      </c>
      <c r="F953">
        <v>43.654422760000003</v>
      </c>
      <c r="G953">
        <v>1352.7264404</v>
      </c>
      <c r="H953">
        <v>1346.9349365</v>
      </c>
      <c r="I953">
        <v>1308.8150635</v>
      </c>
      <c r="J953">
        <v>1298.6853027</v>
      </c>
      <c r="K953">
        <v>2400</v>
      </c>
      <c r="L953">
        <v>0</v>
      </c>
      <c r="M953">
        <v>0</v>
      </c>
      <c r="N953">
        <v>2400</v>
      </c>
    </row>
    <row r="954" spans="1:14" x14ac:dyDescent="0.25">
      <c r="A954">
        <v>545.13497600000005</v>
      </c>
      <c r="B954" s="1">
        <f>DATE(2011,10,28) + TIME(3,14,21)</f>
        <v>40844.134965277779</v>
      </c>
      <c r="C954">
        <v>80</v>
      </c>
      <c r="D954">
        <v>79.947326660000002</v>
      </c>
      <c r="E954">
        <v>50</v>
      </c>
      <c r="F954">
        <v>44.008499145999998</v>
      </c>
      <c r="G954">
        <v>1352.6977539</v>
      </c>
      <c r="H954">
        <v>1346.9106445</v>
      </c>
      <c r="I954">
        <v>1308.7902832</v>
      </c>
      <c r="J954">
        <v>1298.6556396000001</v>
      </c>
      <c r="K954">
        <v>2400</v>
      </c>
      <c r="L954">
        <v>0</v>
      </c>
      <c r="M954">
        <v>0</v>
      </c>
      <c r="N954">
        <v>2400</v>
      </c>
    </row>
    <row r="955" spans="1:14" x14ac:dyDescent="0.25">
      <c r="A955">
        <v>547.39353400000005</v>
      </c>
      <c r="B955" s="1">
        <f>DATE(2011,10,30) + TIME(9,26,41)</f>
        <v>40846.393530092595</v>
      </c>
      <c r="C955">
        <v>80</v>
      </c>
      <c r="D955">
        <v>79.947387695000003</v>
      </c>
      <c r="E955">
        <v>50</v>
      </c>
      <c r="F955">
        <v>44.367195129000002</v>
      </c>
      <c r="G955">
        <v>1352.6691894999999</v>
      </c>
      <c r="H955">
        <v>1346.8864745999999</v>
      </c>
      <c r="I955">
        <v>1308.7674560999999</v>
      </c>
      <c r="J955">
        <v>1298.6300048999999</v>
      </c>
      <c r="K955">
        <v>2400</v>
      </c>
      <c r="L955">
        <v>0</v>
      </c>
      <c r="M955">
        <v>0</v>
      </c>
      <c r="N955">
        <v>2400</v>
      </c>
    </row>
    <row r="956" spans="1:14" x14ac:dyDescent="0.25">
      <c r="A956">
        <v>549</v>
      </c>
      <c r="B956" s="1">
        <f>DATE(2011,11,1) + TIME(0,0,0)</f>
        <v>40848</v>
      </c>
      <c r="C956">
        <v>80</v>
      </c>
      <c r="D956">
        <v>79.947425842000001</v>
      </c>
      <c r="E956">
        <v>50</v>
      </c>
      <c r="F956">
        <v>44.695625305</v>
      </c>
      <c r="G956">
        <v>1352.6407471</v>
      </c>
      <c r="H956">
        <v>1346.8624268000001</v>
      </c>
      <c r="I956">
        <v>1308.7508545000001</v>
      </c>
      <c r="J956">
        <v>1298.6096190999999</v>
      </c>
      <c r="K956">
        <v>2400</v>
      </c>
      <c r="L956">
        <v>0</v>
      </c>
      <c r="M956">
        <v>0</v>
      </c>
      <c r="N956">
        <v>2400</v>
      </c>
    </row>
    <row r="957" spans="1:14" x14ac:dyDescent="0.25">
      <c r="A957">
        <v>549.000001</v>
      </c>
      <c r="B957" s="1">
        <f>DATE(2011,11,1) + TIME(0,0,0)</f>
        <v>40848</v>
      </c>
      <c r="C957">
        <v>80</v>
      </c>
      <c r="D957">
        <v>79.947319031000006</v>
      </c>
      <c r="E957">
        <v>50</v>
      </c>
      <c r="F957">
        <v>44.695758820000002</v>
      </c>
      <c r="G957">
        <v>1346.0617675999999</v>
      </c>
      <c r="H957">
        <v>1341.713501</v>
      </c>
      <c r="I957">
        <v>1319.8569336</v>
      </c>
      <c r="J957">
        <v>1309.7565918</v>
      </c>
      <c r="K957">
        <v>0</v>
      </c>
      <c r="L957">
        <v>2400</v>
      </c>
      <c r="M957">
        <v>2400</v>
      </c>
      <c r="N957">
        <v>0</v>
      </c>
    </row>
    <row r="958" spans="1:14" x14ac:dyDescent="0.25">
      <c r="A958">
        <v>549.00000399999999</v>
      </c>
      <c r="B958" s="1">
        <f>DATE(2011,11,1) + TIME(0,0,0)</f>
        <v>40848</v>
      </c>
      <c r="C958">
        <v>80</v>
      </c>
      <c r="D958">
        <v>79.947074889999996</v>
      </c>
      <c r="E958">
        <v>50</v>
      </c>
      <c r="F958">
        <v>44.696071625000002</v>
      </c>
      <c r="G958">
        <v>1344.3780518000001</v>
      </c>
      <c r="H958">
        <v>1340.0295410000001</v>
      </c>
      <c r="I958">
        <v>1321.9450684000001</v>
      </c>
      <c r="J958">
        <v>1312.1135254000001</v>
      </c>
      <c r="K958">
        <v>0</v>
      </c>
      <c r="L958">
        <v>2400</v>
      </c>
      <c r="M958">
        <v>2400</v>
      </c>
      <c r="N958">
        <v>0</v>
      </c>
    </row>
    <row r="959" spans="1:14" x14ac:dyDescent="0.25">
      <c r="A959">
        <v>549.00001299999997</v>
      </c>
      <c r="B959" s="1">
        <f>DATE(2011,11,1) + TIME(0,0,1)</f>
        <v>40848.000011574077</v>
      </c>
      <c r="C959">
        <v>80</v>
      </c>
      <c r="D959">
        <v>79.946708678999997</v>
      </c>
      <c r="E959">
        <v>50</v>
      </c>
      <c r="F959">
        <v>44.696651459000002</v>
      </c>
      <c r="G959">
        <v>1341.8040771000001</v>
      </c>
      <c r="H959">
        <v>1337.4560547000001</v>
      </c>
      <c r="I959">
        <v>1325.9140625</v>
      </c>
      <c r="J959">
        <v>1316.3085937999999</v>
      </c>
      <c r="K959">
        <v>0</v>
      </c>
      <c r="L959">
        <v>2400</v>
      </c>
      <c r="M959">
        <v>2400</v>
      </c>
      <c r="N959">
        <v>0</v>
      </c>
    </row>
    <row r="960" spans="1:14" x14ac:dyDescent="0.25">
      <c r="A960">
        <v>549.00004000000001</v>
      </c>
      <c r="B960" s="1">
        <f>DATE(2011,11,1) + TIME(0,0,3)</f>
        <v>40848.000034722223</v>
      </c>
      <c r="C960">
        <v>80</v>
      </c>
      <c r="D960">
        <v>79.946289062000005</v>
      </c>
      <c r="E960">
        <v>50</v>
      </c>
      <c r="F960">
        <v>44.697517394999998</v>
      </c>
      <c r="G960">
        <v>1338.8785399999999</v>
      </c>
      <c r="H960">
        <v>1334.5322266000001</v>
      </c>
      <c r="I960">
        <v>1331.3778076000001</v>
      </c>
      <c r="J960">
        <v>1321.784668</v>
      </c>
      <c r="K960">
        <v>0</v>
      </c>
      <c r="L960">
        <v>2400</v>
      </c>
      <c r="M960">
        <v>2400</v>
      </c>
      <c r="N960">
        <v>0</v>
      </c>
    </row>
    <row r="961" spans="1:14" x14ac:dyDescent="0.25">
      <c r="A961">
        <v>549.00012100000004</v>
      </c>
      <c r="B961" s="1">
        <f>DATE(2011,11,1) + TIME(0,0,10)</f>
        <v>40848.000115740739</v>
      </c>
      <c r="C961">
        <v>80</v>
      </c>
      <c r="D961">
        <v>79.945854186999995</v>
      </c>
      <c r="E961">
        <v>50</v>
      </c>
      <c r="F961">
        <v>44.698822020999998</v>
      </c>
      <c r="G961">
        <v>1335.9444579999999</v>
      </c>
      <c r="H961">
        <v>1331.5970459</v>
      </c>
      <c r="I961">
        <v>1337.3146973</v>
      </c>
      <c r="J961">
        <v>1327.6479492000001</v>
      </c>
      <c r="K961">
        <v>0</v>
      </c>
      <c r="L961">
        <v>2400</v>
      </c>
      <c r="M961">
        <v>2400</v>
      </c>
      <c r="N961">
        <v>0</v>
      </c>
    </row>
    <row r="962" spans="1:14" x14ac:dyDescent="0.25">
      <c r="A962">
        <v>549.00036399999999</v>
      </c>
      <c r="B962" s="1">
        <f>DATE(2011,11,1) + TIME(0,0,31)</f>
        <v>40848.000358796293</v>
      </c>
      <c r="C962">
        <v>80</v>
      </c>
      <c r="D962">
        <v>79.945373535000002</v>
      </c>
      <c r="E962">
        <v>50</v>
      </c>
      <c r="F962">
        <v>44.701324462999999</v>
      </c>
      <c r="G962">
        <v>1332.9855957</v>
      </c>
      <c r="H962">
        <v>1328.6086425999999</v>
      </c>
      <c r="I962">
        <v>1343.3452147999999</v>
      </c>
      <c r="J962">
        <v>1333.6068115</v>
      </c>
      <c r="K962">
        <v>0</v>
      </c>
      <c r="L962">
        <v>2400</v>
      </c>
      <c r="M962">
        <v>2400</v>
      </c>
      <c r="N962">
        <v>0</v>
      </c>
    </row>
    <row r="963" spans="1:14" x14ac:dyDescent="0.25">
      <c r="A963">
        <v>549.00109299999997</v>
      </c>
      <c r="B963" s="1">
        <f>DATE(2011,11,1) + TIME(0,1,34)</f>
        <v>40848.001087962963</v>
      </c>
      <c r="C963">
        <v>80</v>
      </c>
      <c r="D963">
        <v>79.944755553999997</v>
      </c>
      <c r="E963">
        <v>50</v>
      </c>
      <c r="F963">
        <v>44.707420349000003</v>
      </c>
      <c r="G963">
        <v>1329.8387451000001</v>
      </c>
      <c r="H963">
        <v>1325.3649902</v>
      </c>
      <c r="I963">
        <v>1349.4875488</v>
      </c>
      <c r="J963">
        <v>1339.6497803</v>
      </c>
      <c r="K963">
        <v>0</v>
      </c>
      <c r="L963">
        <v>2400</v>
      </c>
      <c r="M963">
        <v>2400</v>
      </c>
      <c r="N963">
        <v>0</v>
      </c>
    </row>
    <row r="964" spans="1:14" x14ac:dyDescent="0.25">
      <c r="A964">
        <v>549.00328000000002</v>
      </c>
      <c r="B964" s="1">
        <f>DATE(2011,11,1) + TIME(0,4,43)</f>
        <v>40848.003275462965</v>
      </c>
      <c r="C964">
        <v>80</v>
      </c>
      <c r="D964">
        <v>79.943740844999994</v>
      </c>
      <c r="E964">
        <v>50</v>
      </c>
      <c r="F964">
        <v>44.724380492999998</v>
      </c>
      <c r="G964">
        <v>1326.4765625</v>
      </c>
      <c r="H964">
        <v>1321.8765868999999</v>
      </c>
      <c r="I964">
        <v>1355.3975829999999</v>
      </c>
      <c r="J964">
        <v>1345.4205322</v>
      </c>
      <c r="K964">
        <v>0</v>
      </c>
      <c r="L964">
        <v>2400</v>
      </c>
      <c r="M964">
        <v>2400</v>
      </c>
      <c r="N964">
        <v>0</v>
      </c>
    </row>
    <row r="965" spans="1:14" x14ac:dyDescent="0.25">
      <c r="A965">
        <v>549.00984100000005</v>
      </c>
      <c r="B965" s="1">
        <f>DATE(2011,11,1) + TIME(0,14,10)</f>
        <v>40848.009837962964</v>
      </c>
      <c r="C965">
        <v>80</v>
      </c>
      <c r="D965">
        <v>79.941703795999999</v>
      </c>
      <c r="E965">
        <v>50</v>
      </c>
      <c r="F965">
        <v>44.773845672999997</v>
      </c>
      <c r="G965">
        <v>1323.4821777</v>
      </c>
      <c r="H965">
        <v>1318.8067627</v>
      </c>
      <c r="I965">
        <v>1359.9536132999999</v>
      </c>
      <c r="J965">
        <v>1349.8548584</v>
      </c>
      <c r="K965">
        <v>0</v>
      </c>
      <c r="L965">
        <v>2400</v>
      </c>
      <c r="M965">
        <v>2400</v>
      </c>
      <c r="N965">
        <v>0</v>
      </c>
    </row>
    <row r="966" spans="1:14" x14ac:dyDescent="0.25">
      <c r="A966">
        <v>549.02952400000004</v>
      </c>
      <c r="B966" s="1">
        <f>DATE(2011,11,1) + TIME(0,42,30)</f>
        <v>40848.029513888891</v>
      </c>
      <c r="C966">
        <v>80</v>
      </c>
      <c r="D966">
        <v>79.936668396000002</v>
      </c>
      <c r="E966">
        <v>50</v>
      </c>
      <c r="F966">
        <v>44.917537689</v>
      </c>
      <c r="G966">
        <v>1321.7391356999999</v>
      </c>
      <c r="H966">
        <v>1317.0388184000001</v>
      </c>
      <c r="I966">
        <v>1362.090332</v>
      </c>
      <c r="J966">
        <v>1351.9661865</v>
      </c>
      <c r="K966">
        <v>0</v>
      </c>
      <c r="L966">
        <v>2400</v>
      </c>
      <c r="M966">
        <v>2400</v>
      </c>
      <c r="N966">
        <v>0</v>
      </c>
    </row>
    <row r="967" spans="1:14" x14ac:dyDescent="0.25">
      <c r="A967">
        <v>549.07122100000004</v>
      </c>
      <c r="B967" s="1">
        <f>DATE(2011,11,1) + TIME(1,42,33)</f>
        <v>40848.071215277778</v>
      </c>
      <c r="C967">
        <v>80</v>
      </c>
      <c r="D967">
        <v>79.926750182999996</v>
      </c>
      <c r="E967">
        <v>50</v>
      </c>
      <c r="F967">
        <v>45.203609467</v>
      </c>
      <c r="G967">
        <v>1321.2480469</v>
      </c>
      <c r="H967">
        <v>1316.5426024999999</v>
      </c>
      <c r="I967">
        <v>1362.3807373</v>
      </c>
      <c r="J967">
        <v>1352.3289795000001</v>
      </c>
      <c r="K967">
        <v>0</v>
      </c>
      <c r="L967">
        <v>2400</v>
      </c>
      <c r="M967">
        <v>2400</v>
      </c>
      <c r="N967">
        <v>0</v>
      </c>
    </row>
    <row r="968" spans="1:14" x14ac:dyDescent="0.25">
      <c r="A968">
        <v>549.11434899999995</v>
      </c>
      <c r="B968" s="1">
        <f>DATE(2011,11,1) + TIME(2,44,39)</f>
        <v>40848.114340277774</v>
      </c>
      <c r="C968">
        <v>80</v>
      </c>
      <c r="D968">
        <v>79.916709900000001</v>
      </c>
      <c r="E968">
        <v>50</v>
      </c>
      <c r="F968">
        <v>45.481468200999998</v>
      </c>
      <c r="G968">
        <v>1321.1697998</v>
      </c>
      <c r="H968">
        <v>1316.4633789</v>
      </c>
      <c r="I968">
        <v>1362.2685547000001</v>
      </c>
      <c r="J968">
        <v>1352.2927245999999</v>
      </c>
      <c r="K968">
        <v>0</v>
      </c>
      <c r="L968">
        <v>2400</v>
      </c>
      <c r="M968">
        <v>2400</v>
      </c>
      <c r="N968">
        <v>0</v>
      </c>
    </row>
    <row r="969" spans="1:14" x14ac:dyDescent="0.25">
      <c r="A969">
        <v>549.158951</v>
      </c>
      <c r="B969" s="1">
        <f>DATE(2011,11,1) + TIME(3,48,53)</f>
        <v>40848.158946759257</v>
      </c>
      <c r="C969">
        <v>80</v>
      </c>
      <c r="D969">
        <v>79.906486510999997</v>
      </c>
      <c r="E969">
        <v>50</v>
      </c>
      <c r="F969">
        <v>45.750835418999998</v>
      </c>
      <c r="G969">
        <v>1321.1549072</v>
      </c>
      <c r="H969">
        <v>1316.4482422000001</v>
      </c>
      <c r="I969">
        <v>1362.1209716999999</v>
      </c>
      <c r="J969">
        <v>1352.2194824000001</v>
      </c>
      <c r="K969">
        <v>0</v>
      </c>
      <c r="L969">
        <v>2400</v>
      </c>
      <c r="M969">
        <v>2400</v>
      </c>
      <c r="N969">
        <v>0</v>
      </c>
    </row>
    <row r="970" spans="1:14" x14ac:dyDescent="0.25">
      <c r="A970">
        <v>549.20512599999995</v>
      </c>
      <c r="B970" s="1">
        <f>DATE(2011,11,1) + TIME(4,55,22)</f>
        <v>40848.20511574074</v>
      </c>
      <c r="C970">
        <v>80</v>
      </c>
      <c r="D970">
        <v>79.896072387999993</v>
      </c>
      <c r="E970">
        <v>50</v>
      </c>
      <c r="F970">
        <v>46.011749268000003</v>
      </c>
      <c r="G970">
        <v>1321.151001</v>
      </c>
      <c r="H970">
        <v>1316.4442139</v>
      </c>
      <c r="I970">
        <v>1361.9769286999999</v>
      </c>
      <c r="J970">
        <v>1352.1469727000001</v>
      </c>
      <c r="K970">
        <v>0</v>
      </c>
      <c r="L970">
        <v>2400</v>
      </c>
      <c r="M970">
        <v>2400</v>
      </c>
      <c r="N970">
        <v>0</v>
      </c>
    </row>
    <row r="971" spans="1:14" x14ac:dyDescent="0.25">
      <c r="A971">
        <v>549.25303499999995</v>
      </c>
      <c r="B971" s="1">
        <f>DATE(2011,11,1) + TIME(6,4,22)</f>
        <v>40848.253032407411</v>
      </c>
      <c r="C971">
        <v>80</v>
      </c>
      <c r="D971">
        <v>79.885421753000003</v>
      </c>
      <c r="E971">
        <v>50</v>
      </c>
      <c r="F971">
        <v>46.264514923</v>
      </c>
      <c r="G971">
        <v>1321.1491699000001</v>
      </c>
      <c r="H971">
        <v>1316.4421387</v>
      </c>
      <c r="I971">
        <v>1361.8387451000001</v>
      </c>
      <c r="J971">
        <v>1352.0773925999999</v>
      </c>
      <c r="K971">
        <v>0</v>
      </c>
      <c r="L971">
        <v>2400</v>
      </c>
      <c r="M971">
        <v>2400</v>
      </c>
      <c r="N971">
        <v>0</v>
      </c>
    </row>
    <row r="972" spans="1:14" x14ac:dyDescent="0.25">
      <c r="A972">
        <v>549.30283999999995</v>
      </c>
      <c r="B972" s="1">
        <f>DATE(2011,11,1) + TIME(7,16,5)</f>
        <v>40848.302835648145</v>
      </c>
      <c r="C972">
        <v>80</v>
      </c>
      <c r="D972">
        <v>79.874526978000006</v>
      </c>
      <c r="E972">
        <v>50</v>
      </c>
      <c r="F972">
        <v>46.509288787999999</v>
      </c>
      <c r="G972">
        <v>1321.1478271000001</v>
      </c>
      <c r="H972">
        <v>1316.4405518000001</v>
      </c>
      <c r="I972">
        <v>1361.7059326000001</v>
      </c>
      <c r="J972">
        <v>1352.010376</v>
      </c>
      <c r="K972">
        <v>0</v>
      </c>
      <c r="L972">
        <v>2400</v>
      </c>
      <c r="M972">
        <v>2400</v>
      </c>
      <c r="N972">
        <v>0</v>
      </c>
    </row>
    <row r="973" spans="1:14" x14ac:dyDescent="0.25">
      <c r="A973">
        <v>549.35472000000004</v>
      </c>
      <c r="B973" s="1">
        <f>DATE(2011,11,1) + TIME(8,30,47)</f>
        <v>40848.354710648149</v>
      </c>
      <c r="C973">
        <v>80</v>
      </c>
      <c r="D973">
        <v>79.863349915000001</v>
      </c>
      <c r="E973">
        <v>50</v>
      </c>
      <c r="F973">
        <v>46.746208191000001</v>
      </c>
      <c r="G973">
        <v>1321.1463623</v>
      </c>
      <c r="H973">
        <v>1316.4388428</v>
      </c>
      <c r="I973">
        <v>1361.5780029</v>
      </c>
      <c r="J973">
        <v>1351.9455565999999</v>
      </c>
      <c r="K973">
        <v>0</v>
      </c>
      <c r="L973">
        <v>2400</v>
      </c>
      <c r="M973">
        <v>2400</v>
      </c>
      <c r="N973">
        <v>0</v>
      </c>
    </row>
    <row r="974" spans="1:14" x14ac:dyDescent="0.25">
      <c r="A974">
        <v>549.40887999999995</v>
      </c>
      <c r="B974" s="1">
        <f>DATE(2011,11,1) + TIME(9,48,47)</f>
        <v>40848.408877314818</v>
      </c>
      <c r="C974">
        <v>80</v>
      </c>
      <c r="D974">
        <v>79.851867675999998</v>
      </c>
      <c r="E974">
        <v>50</v>
      </c>
      <c r="F974">
        <v>46.975387572999999</v>
      </c>
      <c r="G974">
        <v>1321.1450195</v>
      </c>
      <c r="H974">
        <v>1316.4372559000001</v>
      </c>
      <c r="I974">
        <v>1361.4545897999999</v>
      </c>
      <c r="J974">
        <v>1351.8828125</v>
      </c>
      <c r="K974">
        <v>0</v>
      </c>
      <c r="L974">
        <v>2400</v>
      </c>
      <c r="M974">
        <v>2400</v>
      </c>
      <c r="N974">
        <v>0</v>
      </c>
    </row>
    <row r="975" spans="1:14" x14ac:dyDescent="0.25">
      <c r="A975">
        <v>549.46554500000002</v>
      </c>
      <c r="B975" s="1">
        <f>DATE(2011,11,1) + TIME(11,10,23)</f>
        <v>40848.465543981481</v>
      </c>
      <c r="C975">
        <v>80</v>
      </c>
      <c r="D975">
        <v>79.840049743999998</v>
      </c>
      <c r="E975">
        <v>50</v>
      </c>
      <c r="F975">
        <v>47.196880341000004</v>
      </c>
      <c r="G975">
        <v>1321.1435547000001</v>
      </c>
      <c r="H975">
        <v>1316.4355469</v>
      </c>
      <c r="I975">
        <v>1361.3355713000001</v>
      </c>
      <c r="J975">
        <v>1351.8220214999999</v>
      </c>
      <c r="K975">
        <v>0</v>
      </c>
      <c r="L975">
        <v>2400</v>
      </c>
      <c r="M975">
        <v>2400</v>
      </c>
      <c r="N975">
        <v>0</v>
      </c>
    </row>
    <row r="976" spans="1:14" x14ac:dyDescent="0.25">
      <c r="A976">
        <v>549.52499299999999</v>
      </c>
      <c r="B976" s="1">
        <f>DATE(2011,11,1) + TIME(12,35,59)</f>
        <v>40848.524988425925</v>
      </c>
      <c r="C976">
        <v>80</v>
      </c>
      <c r="D976">
        <v>79.827850342000005</v>
      </c>
      <c r="E976">
        <v>50</v>
      </c>
      <c r="F976">
        <v>47.410800934000001</v>
      </c>
      <c r="G976">
        <v>1321.1419678</v>
      </c>
      <c r="H976">
        <v>1316.4337158000001</v>
      </c>
      <c r="I976">
        <v>1361.2205810999999</v>
      </c>
      <c r="J976">
        <v>1351.7629394999999</v>
      </c>
      <c r="K976">
        <v>0</v>
      </c>
      <c r="L976">
        <v>2400</v>
      </c>
      <c r="M976">
        <v>2400</v>
      </c>
      <c r="N976">
        <v>0</v>
      </c>
    </row>
    <row r="977" spans="1:14" x14ac:dyDescent="0.25">
      <c r="A977">
        <v>549.58753899999999</v>
      </c>
      <c r="B977" s="1">
        <f>DATE(2011,11,1) + TIME(14,6,3)</f>
        <v>40848.587534722225</v>
      </c>
      <c r="C977">
        <v>80</v>
      </c>
      <c r="D977">
        <v>79.815223693999997</v>
      </c>
      <c r="E977">
        <v>50</v>
      </c>
      <c r="F977">
        <v>47.617210387999997</v>
      </c>
      <c r="G977">
        <v>1321.1403809000001</v>
      </c>
      <c r="H977">
        <v>1316.4318848</v>
      </c>
      <c r="I977">
        <v>1361.109375</v>
      </c>
      <c r="J977">
        <v>1351.7055664</v>
      </c>
      <c r="K977">
        <v>0</v>
      </c>
      <c r="L977">
        <v>2400</v>
      </c>
      <c r="M977">
        <v>2400</v>
      </c>
      <c r="N977">
        <v>0</v>
      </c>
    </row>
    <row r="978" spans="1:14" x14ac:dyDescent="0.25">
      <c r="A978">
        <v>549.653547</v>
      </c>
      <c r="B978" s="1">
        <f>DATE(2011,11,1) + TIME(15,41,6)</f>
        <v>40848.653541666667</v>
      </c>
      <c r="C978">
        <v>80</v>
      </c>
      <c r="D978">
        <v>79.802124023000005</v>
      </c>
      <c r="E978">
        <v>50</v>
      </c>
      <c r="F978">
        <v>47.816139221</v>
      </c>
      <c r="G978">
        <v>1321.1386719</v>
      </c>
      <c r="H978">
        <v>1316.4298096</v>
      </c>
      <c r="I978">
        <v>1361.0017089999999</v>
      </c>
      <c r="J978">
        <v>1351.6496582</v>
      </c>
      <c r="K978">
        <v>0</v>
      </c>
      <c r="L978">
        <v>2400</v>
      </c>
      <c r="M978">
        <v>2400</v>
      </c>
      <c r="N978">
        <v>0</v>
      </c>
    </row>
    <row r="979" spans="1:14" x14ac:dyDescent="0.25">
      <c r="A979">
        <v>549.72344699999996</v>
      </c>
      <c r="B979" s="1">
        <f>DATE(2011,11,1) + TIME(17,21,45)</f>
        <v>40848.723437499997</v>
      </c>
      <c r="C979">
        <v>80</v>
      </c>
      <c r="D979">
        <v>79.788482665999993</v>
      </c>
      <c r="E979">
        <v>50</v>
      </c>
      <c r="F979">
        <v>48.007591247999997</v>
      </c>
      <c r="G979">
        <v>1321.1368408000001</v>
      </c>
      <c r="H979">
        <v>1316.4278564000001</v>
      </c>
      <c r="I979">
        <v>1360.8974608999999</v>
      </c>
      <c r="J979">
        <v>1351.5950928</v>
      </c>
      <c r="K979">
        <v>0</v>
      </c>
      <c r="L979">
        <v>2400</v>
      </c>
      <c r="M979">
        <v>2400</v>
      </c>
      <c r="N979">
        <v>0</v>
      </c>
    </row>
    <row r="980" spans="1:14" x14ac:dyDescent="0.25">
      <c r="A980">
        <v>549.79774799999996</v>
      </c>
      <c r="B980" s="1">
        <f>DATE(2011,11,1) + TIME(19,8,45)</f>
        <v>40848.797743055555</v>
      </c>
      <c r="C980">
        <v>80</v>
      </c>
      <c r="D980">
        <v>79.774238585999996</v>
      </c>
      <c r="E980">
        <v>50</v>
      </c>
      <c r="F980">
        <v>48.191558837999999</v>
      </c>
      <c r="G980">
        <v>1321.1350098</v>
      </c>
      <c r="H980">
        <v>1316.4256591999999</v>
      </c>
      <c r="I980">
        <v>1360.7962646000001</v>
      </c>
      <c r="J980">
        <v>1351.5417480000001</v>
      </c>
      <c r="K980">
        <v>0</v>
      </c>
      <c r="L980">
        <v>2400</v>
      </c>
      <c r="M980">
        <v>2400</v>
      </c>
      <c r="N980">
        <v>0</v>
      </c>
    </row>
    <row r="981" spans="1:14" x14ac:dyDescent="0.25">
      <c r="A981">
        <v>549.87706400000002</v>
      </c>
      <c r="B981" s="1">
        <f>DATE(2011,11,1) + TIME(21,2,58)</f>
        <v>40848.877060185187</v>
      </c>
      <c r="C981">
        <v>80</v>
      </c>
      <c r="D981">
        <v>79.759307860999996</v>
      </c>
      <c r="E981">
        <v>50</v>
      </c>
      <c r="F981">
        <v>48.367996216000002</v>
      </c>
      <c r="G981">
        <v>1321.1329346</v>
      </c>
      <c r="H981">
        <v>1316.4233397999999</v>
      </c>
      <c r="I981">
        <v>1360.6981201000001</v>
      </c>
      <c r="J981">
        <v>1351.4895019999999</v>
      </c>
      <c r="K981">
        <v>0</v>
      </c>
      <c r="L981">
        <v>2400</v>
      </c>
      <c r="M981">
        <v>2400</v>
      </c>
      <c r="N981">
        <v>0</v>
      </c>
    </row>
    <row r="982" spans="1:14" x14ac:dyDescent="0.25">
      <c r="A982">
        <v>549.96213499999999</v>
      </c>
      <c r="B982" s="1">
        <f>DATE(2011,11,1) + TIME(23,5,28)</f>
        <v>40848.962129629632</v>
      </c>
      <c r="C982">
        <v>80</v>
      </c>
      <c r="D982">
        <v>79.743583678999997</v>
      </c>
      <c r="E982">
        <v>50</v>
      </c>
      <c r="F982">
        <v>48.536834716999998</v>
      </c>
      <c r="G982">
        <v>1321.1308594</v>
      </c>
      <c r="H982">
        <v>1316.4207764</v>
      </c>
      <c r="I982">
        <v>1360.6025391000001</v>
      </c>
      <c r="J982">
        <v>1351.4382324000001</v>
      </c>
      <c r="K982">
        <v>0</v>
      </c>
      <c r="L982">
        <v>2400</v>
      </c>
      <c r="M982">
        <v>2400</v>
      </c>
      <c r="N982">
        <v>0</v>
      </c>
    </row>
    <row r="983" spans="1:14" x14ac:dyDescent="0.25">
      <c r="A983">
        <v>550.05387599999995</v>
      </c>
      <c r="B983" s="1">
        <f>DATE(2011,11,2) + TIME(1,17,34)</f>
        <v>40849.053865740738</v>
      </c>
      <c r="C983">
        <v>80</v>
      </c>
      <c r="D983">
        <v>79.726943969999994</v>
      </c>
      <c r="E983">
        <v>50</v>
      </c>
      <c r="F983">
        <v>48.697975159000002</v>
      </c>
      <c r="G983">
        <v>1321.1285399999999</v>
      </c>
      <c r="H983">
        <v>1316.4182129000001</v>
      </c>
      <c r="I983">
        <v>1360.5093993999999</v>
      </c>
      <c r="J983">
        <v>1351.3876952999999</v>
      </c>
      <c r="K983">
        <v>0</v>
      </c>
      <c r="L983">
        <v>2400</v>
      </c>
      <c r="M983">
        <v>2400</v>
      </c>
      <c r="N983">
        <v>0</v>
      </c>
    </row>
    <row r="984" spans="1:14" x14ac:dyDescent="0.25">
      <c r="A984">
        <v>550.15342199999998</v>
      </c>
      <c r="B984" s="1">
        <f>DATE(2011,11,2) + TIME(3,40,55)</f>
        <v>40849.153414351851</v>
      </c>
      <c r="C984">
        <v>80</v>
      </c>
      <c r="D984">
        <v>79.709243774000001</v>
      </c>
      <c r="E984">
        <v>50</v>
      </c>
      <c r="F984">
        <v>48.851287841999998</v>
      </c>
      <c r="G984">
        <v>1321.1260986</v>
      </c>
      <c r="H984">
        <v>1316.4154053</v>
      </c>
      <c r="I984">
        <v>1360.418457</v>
      </c>
      <c r="J984">
        <v>1351.3377685999999</v>
      </c>
      <c r="K984">
        <v>0</v>
      </c>
      <c r="L984">
        <v>2400</v>
      </c>
      <c r="M984">
        <v>2400</v>
      </c>
      <c r="N984">
        <v>0</v>
      </c>
    </row>
    <row r="985" spans="1:14" x14ac:dyDescent="0.25">
      <c r="A985">
        <v>550.26220499999999</v>
      </c>
      <c r="B985" s="1">
        <f>DATE(2011,11,2) + TIME(6,17,34)</f>
        <v>40849.262199074074</v>
      </c>
      <c r="C985">
        <v>80</v>
      </c>
      <c r="D985">
        <v>79.690299988000007</v>
      </c>
      <c r="E985">
        <v>50</v>
      </c>
      <c r="F985">
        <v>48.996585846000002</v>
      </c>
      <c r="G985">
        <v>1321.1235352000001</v>
      </c>
      <c r="H985">
        <v>1316.4123535000001</v>
      </c>
      <c r="I985">
        <v>1360.3294678</v>
      </c>
      <c r="J985">
        <v>1351.2883300999999</v>
      </c>
      <c r="K985">
        <v>0</v>
      </c>
      <c r="L985">
        <v>2400</v>
      </c>
      <c r="M985">
        <v>2400</v>
      </c>
      <c r="N985">
        <v>0</v>
      </c>
    </row>
    <row r="986" spans="1:14" x14ac:dyDescent="0.25">
      <c r="A986">
        <v>550.38207399999999</v>
      </c>
      <c r="B986" s="1">
        <f>DATE(2011,11,2) + TIME(9,10,11)</f>
        <v>40849.382071759261</v>
      </c>
      <c r="C986">
        <v>80</v>
      </c>
      <c r="D986">
        <v>79.669883728000002</v>
      </c>
      <c r="E986">
        <v>50</v>
      </c>
      <c r="F986">
        <v>49.133647918999998</v>
      </c>
      <c r="G986">
        <v>1321.1206055</v>
      </c>
      <c r="H986">
        <v>1316.4090576000001</v>
      </c>
      <c r="I986">
        <v>1360.2420654</v>
      </c>
      <c r="J986">
        <v>1351.2391356999999</v>
      </c>
      <c r="K986">
        <v>0</v>
      </c>
      <c r="L986">
        <v>2400</v>
      </c>
      <c r="M986">
        <v>2400</v>
      </c>
      <c r="N986">
        <v>0</v>
      </c>
    </row>
    <row r="987" spans="1:14" x14ac:dyDescent="0.25">
      <c r="A987">
        <v>550.51549899999998</v>
      </c>
      <c r="B987" s="1">
        <f>DATE(2011,11,2) + TIME(12,22,19)</f>
        <v>40849.515497685185</v>
      </c>
      <c r="C987">
        <v>80</v>
      </c>
      <c r="D987">
        <v>79.647666931000003</v>
      </c>
      <c r="E987">
        <v>50</v>
      </c>
      <c r="F987">
        <v>49.262222289999997</v>
      </c>
      <c r="G987">
        <v>1321.1175536999999</v>
      </c>
      <c r="H987">
        <v>1316.4053954999999</v>
      </c>
      <c r="I987">
        <v>1360.1561279</v>
      </c>
      <c r="J987">
        <v>1351.1899414</v>
      </c>
      <c r="K987">
        <v>0</v>
      </c>
      <c r="L987">
        <v>2400</v>
      </c>
      <c r="M987">
        <v>2400</v>
      </c>
      <c r="N987">
        <v>0</v>
      </c>
    </row>
    <row r="988" spans="1:14" x14ac:dyDescent="0.25">
      <c r="A988">
        <v>550.66580199999999</v>
      </c>
      <c r="B988" s="1">
        <f>DATE(2011,11,2) + TIME(15,58,45)</f>
        <v>40849.665798611109</v>
      </c>
      <c r="C988">
        <v>80</v>
      </c>
      <c r="D988">
        <v>79.623260497999993</v>
      </c>
      <c r="E988">
        <v>50</v>
      </c>
      <c r="F988">
        <v>49.381977081000002</v>
      </c>
      <c r="G988">
        <v>1321.1140137</v>
      </c>
      <c r="H988">
        <v>1316.4013672000001</v>
      </c>
      <c r="I988">
        <v>1360.0710449000001</v>
      </c>
      <c r="J988">
        <v>1351.1403809000001</v>
      </c>
      <c r="K988">
        <v>0</v>
      </c>
      <c r="L988">
        <v>2400</v>
      </c>
      <c r="M988">
        <v>2400</v>
      </c>
      <c r="N988">
        <v>0</v>
      </c>
    </row>
    <row r="989" spans="1:14" x14ac:dyDescent="0.25">
      <c r="A989">
        <v>550.83762999999999</v>
      </c>
      <c r="B989" s="1">
        <f>DATE(2011,11,2) + TIME(20,6,11)</f>
        <v>40849.837627314817</v>
      </c>
      <c r="C989">
        <v>80</v>
      </c>
      <c r="D989">
        <v>79.596122742000006</v>
      </c>
      <c r="E989">
        <v>50</v>
      </c>
      <c r="F989">
        <v>49.49250412</v>
      </c>
      <c r="G989">
        <v>1321.1102295000001</v>
      </c>
      <c r="H989">
        <v>1316.3969727000001</v>
      </c>
      <c r="I989">
        <v>1359.9865723</v>
      </c>
      <c r="J989">
        <v>1351.0902100000001</v>
      </c>
      <c r="K989">
        <v>0</v>
      </c>
      <c r="L989">
        <v>2400</v>
      </c>
      <c r="M989">
        <v>2400</v>
      </c>
      <c r="N989">
        <v>0</v>
      </c>
    </row>
    <row r="990" spans="1:14" x14ac:dyDescent="0.25">
      <c r="A990">
        <v>551.01527799999997</v>
      </c>
      <c r="B990" s="1">
        <f>DATE(2011,11,3) + TIME(0,21,59)</f>
        <v>40850.015266203707</v>
      </c>
      <c r="C990">
        <v>80</v>
      </c>
      <c r="D990">
        <v>79.568321228000002</v>
      </c>
      <c r="E990">
        <v>50</v>
      </c>
      <c r="F990">
        <v>49.584224700999997</v>
      </c>
      <c r="G990">
        <v>1321.1057129000001</v>
      </c>
      <c r="H990">
        <v>1316.3918457</v>
      </c>
      <c r="I990">
        <v>1359.9094238</v>
      </c>
      <c r="J990">
        <v>1351.0429687999999</v>
      </c>
      <c r="K990">
        <v>0</v>
      </c>
      <c r="L990">
        <v>2400</v>
      </c>
      <c r="M990">
        <v>2400</v>
      </c>
      <c r="N990">
        <v>0</v>
      </c>
    </row>
    <row r="991" spans="1:14" x14ac:dyDescent="0.25">
      <c r="A991">
        <v>551.19478900000001</v>
      </c>
      <c r="B991" s="1">
        <f>DATE(2011,11,3) + TIME(4,40,29)</f>
        <v>40850.194780092592</v>
      </c>
      <c r="C991">
        <v>80</v>
      </c>
      <c r="D991">
        <v>79.540397643999995</v>
      </c>
      <c r="E991">
        <v>50</v>
      </c>
      <c r="F991">
        <v>49.658512115000001</v>
      </c>
      <c r="G991">
        <v>1321.1010742000001</v>
      </c>
      <c r="H991">
        <v>1316.3865966999999</v>
      </c>
      <c r="I991">
        <v>1359.8398437999999</v>
      </c>
      <c r="J991">
        <v>1350.9995117000001</v>
      </c>
      <c r="K991">
        <v>0</v>
      </c>
      <c r="L991">
        <v>2400</v>
      </c>
      <c r="M991">
        <v>2400</v>
      </c>
      <c r="N991">
        <v>0</v>
      </c>
    </row>
    <row r="992" spans="1:14" x14ac:dyDescent="0.25">
      <c r="A992">
        <v>551.37775199999999</v>
      </c>
      <c r="B992" s="1">
        <f>DATE(2011,11,3) + TIME(9,3,57)</f>
        <v>40850.377743055556</v>
      </c>
      <c r="C992">
        <v>80</v>
      </c>
      <c r="D992">
        <v>79.512138367000006</v>
      </c>
      <c r="E992">
        <v>50</v>
      </c>
      <c r="F992">
        <v>49.719009399000001</v>
      </c>
      <c r="G992">
        <v>1321.0964355000001</v>
      </c>
      <c r="H992">
        <v>1316.3813477000001</v>
      </c>
      <c r="I992">
        <v>1359.7763672000001</v>
      </c>
      <c r="J992">
        <v>1350.9589844</v>
      </c>
      <c r="K992">
        <v>0</v>
      </c>
      <c r="L992">
        <v>2400</v>
      </c>
      <c r="M992">
        <v>2400</v>
      </c>
      <c r="N992">
        <v>0</v>
      </c>
    </row>
    <row r="993" spans="1:14" x14ac:dyDescent="0.25">
      <c r="A993">
        <v>551.565338</v>
      </c>
      <c r="B993" s="1">
        <f>DATE(2011,11,3) + TIME(13,34,5)</f>
        <v>40850.565335648149</v>
      </c>
      <c r="C993">
        <v>80</v>
      </c>
      <c r="D993">
        <v>79.483413696</v>
      </c>
      <c r="E993">
        <v>50</v>
      </c>
      <c r="F993">
        <v>49.768344878999997</v>
      </c>
      <c r="G993">
        <v>1321.0916748</v>
      </c>
      <c r="H993">
        <v>1316.3759766000001</v>
      </c>
      <c r="I993">
        <v>1359.7177733999999</v>
      </c>
      <c r="J993">
        <v>1350.9210204999999</v>
      </c>
      <c r="K993">
        <v>0</v>
      </c>
      <c r="L993">
        <v>2400</v>
      </c>
      <c r="M993">
        <v>2400</v>
      </c>
      <c r="N993">
        <v>0</v>
      </c>
    </row>
    <row r="994" spans="1:14" x14ac:dyDescent="0.25">
      <c r="A994">
        <v>551.75874899999997</v>
      </c>
      <c r="B994" s="1">
        <f>DATE(2011,11,3) + TIME(18,12,35)</f>
        <v>40850.758738425924</v>
      </c>
      <c r="C994">
        <v>80</v>
      </c>
      <c r="D994">
        <v>79.454071045000006</v>
      </c>
      <c r="E994">
        <v>50</v>
      </c>
      <c r="F994">
        <v>49.808582305999998</v>
      </c>
      <c r="G994">
        <v>1321.0867920000001</v>
      </c>
      <c r="H994">
        <v>1316.3704834</v>
      </c>
      <c r="I994">
        <v>1359.6632079999999</v>
      </c>
      <c r="J994">
        <v>1350.8850098</v>
      </c>
      <c r="K994">
        <v>0</v>
      </c>
      <c r="L994">
        <v>2400</v>
      </c>
      <c r="M994">
        <v>2400</v>
      </c>
      <c r="N994">
        <v>0</v>
      </c>
    </row>
    <row r="995" spans="1:14" x14ac:dyDescent="0.25">
      <c r="A995">
        <v>551.95925699999998</v>
      </c>
      <c r="B995" s="1">
        <f>DATE(2011,11,3) + TIME(23,1,19)</f>
        <v>40850.959247685183</v>
      </c>
      <c r="C995">
        <v>80</v>
      </c>
      <c r="D995">
        <v>79.423965453999998</v>
      </c>
      <c r="E995">
        <v>50</v>
      </c>
      <c r="F995">
        <v>49.841346741000002</v>
      </c>
      <c r="G995">
        <v>1321.0817870999999</v>
      </c>
      <c r="H995">
        <v>1316.3647461</v>
      </c>
      <c r="I995">
        <v>1359.6119385</v>
      </c>
      <c r="J995">
        <v>1350.8507079999999</v>
      </c>
      <c r="K995">
        <v>0</v>
      </c>
      <c r="L995">
        <v>2400</v>
      </c>
      <c r="M995">
        <v>2400</v>
      </c>
      <c r="N995">
        <v>0</v>
      </c>
    </row>
    <row r="996" spans="1:14" x14ac:dyDescent="0.25">
      <c r="A996">
        <v>552.16825400000005</v>
      </c>
      <c r="B996" s="1">
        <f>DATE(2011,11,4) + TIME(4,2,17)</f>
        <v>40851.168252314812</v>
      </c>
      <c r="C996">
        <v>80</v>
      </c>
      <c r="D996">
        <v>79.392936707000004</v>
      </c>
      <c r="E996">
        <v>50</v>
      </c>
      <c r="F996">
        <v>49.867958068999997</v>
      </c>
      <c r="G996">
        <v>1321.0766602000001</v>
      </c>
      <c r="H996">
        <v>1316.3587646000001</v>
      </c>
      <c r="I996">
        <v>1359.5632324000001</v>
      </c>
      <c r="J996">
        <v>1350.8176269999999</v>
      </c>
      <c r="K996">
        <v>0</v>
      </c>
      <c r="L996">
        <v>2400</v>
      </c>
      <c r="M996">
        <v>2400</v>
      </c>
      <c r="N996">
        <v>0</v>
      </c>
    </row>
    <row r="997" spans="1:14" x14ac:dyDescent="0.25">
      <c r="A997">
        <v>552.38731600000006</v>
      </c>
      <c r="B997" s="1">
        <f>DATE(2011,11,4) + TIME(9,17,44)</f>
        <v>40851.387314814812</v>
      </c>
      <c r="C997">
        <v>80</v>
      </c>
      <c r="D997">
        <v>79.360794067</v>
      </c>
      <c r="E997">
        <v>50</v>
      </c>
      <c r="F997">
        <v>49.889484406000001</v>
      </c>
      <c r="G997">
        <v>1321.0711670000001</v>
      </c>
      <c r="H997">
        <v>1316.3525391000001</v>
      </c>
      <c r="I997">
        <v>1359.5164795000001</v>
      </c>
      <c r="J997">
        <v>1350.7855225000001</v>
      </c>
      <c r="K997">
        <v>0</v>
      </c>
      <c r="L997">
        <v>2400</v>
      </c>
      <c r="M997">
        <v>2400</v>
      </c>
      <c r="N997">
        <v>0</v>
      </c>
    </row>
    <row r="998" spans="1:14" x14ac:dyDescent="0.25">
      <c r="A998">
        <v>552.61826099999996</v>
      </c>
      <c r="B998" s="1">
        <f>DATE(2011,11,4) + TIME(14,50,17)</f>
        <v>40851.618252314816</v>
      </c>
      <c r="C998">
        <v>80</v>
      </c>
      <c r="D998">
        <v>79.327331543</v>
      </c>
      <c r="E998">
        <v>50</v>
      </c>
      <c r="F998">
        <v>49.906799315999997</v>
      </c>
      <c r="G998">
        <v>1321.0655518000001</v>
      </c>
      <c r="H998">
        <v>1316.3460693</v>
      </c>
      <c r="I998">
        <v>1359.4715576000001</v>
      </c>
      <c r="J998">
        <v>1350.7541504000001</v>
      </c>
      <c r="K998">
        <v>0</v>
      </c>
      <c r="L998">
        <v>2400</v>
      </c>
      <c r="M998">
        <v>2400</v>
      </c>
      <c r="N998">
        <v>0</v>
      </c>
    </row>
    <row r="999" spans="1:14" x14ac:dyDescent="0.25">
      <c r="A999">
        <v>552.863248</v>
      </c>
      <c r="B999" s="1">
        <f>DATE(2011,11,4) + TIME(20,43,4)</f>
        <v>40851.863240740742</v>
      </c>
      <c r="C999">
        <v>80</v>
      </c>
      <c r="D999">
        <v>79.292304993000002</v>
      </c>
      <c r="E999">
        <v>50</v>
      </c>
      <c r="F999">
        <v>49.920639037999997</v>
      </c>
      <c r="G999">
        <v>1321.0594481999999</v>
      </c>
      <c r="H999">
        <v>1316.3391113</v>
      </c>
      <c r="I999">
        <v>1359.4276123</v>
      </c>
      <c r="J999">
        <v>1350.7233887</v>
      </c>
      <c r="K999">
        <v>0</v>
      </c>
      <c r="L999">
        <v>2400</v>
      </c>
      <c r="M999">
        <v>2400</v>
      </c>
      <c r="N999">
        <v>0</v>
      </c>
    </row>
    <row r="1000" spans="1:14" x14ac:dyDescent="0.25">
      <c r="A1000">
        <v>553.12488299999995</v>
      </c>
      <c r="B1000" s="1">
        <f>DATE(2011,11,5) + TIME(2,59,49)</f>
        <v>40852.124872685185</v>
      </c>
      <c r="C1000">
        <v>80</v>
      </c>
      <c r="D1000">
        <v>79.255439757999994</v>
      </c>
      <c r="E1000">
        <v>50</v>
      </c>
      <c r="F1000">
        <v>49.931606293000002</v>
      </c>
      <c r="G1000">
        <v>1321.0531006000001</v>
      </c>
      <c r="H1000">
        <v>1316.3317870999999</v>
      </c>
      <c r="I1000">
        <v>1359.3845214999999</v>
      </c>
      <c r="J1000">
        <v>1350.692749</v>
      </c>
      <c r="K1000">
        <v>0</v>
      </c>
      <c r="L1000">
        <v>2400</v>
      </c>
      <c r="M1000">
        <v>2400</v>
      </c>
      <c r="N1000">
        <v>0</v>
      </c>
    </row>
    <row r="1001" spans="1:14" x14ac:dyDescent="0.25">
      <c r="A1001">
        <v>553.40637200000003</v>
      </c>
      <c r="B1001" s="1">
        <f>DATE(2011,11,5) + TIME(9,45,10)</f>
        <v>40852.406365740739</v>
      </c>
      <c r="C1001">
        <v>80</v>
      </c>
      <c r="D1001">
        <v>79.216377257999994</v>
      </c>
      <c r="E1001">
        <v>50</v>
      </c>
      <c r="F1001">
        <v>49.940212250000002</v>
      </c>
      <c r="G1001">
        <v>1321.0462646000001</v>
      </c>
      <c r="H1001">
        <v>1316.3238524999999</v>
      </c>
      <c r="I1001">
        <v>1359.3417969</v>
      </c>
      <c r="J1001">
        <v>1350.6622314000001</v>
      </c>
      <c r="K1001">
        <v>0</v>
      </c>
      <c r="L1001">
        <v>2400</v>
      </c>
      <c r="M1001">
        <v>2400</v>
      </c>
      <c r="N1001">
        <v>0</v>
      </c>
    </row>
    <row r="1002" spans="1:14" x14ac:dyDescent="0.25">
      <c r="A1002">
        <v>553.70702900000003</v>
      </c>
      <c r="B1002" s="1">
        <f>DATE(2011,11,5) + TIME(16,58,7)</f>
        <v>40852.707025462965</v>
      </c>
      <c r="C1002">
        <v>80</v>
      </c>
      <c r="D1002">
        <v>79.175186156999999</v>
      </c>
      <c r="E1002">
        <v>50</v>
      </c>
      <c r="F1002">
        <v>49.946815491000002</v>
      </c>
      <c r="G1002">
        <v>1321.0389404</v>
      </c>
      <c r="H1002">
        <v>1316.3153076000001</v>
      </c>
      <c r="I1002">
        <v>1359.2991943</v>
      </c>
      <c r="J1002">
        <v>1350.6315918</v>
      </c>
      <c r="K1002">
        <v>0</v>
      </c>
      <c r="L1002">
        <v>2400</v>
      </c>
      <c r="M1002">
        <v>2400</v>
      </c>
      <c r="N1002">
        <v>0</v>
      </c>
    </row>
    <row r="1003" spans="1:14" x14ac:dyDescent="0.25">
      <c r="A1003">
        <v>554.02923699999997</v>
      </c>
      <c r="B1003" s="1">
        <f>DATE(2011,11,6) + TIME(0,42,6)</f>
        <v>40853.029236111113</v>
      </c>
      <c r="C1003">
        <v>80</v>
      </c>
      <c r="D1003">
        <v>79.131622313999998</v>
      </c>
      <c r="E1003">
        <v>50</v>
      </c>
      <c r="F1003">
        <v>49.951812744000001</v>
      </c>
      <c r="G1003">
        <v>1321.0310059000001</v>
      </c>
      <c r="H1003">
        <v>1316.3061522999999</v>
      </c>
      <c r="I1003">
        <v>1359.2568358999999</v>
      </c>
      <c r="J1003">
        <v>1350.6009521000001</v>
      </c>
      <c r="K1003">
        <v>0</v>
      </c>
      <c r="L1003">
        <v>2400</v>
      </c>
      <c r="M1003">
        <v>2400</v>
      </c>
      <c r="N1003">
        <v>0</v>
      </c>
    </row>
    <row r="1004" spans="1:14" x14ac:dyDescent="0.25">
      <c r="A1004">
        <v>554.37713299999996</v>
      </c>
      <c r="B1004" s="1">
        <f>DATE(2011,11,6) + TIME(9,3,4)</f>
        <v>40853.377129629633</v>
      </c>
      <c r="C1004">
        <v>80</v>
      </c>
      <c r="D1004">
        <v>79.085281371999997</v>
      </c>
      <c r="E1004">
        <v>50</v>
      </c>
      <c r="F1004">
        <v>49.955554962000001</v>
      </c>
      <c r="G1004">
        <v>1321.0224608999999</v>
      </c>
      <c r="H1004">
        <v>1316.2962646000001</v>
      </c>
      <c r="I1004">
        <v>1359.2143555</v>
      </c>
      <c r="J1004">
        <v>1350.5700684000001</v>
      </c>
      <c r="K1004">
        <v>0</v>
      </c>
      <c r="L1004">
        <v>2400</v>
      </c>
      <c r="M1004">
        <v>2400</v>
      </c>
      <c r="N1004">
        <v>0</v>
      </c>
    </row>
    <row r="1005" spans="1:14" x14ac:dyDescent="0.25">
      <c r="A1005">
        <v>554.74174900000003</v>
      </c>
      <c r="B1005" s="1">
        <f>DATE(2011,11,6) + TIME(17,48,7)</f>
        <v>40853.741747685184</v>
      </c>
      <c r="C1005">
        <v>80</v>
      </c>
      <c r="D1005">
        <v>79.036972046000002</v>
      </c>
      <c r="E1005">
        <v>50</v>
      </c>
      <c r="F1005">
        <v>49.958248138000002</v>
      </c>
      <c r="G1005">
        <v>1321.0131836</v>
      </c>
      <c r="H1005">
        <v>1316.2855225000001</v>
      </c>
      <c r="I1005">
        <v>1359.1715088000001</v>
      </c>
      <c r="J1005">
        <v>1350.5388184000001</v>
      </c>
      <c r="K1005">
        <v>0</v>
      </c>
      <c r="L1005">
        <v>2400</v>
      </c>
      <c r="M1005">
        <v>2400</v>
      </c>
      <c r="N1005">
        <v>0</v>
      </c>
    </row>
    <row r="1006" spans="1:14" x14ac:dyDescent="0.25">
      <c r="A1006">
        <v>555.10921599999995</v>
      </c>
      <c r="B1006" s="1">
        <f>DATE(2011,11,7) + TIME(2,37,16)</f>
        <v>40854.109212962961</v>
      </c>
      <c r="C1006">
        <v>80</v>
      </c>
      <c r="D1006">
        <v>78.988044739000003</v>
      </c>
      <c r="E1006">
        <v>50</v>
      </c>
      <c r="F1006">
        <v>49.960121155000003</v>
      </c>
      <c r="G1006">
        <v>1321.0032959</v>
      </c>
      <c r="H1006">
        <v>1316.2741699000001</v>
      </c>
      <c r="I1006">
        <v>1359.1295166</v>
      </c>
      <c r="J1006">
        <v>1350.5081786999999</v>
      </c>
      <c r="K1006">
        <v>0</v>
      </c>
      <c r="L1006">
        <v>2400</v>
      </c>
      <c r="M1006">
        <v>2400</v>
      </c>
      <c r="N1006">
        <v>0</v>
      </c>
    </row>
    <row r="1007" spans="1:14" x14ac:dyDescent="0.25">
      <c r="A1007">
        <v>555.48261200000002</v>
      </c>
      <c r="B1007" s="1">
        <f>DATE(2011,11,7) + TIME(11,34,57)</f>
        <v>40854.482604166667</v>
      </c>
      <c r="C1007">
        <v>80</v>
      </c>
      <c r="D1007">
        <v>78.938423157000003</v>
      </c>
      <c r="E1007">
        <v>50</v>
      </c>
      <c r="F1007">
        <v>49.961437224999997</v>
      </c>
      <c r="G1007">
        <v>1320.9932861</v>
      </c>
      <c r="H1007">
        <v>1316.2624512</v>
      </c>
      <c r="I1007">
        <v>1359.0897216999999</v>
      </c>
      <c r="J1007">
        <v>1350.4790039</v>
      </c>
      <c r="K1007">
        <v>0</v>
      </c>
      <c r="L1007">
        <v>2400</v>
      </c>
      <c r="M1007">
        <v>2400</v>
      </c>
      <c r="N1007">
        <v>0</v>
      </c>
    </row>
    <row r="1008" spans="1:14" x14ac:dyDescent="0.25">
      <c r="A1008">
        <v>555.86484299999995</v>
      </c>
      <c r="B1008" s="1">
        <f>DATE(2011,11,7) + TIME(20,45,22)</f>
        <v>40854.864837962959</v>
      </c>
      <c r="C1008">
        <v>80</v>
      </c>
      <c r="D1008">
        <v>78.887962341000005</v>
      </c>
      <c r="E1008">
        <v>50</v>
      </c>
      <c r="F1008">
        <v>49.962368011000002</v>
      </c>
      <c r="G1008">
        <v>1320.9831543</v>
      </c>
      <c r="H1008">
        <v>1316.2504882999999</v>
      </c>
      <c r="I1008">
        <v>1359.0515137</v>
      </c>
      <c r="J1008">
        <v>1350.4510498</v>
      </c>
      <c r="K1008">
        <v>0</v>
      </c>
      <c r="L1008">
        <v>2400</v>
      </c>
      <c r="M1008">
        <v>2400</v>
      </c>
      <c r="N1008">
        <v>0</v>
      </c>
    </row>
    <row r="1009" spans="1:14" x14ac:dyDescent="0.25">
      <c r="A1009">
        <v>556.25881900000002</v>
      </c>
      <c r="B1009" s="1">
        <f>DATE(2011,11,8) + TIME(6,12,42)</f>
        <v>40855.258819444447</v>
      </c>
      <c r="C1009">
        <v>80</v>
      </c>
      <c r="D1009">
        <v>78.836456299000005</v>
      </c>
      <c r="E1009">
        <v>50</v>
      </c>
      <c r="F1009">
        <v>49.963035583</v>
      </c>
      <c r="G1009">
        <v>1320.9725341999999</v>
      </c>
      <c r="H1009">
        <v>1316.2381591999999</v>
      </c>
      <c r="I1009">
        <v>1359.0144043</v>
      </c>
      <c r="J1009">
        <v>1350.4239502</v>
      </c>
      <c r="K1009">
        <v>0</v>
      </c>
      <c r="L1009">
        <v>2400</v>
      </c>
      <c r="M1009">
        <v>2400</v>
      </c>
      <c r="N1009">
        <v>0</v>
      </c>
    </row>
    <row r="1010" spans="1:14" x14ac:dyDescent="0.25">
      <c r="A1010">
        <v>556.66763500000002</v>
      </c>
      <c r="B1010" s="1">
        <f>DATE(2011,11,8) + TIME(16,1,23)</f>
        <v>40855.667627314811</v>
      </c>
      <c r="C1010">
        <v>80</v>
      </c>
      <c r="D1010">
        <v>78.783645629999995</v>
      </c>
      <c r="E1010">
        <v>50</v>
      </c>
      <c r="F1010">
        <v>49.963512420999997</v>
      </c>
      <c r="G1010">
        <v>1320.9616699000001</v>
      </c>
      <c r="H1010">
        <v>1316.2252197</v>
      </c>
      <c r="I1010">
        <v>1358.9781493999999</v>
      </c>
      <c r="J1010">
        <v>1350.3974608999999</v>
      </c>
      <c r="K1010">
        <v>0</v>
      </c>
      <c r="L1010">
        <v>2400</v>
      </c>
      <c r="M1010">
        <v>2400</v>
      </c>
      <c r="N1010">
        <v>0</v>
      </c>
    </row>
    <row r="1011" spans="1:14" x14ac:dyDescent="0.25">
      <c r="A1011">
        <v>557.09472300000004</v>
      </c>
      <c r="B1011" s="1">
        <f>DATE(2011,11,9) + TIME(2,16,24)</f>
        <v>40856.094722222224</v>
      </c>
      <c r="C1011">
        <v>80</v>
      </c>
      <c r="D1011">
        <v>78.729225158999995</v>
      </c>
      <c r="E1011">
        <v>50</v>
      </c>
      <c r="F1011">
        <v>49.963863373000002</v>
      </c>
      <c r="G1011">
        <v>1320.9501952999999</v>
      </c>
      <c r="H1011">
        <v>1316.2115478999999</v>
      </c>
      <c r="I1011">
        <v>1358.9425048999999</v>
      </c>
      <c r="J1011">
        <v>1350.3713379000001</v>
      </c>
      <c r="K1011">
        <v>0</v>
      </c>
      <c r="L1011">
        <v>2400</v>
      </c>
      <c r="M1011">
        <v>2400</v>
      </c>
      <c r="N1011">
        <v>0</v>
      </c>
    </row>
    <row r="1012" spans="1:14" x14ac:dyDescent="0.25">
      <c r="A1012">
        <v>557.54405699999995</v>
      </c>
      <c r="B1012" s="1">
        <f>DATE(2011,11,9) + TIME(13,3,26)</f>
        <v>40856.544050925928</v>
      </c>
      <c r="C1012">
        <v>80</v>
      </c>
      <c r="D1012">
        <v>78.672836304</v>
      </c>
      <c r="E1012">
        <v>50</v>
      </c>
      <c r="F1012">
        <v>49.964115143000001</v>
      </c>
      <c r="G1012">
        <v>1320.9381103999999</v>
      </c>
      <c r="H1012">
        <v>1316.1971435999999</v>
      </c>
      <c r="I1012">
        <v>1358.9069824000001</v>
      </c>
      <c r="J1012">
        <v>1350.3454589999999</v>
      </c>
      <c r="K1012">
        <v>0</v>
      </c>
      <c r="L1012">
        <v>2400</v>
      </c>
      <c r="M1012">
        <v>2400</v>
      </c>
      <c r="N1012">
        <v>0</v>
      </c>
    </row>
    <row r="1013" spans="1:14" x14ac:dyDescent="0.25">
      <c r="A1013">
        <v>558.01428799999996</v>
      </c>
      <c r="B1013" s="1">
        <f>DATE(2011,11,10) + TIME(0,20,34)</f>
        <v>40857.014282407406</v>
      </c>
      <c r="C1013">
        <v>80</v>
      </c>
      <c r="D1013">
        <v>78.614532471000004</v>
      </c>
      <c r="E1013">
        <v>50</v>
      </c>
      <c r="F1013">
        <v>49.964302062999998</v>
      </c>
      <c r="G1013">
        <v>1320.9251709</v>
      </c>
      <c r="H1013">
        <v>1316.1818848</v>
      </c>
      <c r="I1013">
        <v>1358.8714600000001</v>
      </c>
      <c r="J1013">
        <v>1350.3195800999999</v>
      </c>
      <c r="K1013">
        <v>0</v>
      </c>
      <c r="L1013">
        <v>2400</v>
      </c>
      <c r="M1013">
        <v>2400</v>
      </c>
      <c r="N1013">
        <v>0</v>
      </c>
    </row>
    <row r="1014" spans="1:14" x14ac:dyDescent="0.25">
      <c r="A1014">
        <v>558.50619500000005</v>
      </c>
      <c r="B1014" s="1">
        <f>DATE(2011,11,10) + TIME(12,8,55)</f>
        <v>40857.506192129629</v>
      </c>
      <c r="C1014">
        <v>80</v>
      </c>
      <c r="D1014">
        <v>78.554252625000004</v>
      </c>
      <c r="E1014">
        <v>50</v>
      </c>
      <c r="F1014">
        <v>49.964435577000003</v>
      </c>
      <c r="G1014">
        <v>1320.9116211</v>
      </c>
      <c r="H1014">
        <v>1316.1655272999999</v>
      </c>
      <c r="I1014">
        <v>1358.8361815999999</v>
      </c>
      <c r="J1014">
        <v>1350.2938231999999</v>
      </c>
      <c r="K1014">
        <v>0</v>
      </c>
      <c r="L1014">
        <v>2400</v>
      </c>
      <c r="M1014">
        <v>2400</v>
      </c>
      <c r="N1014">
        <v>0</v>
      </c>
    </row>
    <row r="1015" spans="1:14" x14ac:dyDescent="0.25">
      <c r="A1015">
        <v>559.02421900000002</v>
      </c>
      <c r="B1015" s="1">
        <f>DATE(2011,11,11) + TIME(0,34,52)</f>
        <v>40858.024212962962</v>
      </c>
      <c r="C1015">
        <v>80</v>
      </c>
      <c r="D1015">
        <v>78.491653442</v>
      </c>
      <c r="E1015">
        <v>50</v>
      </c>
      <c r="F1015">
        <v>49.964534759999999</v>
      </c>
      <c r="G1015">
        <v>1320.8972168</v>
      </c>
      <c r="H1015">
        <v>1316.1481934000001</v>
      </c>
      <c r="I1015">
        <v>1358.8009033000001</v>
      </c>
      <c r="J1015">
        <v>1350.2681885</v>
      </c>
      <c r="K1015">
        <v>0</v>
      </c>
      <c r="L1015">
        <v>2400</v>
      </c>
      <c r="M1015">
        <v>2400</v>
      </c>
      <c r="N1015">
        <v>0</v>
      </c>
    </row>
    <row r="1016" spans="1:14" x14ac:dyDescent="0.25">
      <c r="A1016">
        <v>559.57353899999998</v>
      </c>
      <c r="B1016" s="1">
        <f>DATE(2011,11,11) + TIME(13,45,53)</f>
        <v>40858.573530092595</v>
      </c>
      <c r="C1016">
        <v>80</v>
      </c>
      <c r="D1016">
        <v>78.426315308</v>
      </c>
      <c r="E1016">
        <v>50</v>
      </c>
      <c r="F1016">
        <v>49.964607239000003</v>
      </c>
      <c r="G1016">
        <v>1320.8818358999999</v>
      </c>
      <c r="H1016">
        <v>1316.1296387</v>
      </c>
      <c r="I1016">
        <v>1358.765625</v>
      </c>
      <c r="J1016">
        <v>1350.2424315999999</v>
      </c>
      <c r="K1016">
        <v>0</v>
      </c>
      <c r="L1016">
        <v>2400</v>
      </c>
      <c r="M1016">
        <v>2400</v>
      </c>
      <c r="N1016">
        <v>0</v>
      </c>
    </row>
    <row r="1017" spans="1:14" x14ac:dyDescent="0.25">
      <c r="A1017">
        <v>560.15194799999995</v>
      </c>
      <c r="B1017" s="1">
        <f>DATE(2011,11,12) + TIME(3,38,48)</f>
        <v>40859.151944444442</v>
      </c>
      <c r="C1017">
        <v>80</v>
      </c>
      <c r="D1017">
        <v>78.358322143999999</v>
      </c>
      <c r="E1017">
        <v>50</v>
      </c>
      <c r="F1017">
        <v>49.964656830000003</v>
      </c>
      <c r="G1017">
        <v>1320.8652344</v>
      </c>
      <c r="H1017">
        <v>1316.1096190999999</v>
      </c>
      <c r="I1017">
        <v>1358.7301024999999</v>
      </c>
      <c r="J1017">
        <v>1350.2165527</v>
      </c>
      <c r="K1017">
        <v>0</v>
      </c>
      <c r="L1017">
        <v>2400</v>
      </c>
      <c r="M1017">
        <v>2400</v>
      </c>
      <c r="N1017">
        <v>0</v>
      </c>
    </row>
    <row r="1018" spans="1:14" x14ac:dyDescent="0.25">
      <c r="A1018">
        <v>560.73644000000002</v>
      </c>
      <c r="B1018" s="1">
        <f>DATE(2011,11,12) + TIME(17,40,28)</f>
        <v>40859.736435185187</v>
      </c>
      <c r="C1018">
        <v>80</v>
      </c>
      <c r="D1018">
        <v>78.289299010999997</v>
      </c>
      <c r="E1018">
        <v>50</v>
      </c>
      <c r="F1018">
        <v>49.964694977000001</v>
      </c>
      <c r="G1018">
        <v>1320.8476562000001</v>
      </c>
      <c r="H1018">
        <v>1316.0882568</v>
      </c>
      <c r="I1018">
        <v>1358.6943358999999</v>
      </c>
      <c r="J1018">
        <v>1350.1906738</v>
      </c>
      <c r="K1018">
        <v>0</v>
      </c>
      <c r="L1018">
        <v>2400</v>
      </c>
      <c r="M1018">
        <v>2400</v>
      </c>
      <c r="N1018">
        <v>0</v>
      </c>
    </row>
    <row r="1019" spans="1:14" x14ac:dyDescent="0.25">
      <c r="A1019">
        <v>561.33201599999995</v>
      </c>
      <c r="B1019" s="1">
        <f>DATE(2011,11,13) + TIME(7,58,6)</f>
        <v>40860.332013888888</v>
      </c>
      <c r="C1019">
        <v>80</v>
      </c>
      <c r="D1019">
        <v>78.219337463000002</v>
      </c>
      <c r="E1019">
        <v>50</v>
      </c>
      <c r="F1019">
        <v>49.964717864999997</v>
      </c>
      <c r="G1019">
        <v>1320.8295897999999</v>
      </c>
      <c r="H1019">
        <v>1316.0661620999999</v>
      </c>
      <c r="I1019">
        <v>1358.6600341999999</v>
      </c>
      <c r="J1019">
        <v>1350.1656493999999</v>
      </c>
      <c r="K1019">
        <v>0</v>
      </c>
      <c r="L1019">
        <v>2400</v>
      </c>
      <c r="M1019">
        <v>2400</v>
      </c>
      <c r="N1019">
        <v>0</v>
      </c>
    </row>
    <row r="1020" spans="1:14" x14ac:dyDescent="0.25">
      <c r="A1020">
        <v>561.94358499999998</v>
      </c>
      <c r="B1020" s="1">
        <f>DATE(2011,11,13) + TIME(22,38,45)</f>
        <v>40860.943576388891</v>
      </c>
      <c r="C1020">
        <v>80</v>
      </c>
      <c r="D1020">
        <v>78.148277282999999</v>
      </c>
      <c r="E1020">
        <v>50</v>
      </c>
      <c r="F1020">
        <v>49.964733123999999</v>
      </c>
      <c r="G1020">
        <v>1320.8107910000001</v>
      </c>
      <c r="H1020">
        <v>1316.0430908000001</v>
      </c>
      <c r="I1020">
        <v>1358.6267089999999</v>
      </c>
      <c r="J1020">
        <v>1350.1414795000001</v>
      </c>
      <c r="K1020">
        <v>0</v>
      </c>
      <c r="L1020">
        <v>2400</v>
      </c>
      <c r="M1020">
        <v>2400</v>
      </c>
      <c r="N1020">
        <v>0</v>
      </c>
    </row>
    <row r="1021" spans="1:14" x14ac:dyDescent="0.25">
      <c r="A1021">
        <v>562.57414700000004</v>
      </c>
      <c r="B1021" s="1">
        <f>DATE(2011,11,14) + TIME(13,46,46)</f>
        <v>40861.574143518519</v>
      </c>
      <c r="C1021">
        <v>80</v>
      </c>
      <c r="D1021">
        <v>78.075965881000002</v>
      </c>
      <c r="E1021">
        <v>50</v>
      </c>
      <c r="F1021">
        <v>49.964744568</v>
      </c>
      <c r="G1021">
        <v>1320.7912598</v>
      </c>
      <c r="H1021">
        <v>1316.019043</v>
      </c>
      <c r="I1021">
        <v>1358.5939940999999</v>
      </c>
      <c r="J1021">
        <v>1350.1177978999999</v>
      </c>
      <c r="K1021">
        <v>0</v>
      </c>
      <c r="L1021">
        <v>2400</v>
      </c>
      <c r="M1021">
        <v>2400</v>
      </c>
      <c r="N1021">
        <v>0</v>
      </c>
    </row>
    <row r="1022" spans="1:14" x14ac:dyDescent="0.25">
      <c r="A1022">
        <v>563.227801</v>
      </c>
      <c r="B1022" s="1">
        <f>DATE(2011,11,15) + TIME(5,28,2)</f>
        <v>40862.227800925924</v>
      </c>
      <c r="C1022">
        <v>80</v>
      </c>
      <c r="D1022">
        <v>78.002113342000001</v>
      </c>
      <c r="E1022">
        <v>50</v>
      </c>
      <c r="F1022">
        <v>49.964748383</v>
      </c>
      <c r="G1022">
        <v>1320.770874</v>
      </c>
      <c r="H1022">
        <v>1315.9936522999999</v>
      </c>
      <c r="I1022">
        <v>1358.5617675999999</v>
      </c>
      <c r="J1022">
        <v>1350.0944824000001</v>
      </c>
      <c r="K1022">
        <v>0</v>
      </c>
      <c r="L1022">
        <v>2400</v>
      </c>
      <c r="M1022">
        <v>2400</v>
      </c>
      <c r="N1022">
        <v>0</v>
      </c>
    </row>
    <row r="1023" spans="1:14" x14ac:dyDescent="0.25">
      <c r="A1023">
        <v>563.91025500000001</v>
      </c>
      <c r="B1023" s="1">
        <f>DATE(2011,11,15) + TIME(21,50,46)</f>
        <v>40862.910254629627</v>
      </c>
      <c r="C1023">
        <v>80</v>
      </c>
      <c r="D1023">
        <v>77.926315308</v>
      </c>
      <c r="E1023">
        <v>50</v>
      </c>
      <c r="F1023">
        <v>49.964752197000003</v>
      </c>
      <c r="G1023">
        <v>1320.7493896000001</v>
      </c>
      <c r="H1023">
        <v>1315.9669189000001</v>
      </c>
      <c r="I1023">
        <v>1358.5297852000001</v>
      </c>
      <c r="J1023">
        <v>1350.0712891000001</v>
      </c>
      <c r="K1023">
        <v>0</v>
      </c>
      <c r="L1023">
        <v>2400</v>
      </c>
      <c r="M1023">
        <v>2400</v>
      </c>
      <c r="N1023">
        <v>0</v>
      </c>
    </row>
    <row r="1024" spans="1:14" x14ac:dyDescent="0.25">
      <c r="A1024">
        <v>564.62374399999999</v>
      </c>
      <c r="B1024" s="1">
        <f>DATE(2011,11,16) + TIME(14,58,11)</f>
        <v>40863.623738425929</v>
      </c>
      <c r="C1024">
        <v>80</v>
      </c>
      <c r="D1024">
        <v>77.848304748999993</v>
      </c>
      <c r="E1024">
        <v>50</v>
      </c>
      <c r="F1024">
        <v>49.964756012000002</v>
      </c>
      <c r="G1024">
        <v>1320.7265625</v>
      </c>
      <c r="H1024">
        <v>1315.9384766000001</v>
      </c>
      <c r="I1024">
        <v>1358.4979248</v>
      </c>
      <c r="J1024">
        <v>1350.0482178</v>
      </c>
      <c r="K1024">
        <v>0</v>
      </c>
      <c r="L1024">
        <v>2400</v>
      </c>
      <c r="M1024">
        <v>2400</v>
      </c>
      <c r="N1024">
        <v>0</v>
      </c>
    </row>
    <row r="1025" spans="1:14" x14ac:dyDescent="0.25">
      <c r="A1025">
        <v>565.35477800000001</v>
      </c>
      <c r="B1025" s="1">
        <f>DATE(2011,11,17) + TIME(8,30,52)</f>
        <v>40864.354768518519</v>
      </c>
      <c r="C1025">
        <v>80</v>
      </c>
      <c r="D1025">
        <v>77.768814086999996</v>
      </c>
      <c r="E1025">
        <v>50</v>
      </c>
      <c r="F1025">
        <v>49.964756012000002</v>
      </c>
      <c r="G1025">
        <v>1320.7023925999999</v>
      </c>
      <c r="H1025">
        <v>1315.9082031</v>
      </c>
      <c r="I1025">
        <v>1358.4659423999999</v>
      </c>
      <c r="J1025">
        <v>1350.0251464999999</v>
      </c>
      <c r="K1025">
        <v>0</v>
      </c>
      <c r="L1025">
        <v>2400</v>
      </c>
      <c r="M1025">
        <v>2400</v>
      </c>
      <c r="N1025">
        <v>0</v>
      </c>
    </row>
    <row r="1026" spans="1:14" x14ac:dyDescent="0.25">
      <c r="A1026">
        <v>566.10532699999999</v>
      </c>
      <c r="B1026" s="1">
        <f>DATE(2011,11,18) + TIME(2,31,40)</f>
        <v>40865.105324074073</v>
      </c>
      <c r="C1026">
        <v>80</v>
      </c>
      <c r="D1026">
        <v>77.687980651999993</v>
      </c>
      <c r="E1026">
        <v>50</v>
      </c>
      <c r="F1026">
        <v>49.964756012000002</v>
      </c>
      <c r="G1026">
        <v>1320.677124</v>
      </c>
      <c r="H1026">
        <v>1315.8764647999999</v>
      </c>
      <c r="I1026">
        <v>1358.4346923999999</v>
      </c>
      <c r="J1026">
        <v>1350.0025635</v>
      </c>
      <c r="K1026">
        <v>0</v>
      </c>
      <c r="L1026">
        <v>2400</v>
      </c>
      <c r="M1026">
        <v>2400</v>
      </c>
      <c r="N1026">
        <v>0</v>
      </c>
    </row>
    <row r="1027" spans="1:14" x14ac:dyDescent="0.25">
      <c r="A1027">
        <v>566.87006899999994</v>
      </c>
      <c r="B1027" s="1">
        <f>DATE(2011,11,18) + TIME(20,52,53)</f>
        <v>40865.870057870372</v>
      </c>
      <c r="C1027">
        <v>80</v>
      </c>
      <c r="D1027">
        <v>77.606246948000006</v>
      </c>
      <c r="E1027">
        <v>50</v>
      </c>
      <c r="F1027">
        <v>49.964752197000003</v>
      </c>
      <c r="G1027">
        <v>1320.6508789</v>
      </c>
      <c r="H1027">
        <v>1315.8432617000001</v>
      </c>
      <c r="I1027">
        <v>1358.4038086</v>
      </c>
      <c r="J1027">
        <v>1349.9803466999999</v>
      </c>
      <c r="K1027">
        <v>0</v>
      </c>
      <c r="L1027">
        <v>2400</v>
      </c>
      <c r="M1027">
        <v>2400</v>
      </c>
      <c r="N1027">
        <v>0</v>
      </c>
    </row>
    <row r="1028" spans="1:14" x14ac:dyDescent="0.25">
      <c r="A1028">
        <v>567.64422100000002</v>
      </c>
      <c r="B1028" s="1">
        <f>DATE(2011,11,19) + TIME(15,27,40)</f>
        <v>40866.644212962965</v>
      </c>
      <c r="C1028">
        <v>80</v>
      </c>
      <c r="D1028">
        <v>77.524085998999993</v>
      </c>
      <c r="E1028">
        <v>50</v>
      </c>
      <c r="F1028">
        <v>49.964752197000003</v>
      </c>
      <c r="G1028">
        <v>1320.6236572</v>
      </c>
      <c r="H1028">
        <v>1315.8087158000001</v>
      </c>
      <c r="I1028">
        <v>1358.3737793</v>
      </c>
      <c r="J1028">
        <v>1349.9586182</v>
      </c>
      <c r="K1028">
        <v>0</v>
      </c>
      <c r="L1028">
        <v>2400</v>
      </c>
      <c r="M1028">
        <v>2400</v>
      </c>
      <c r="N1028">
        <v>0</v>
      </c>
    </row>
    <row r="1029" spans="1:14" x14ac:dyDescent="0.25">
      <c r="A1029">
        <v>568.43010700000002</v>
      </c>
      <c r="B1029" s="1">
        <f>DATE(2011,11,20) + TIME(10,19,21)</f>
        <v>40867.430104166669</v>
      </c>
      <c r="C1029">
        <v>80</v>
      </c>
      <c r="D1029">
        <v>77.441596985000004</v>
      </c>
      <c r="E1029">
        <v>50</v>
      </c>
      <c r="F1029">
        <v>49.964752197000003</v>
      </c>
      <c r="G1029">
        <v>1320.5955810999999</v>
      </c>
      <c r="H1029">
        <v>1315.7730713000001</v>
      </c>
      <c r="I1029">
        <v>1358.3446045000001</v>
      </c>
      <c r="J1029">
        <v>1349.9375</v>
      </c>
      <c r="K1029">
        <v>0</v>
      </c>
      <c r="L1029">
        <v>2400</v>
      </c>
      <c r="M1029">
        <v>2400</v>
      </c>
      <c r="N1029">
        <v>0</v>
      </c>
    </row>
    <row r="1030" spans="1:14" x14ac:dyDescent="0.25">
      <c r="A1030">
        <v>569.22953399999994</v>
      </c>
      <c r="B1030" s="1">
        <f>DATE(2011,11,21) + TIME(5,30,31)</f>
        <v>40868.229525462964</v>
      </c>
      <c r="C1030">
        <v>80</v>
      </c>
      <c r="D1030">
        <v>77.358757018999995</v>
      </c>
      <c r="E1030">
        <v>50</v>
      </c>
      <c r="F1030">
        <v>49.964752197000003</v>
      </c>
      <c r="G1030">
        <v>1320.5667725000001</v>
      </c>
      <c r="H1030">
        <v>1315.7360839999999</v>
      </c>
      <c r="I1030">
        <v>1358.3160399999999</v>
      </c>
      <c r="J1030">
        <v>1349.9169922000001</v>
      </c>
      <c r="K1030">
        <v>0</v>
      </c>
      <c r="L1030">
        <v>2400</v>
      </c>
      <c r="M1030">
        <v>2400</v>
      </c>
      <c r="N1030">
        <v>0</v>
      </c>
    </row>
    <row r="1031" spans="1:14" x14ac:dyDescent="0.25">
      <c r="A1031">
        <v>570.04432699999995</v>
      </c>
      <c r="B1031" s="1">
        <f>DATE(2011,11,22) + TIME(1,3,49)</f>
        <v>40869.044317129628</v>
      </c>
      <c r="C1031">
        <v>80</v>
      </c>
      <c r="D1031">
        <v>77.275474548000005</v>
      </c>
      <c r="E1031">
        <v>50</v>
      </c>
      <c r="F1031">
        <v>49.964752197000003</v>
      </c>
      <c r="G1031">
        <v>1320.5368652</v>
      </c>
      <c r="H1031">
        <v>1315.697876</v>
      </c>
      <c r="I1031">
        <v>1358.2882079999999</v>
      </c>
      <c r="J1031">
        <v>1349.8968506000001</v>
      </c>
      <c r="K1031">
        <v>0</v>
      </c>
      <c r="L1031">
        <v>2400</v>
      </c>
      <c r="M1031">
        <v>2400</v>
      </c>
      <c r="N1031">
        <v>0</v>
      </c>
    </row>
    <row r="1032" spans="1:14" x14ac:dyDescent="0.25">
      <c r="A1032">
        <v>570.87630200000001</v>
      </c>
      <c r="B1032" s="1">
        <f>DATE(2011,11,22) + TIME(21,1,52)</f>
        <v>40869.876296296294</v>
      </c>
      <c r="C1032">
        <v>80</v>
      </c>
      <c r="D1032">
        <v>77.191642760999997</v>
      </c>
      <c r="E1032">
        <v>50</v>
      </c>
      <c r="F1032">
        <v>49.964756012000002</v>
      </c>
      <c r="G1032">
        <v>1320.5059814000001</v>
      </c>
      <c r="H1032">
        <v>1315.6580810999999</v>
      </c>
      <c r="I1032">
        <v>1358.2608643000001</v>
      </c>
      <c r="J1032">
        <v>1349.8771973</v>
      </c>
      <c r="K1032">
        <v>0</v>
      </c>
      <c r="L1032">
        <v>2400</v>
      </c>
      <c r="M1032">
        <v>2400</v>
      </c>
      <c r="N1032">
        <v>0</v>
      </c>
    </row>
    <row r="1033" spans="1:14" x14ac:dyDescent="0.25">
      <c r="A1033">
        <v>571.72733600000004</v>
      </c>
      <c r="B1033" s="1">
        <f>DATE(2011,11,23) + TIME(17,27,21)</f>
        <v>40870.727326388886</v>
      </c>
      <c r="C1033">
        <v>80</v>
      </c>
      <c r="D1033">
        <v>77.107124329000001</v>
      </c>
      <c r="E1033">
        <v>50</v>
      </c>
      <c r="F1033">
        <v>49.964756012000002</v>
      </c>
      <c r="G1033">
        <v>1320.4741211</v>
      </c>
      <c r="H1033">
        <v>1315.6168213000001</v>
      </c>
      <c r="I1033">
        <v>1358.2340088000001</v>
      </c>
      <c r="J1033">
        <v>1349.8577881000001</v>
      </c>
      <c r="K1033">
        <v>0</v>
      </c>
      <c r="L1033">
        <v>2400</v>
      </c>
      <c r="M1033">
        <v>2400</v>
      </c>
      <c r="N1033">
        <v>0</v>
      </c>
    </row>
    <row r="1034" spans="1:14" x14ac:dyDescent="0.25">
      <c r="A1034">
        <v>572.59934599999997</v>
      </c>
      <c r="B1034" s="1">
        <f>DATE(2011,11,24) + TIME(14,23,3)</f>
        <v>40871.599340277775</v>
      </c>
      <c r="C1034">
        <v>80</v>
      </c>
      <c r="D1034">
        <v>77.021781920999999</v>
      </c>
      <c r="E1034">
        <v>50</v>
      </c>
      <c r="F1034">
        <v>49.964759827000002</v>
      </c>
      <c r="G1034">
        <v>1320.440918</v>
      </c>
      <c r="H1034">
        <v>1315.5738524999999</v>
      </c>
      <c r="I1034">
        <v>1358.2075195</v>
      </c>
      <c r="J1034">
        <v>1349.8387451000001</v>
      </c>
      <c r="K1034">
        <v>0</v>
      </c>
      <c r="L1034">
        <v>2400</v>
      </c>
      <c r="M1034">
        <v>2400</v>
      </c>
      <c r="N1034">
        <v>0</v>
      </c>
    </row>
    <row r="1035" spans="1:14" x14ac:dyDescent="0.25">
      <c r="A1035">
        <v>573.49432999999999</v>
      </c>
      <c r="B1035" s="1">
        <f>DATE(2011,11,25) + TIME(11,51,50)</f>
        <v>40872.494328703702</v>
      </c>
      <c r="C1035">
        <v>80</v>
      </c>
      <c r="D1035">
        <v>76.935485839999998</v>
      </c>
      <c r="E1035">
        <v>50</v>
      </c>
      <c r="F1035">
        <v>49.964767455999997</v>
      </c>
      <c r="G1035">
        <v>1320.4063721</v>
      </c>
      <c r="H1035">
        <v>1315.5290527</v>
      </c>
      <c r="I1035">
        <v>1358.1812743999999</v>
      </c>
      <c r="J1035">
        <v>1349.8199463000001</v>
      </c>
      <c r="K1035">
        <v>0</v>
      </c>
      <c r="L1035">
        <v>2400</v>
      </c>
      <c r="M1035">
        <v>2400</v>
      </c>
      <c r="N1035">
        <v>0</v>
      </c>
    </row>
    <row r="1036" spans="1:14" x14ac:dyDescent="0.25">
      <c r="A1036">
        <v>574.40715799999998</v>
      </c>
      <c r="B1036" s="1">
        <f>DATE(2011,11,26) + TIME(9,46,18)</f>
        <v>40873.407152777778</v>
      </c>
      <c r="C1036">
        <v>80</v>
      </c>
      <c r="D1036">
        <v>76.848411560000002</v>
      </c>
      <c r="E1036">
        <v>50</v>
      </c>
      <c r="F1036">
        <v>49.964771270999996</v>
      </c>
      <c r="G1036">
        <v>1320.3706055</v>
      </c>
      <c r="H1036">
        <v>1315.4824219</v>
      </c>
      <c r="I1036">
        <v>1358.1553954999999</v>
      </c>
      <c r="J1036">
        <v>1349.8012695</v>
      </c>
      <c r="K1036">
        <v>0</v>
      </c>
      <c r="L1036">
        <v>2400</v>
      </c>
      <c r="M1036">
        <v>2400</v>
      </c>
      <c r="N1036">
        <v>0</v>
      </c>
    </row>
    <row r="1037" spans="1:14" x14ac:dyDescent="0.25">
      <c r="A1037">
        <v>575.33707800000002</v>
      </c>
      <c r="B1037" s="1">
        <f>DATE(2011,11,27) + TIME(8,5,23)</f>
        <v>40874.337071759262</v>
      </c>
      <c r="C1037">
        <v>80</v>
      </c>
      <c r="D1037">
        <v>76.760726929</v>
      </c>
      <c r="E1037">
        <v>50</v>
      </c>
      <c r="F1037">
        <v>49.964778899999999</v>
      </c>
      <c r="G1037">
        <v>1320.3334961</v>
      </c>
      <c r="H1037">
        <v>1315.4339600000001</v>
      </c>
      <c r="I1037">
        <v>1358.1298827999999</v>
      </c>
      <c r="J1037">
        <v>1349.7829589999999</v>
      </c>
      <c r="K1037">
        <v>0</v>
      </c>
      <c r="L1037">
        <v>2400</v>
      </c>
      <c r="M1037">
        <v>2400</v>
      </c>
      <c r="N1037">
        <v>0</v>
      </c>
    </row>
    <row r="1038" spans="1:14" x14ac:dyDescent="0.25">
      <c r="A1038">
        <v>576.28376200000002</v>
      </c>
      <c r="B1038" s="1">
        <f>DATE(2011,11,28) + TIME(6,48,37)</f>
        <v>40875.283761574072</v>
      </c>
      <c r="C1038">
        <v>80</v>
      </c>
      <c r="D1038">
        <v>76.672538756999998</v>
      </c>
      <c r="E1038">
        <v>50</v>
      </c>
      <c r="F1038">
        <v>49.964786529999998</v>
      </c>
      <c r="G1038">
        <v>1320.2951660000001</v>
      </c>
      <c r="H1038">
        <v>1315.3839111</v>
      </c>
      <c r="I1038">
        <v>1358.1047363</v>
      </c>
      <c r="J1038">
        <v>1349.7648925999999</v>
      </c>
      <c r="K1038">
        <v>0</v>
      </c>
      <c r="L1038">
        <v>2400</v>
      </c>
      <c r="M1038">
        <v>2400</v>
      </c>
      <c r="N1038">
        <v>0</v>
      </c>
    </row>
    <row r="1039" spans="1:14" x14ac:dyDescent="0.25">
      <c r="A1039">
        <v>577.24645999999996</v>
      </c>
      <c r="B1039" s="1">
        <f>DATE(2011,11,29) + TIME(5,54,54)</f>
        <v>40876.246458333335</v>
      </c>
      <c r="C1039">
        <v>80</v>
      </c>
      <c r="D1039">
        <v>76.583938599000007</v>
      </c>
      <c r="E1039">
        <v>50</v>
      </c>
      <c r="F1039">
        <v>49.964794159</v>
      </c>
      <c r="G1039">
        <v>1320.2556152</v>
      </c>
      <c r="H1039">
        <v>1315.3320312000001</v>
      </c>
      <c r="I1039">
        <v>1358.0800781</v>
      </c>
      <c r="J1039">
        <v>1349.7470702999999</v>
      </c>
      <c r="K1039">
        <v>0</v>
      </c>
      <c r="L1039">
        <v>2400</v>
      </c>
      <c r="M1039">
        <v>2400</v>
      </c>
      <c r="N1039">
        <v>0</v>
      </c>
    </row>
    <row r="1040" spans="1:14" x14ac:dyDescent="0.25">
      <c r="A1040">
        <v>578.22738900000002</v>
      </c>
      <c r="B1040" s="1">
        <f>DATE(2011,11,30) + TIME(5,27,26)</f>
        <v>40877.227384259262</v>
      </c>
      <c r="C1040">
        <v>80</v>
      </c>
      <c r="D1040">
        <v>76.494918823000006</v>
      </c>
      <c r="E1040">
        <v>50</v>
      </c>
      <c r="F1040">
        <v>49.964805603000002</v>
      </c>
      <c r="G1040">
        <v>1320.2148437999999</v>
      </c>
      <c r="H1040">
        <v>1315.2783202999999</v>
      </c>
      <c r="I1040">
        <v>1358.0557861</v>
      </c>
      <c r="J1040">
        <v>1349.7296143000001</v>
      </c>
      <c r="K1040">
        <v>0</v>
      </c>
      <c r="L1040">
        <v>2400</v>
      </c>
      <c r="M1040">
        <v>2400</v>
      </c>
      <c r="N1040">
        <v>0</v>
      </c>
    </row>
    <row r="1041" spans="1:14" x14ac:dyDescent="0.25">
      <c r="A1041">
        <v>579</v>
      </c>
      <c r="B1041" s="1">
        <f>DATE(2011,12,1) + TIME(0,0,0)</f>
        <v>40878</v>
      </c>
      <c r="C1041">
        <v>80</v>
      </c>
      <c r="D1041">
        <v>76.416206360000004</v>
      </c>
      <c r="E1041">
        <v>50</v>
      </c>
      <c r="F1041">
        <v>49.964809418000002</v>
      </c>
      <c r="G1041">
        <v>1320.1733397999999</v>
      </c>
      <c r="H1041">
        <v>1315.2242432</v>
      </c>
      <c r="I1041">
        <v>1358.0318603999999</v>
      </c>
      <c r="J1041">
        <v>1349.7124022999999</v>
      </c>
      <c r="K1041">
        <v>0</v>
      </c>
      <c r="L1041">
        <v>2400</v>
      </c>
      <c r="M1041">
        <v>2400</v>
      </c>
      <c r="N1041">
        <v>0</v>
      </c>
    </row>
    <row r="1042" spans="1:14" x14ac:dyDescent="0.25">
      <c r="A1042">
        <v>580.00136299999997</v>
      </c>
      <c r="B1042" s="1">
        <f>DATE(2011,12,2) + TIME(0,1,57)</f>
        <v>40879.001354166663</v>
      </c>
      <c r="C1042">
        <v>80</v>
      </c>
      <c r="D1042">
        <v>76.331970214999998</v>
      </c>
      <c r="E1042">
        <v>50</v>
      </c>
      <c r="F1042">
        <v>49.964824677000003</v>
      </c>
      <c r="G1042">
        <v>1320.1384277</v>
      </c>
      <c r="H1042">
        <v>1315.1770019999999</v>
      </c>
      <c r="I1042">
        <v>1358.0136719</v>
      </c>
      <c r="J1042">
        <v>1349.6993408000001</v>
      </c>
      <c r="K1042">
        <v>0</v>
      </c>
      <c r="L1042">
        <v>2400</v>
      </c>
      <c r="M1042">
        <v>2400</v>
      </c>
      <c r="N1042">
        <v>0</v>
      </c>
    </row>
    <row r="1043" spans="1:14" x14ac:dyDescent="0.25">
      <c r="A1043">
        <v>581.04495699999995</v>
      </c>
      <c r="B1043" s="1">
        <f>DATE(2011,12,3) + TIME(1,4,44)</f>
        <v>40880.044953703706</v>
      </c>
      <c r="C1043">
        <v>80</v>
      </c>
      <c r="D1043">
        <v>76.243988036999994</v>
      </c>
      <c r="E1043">
        <v>50</v>
      </c>
      <c r="F1043">
        <v>49.964839935000001</v>
      </c>
      <c r="G1043">
        <v>1320.0949707</v>
      </c>
      <c r="H1043">
        <v>1315.1196289</v>
      </c>
      <c r="I1043">
        <v>1357.9907227000001</v>
      </c>
      <c r="J1043">
        <v>1349.6828613</v>
      </c>
      <c r="K1043">
        <v>0</v>
      </c>
      <c r="L1043">
        <v>2400</v>
      </c>
      <c r="M1043">
        <v>2400</v>
      </c>
      <c r="N1043">
        <v>0</v>
      </c>
    </row>
    <row r="1044" spans="1:14" x14ac:dyDescent="0.25">
      <c r="A1044">
        <v>582.11481400000002</v>
      </c>
      <c r="B1044" s="1">
        <f>DATE(2011,12,4) + TIME(2,45,19)</f>
        <v>40881.114803240744</v>
      </c>
      <c r="C1044">
        <v>80</v>
      </c>
      <c r="D1044">
        <v>76.153541564999998</v>
      </c>
      <c r="E1044">
        <v>50</v>
      </c>
      <c r="F1044">
        <v>49.964855194000002</v>
      </c>
      <c r="G1044">
        <v>1320.0489502</v>
      </c>
      <c r="H1044">
        <v>1315.0588379000001</v>
      </c>
      <c r="I1044">
        <v>1357.9674072</v>
      </c>
      <c r="J1044">
        <v>1349.6661377</v>
      </c>
      <c r="K1044">
        <v>0</v>
      </c>
      <c r="L1044">
        <v>2400</v>
      </c>
      <c r="M1044">
        <v>2400</v>
      </c>
      <c r="N1044">
        <v>0</v>
      </c>
    </row>
    <row r="1045" spans="1:14" x14ac:dyDescent="0.25">
      <c r="A1045">
        <v>583.21392700000001</v>
      </c>
      <c r="B1045" s="1">
        <f>DATE(2011,12,5) + TIME(5,8,3)</f>
        <v>40882.213923611111</v>
      </c>
      <c r="C1045">
        <v>80</v>
      </c>
      <c r="D1045">
        <v>76.061325073000006</v>
      </c>
      <c r="E1045">
        <v>50</v>
      </c>
      <c r="F1045">
        <v>49.964870453000003</v>
      </c>
      <c r="G1045">
        <v>1320.0010986</v>
      </c>
      <c r="H1045">
        <v>1314.9952393000001</v>
      </c>
      <c r="I1045">
        <v>1357.9443358999999</v>
      </c>
      <c r="J1045">
        <v>1349.6495361</v>
      </c>
      <c r="K1045">
        <v>0</v>
      </c>
      <c r="L1045">
        <v>2400</v>
      </c>
      <c r="M1045">
        <v>2400</v>
      </c>
      <c r="N1045">
        <v>0</v>
      </c>
    </row>
    <row r="1046" spans="1:14" x14ac:dyDescent="0.25">
      <c r="A1046">
        <v>584.34495800000002</v>
      </c>
      <c r="B1046" s="1">
        <f>DATE(2011,12,6) + TIME(8,16,44)</f>
        <v>40883.344953703701</v>
      </c>
      <c r="C1046">
        <v>80</v>
      </c>
      <c r="D1046">
        <v>75.967567443999997</v>
      </c>
      <c r="E1046">
        <v>50</v>
      </c>
      <c r="F1046">
        <v>49.964889526</v>
      </c>
      <c r="G1046">
        <v>1319.9512939000001</v>
      </c>
      <c r="H1046">
        <v>1314.9289550999999</v>
      </c>
      <c r="I1046">
        <v>1357.9213867000001</v>
      </c>
      <c r="J1046">
        <v>1349.6330565999999</v>
      </c>
      <c r="K1046">
        <v>0</v>
      </c>
      <c r="L1046">
        <v>2400</v>
      </c>
      <c r="M1046">
        <v>2400</v>
      </c>
      <c r="N1046">
        <v>0</v>
      </c>
    </row>
    <row r="1047" spans="1:14" x14ac:dyDescent="0.25">
      <c r="A1047">
        <v>585.510265</v>
      </c>
      <c r="B1047" s="1">
        <f>DATE(2011,12,7) + TIME(12,14,46)</f>
        <v>40884.510254629633</v>
      </c>
      <c r="C1047">
        <v>80</v>
      </c>
      <c r="D1047">
        <v>75.872314453000001</v>
      </c>
      <c r="E1047">
        <v>50</v>
      </c>
      <c r="F1047">
        <v>49.964908600000001</v>
      </c>
      <c r="G1047">
        <v>1319.8994141000001</v>
      </c>
      <c r="H1047">
        <v>1314.8597411999999</v>
      </c>
      <c r="I1047">
        <v>1357.8985596</v>
      </c>
      <c r="J1047">
        <v>1349.6165771000001</v>
      </c>
      <c r="K1047">
        <v>0</v>
      </c>
      <c r="L1047">
        <v>2400</v>
      </c>
      <c r="M1047">
        <v>2400</v>
      </c>
      <c r="N1047">
        <v>0</v>
      </c>
    </row>
    <row r="1048" spans="1:14" x14ac:dyDescent="0.25">
      <c r="A1048">
        <v>586.71297800000002</v>
      </c>
      <c r="B1048" s="1">
        <f>DATE(2011,12,8) + TIME(17,6,41)</f>
        <v>40885.71297453704</v>
      </c>
      <c r="C1048">
        <v>80</v>
      </c>
      <c r="D1048">
        <v>75.775489807</v>
      </c>
      <c r="E1048">
        <v>50</v>
      </c>
      <c r="F1048">
        <v>49.964927672999998</v>
      </c>
      <c r="G1048">
        <v>1319.8453368999999</v>
      </c>
      <c r="H1048">
        <v>1314.7874756000001</v>
      </c>
      <c r="I1048">
        <v>1357.8757324000001</v>
      </c>
      <c r="J1048">
        <v>1349.6000977000001</v>
      </c>
      <c r="K1048">
        <v>0</v>
      </c>
      <c r="L1048">
        <v>2400</v>
      </c>
      <c r="M1048">
        <v>2400</v>
      </c>
      <c r="N1048">
        <v>0</v>
      </c>
    </row>
    <row r="1049" spans="1:14" x14ac:dyDescent="0.25">
      <c r="A1049">
        <v>587.95641499999999</v>
      </c>
      <c r="B1049" s="1">
        <f>DATE(2011,12,9) + TIME(22,57,14)</f>
        <v>40886.956412037034</v>
      </c>
      <c r="C1049">
        <v>80</v>
      </c>
      <c r="D1049">
        <v>75.676963806000003</v>
      </c>
      <c r="E1049">
        <v>50</v>
      </c>
      <c r="F1049">
        <v>49.964946746999999</v>
      </c>
      <c r="G1049">
        <v>1319.7889404</v>
      </c>
      <c r="H1049">
        <v>1314.7119141000001</v>
      </c>
      <c r="I1049">
        <v>1357.8529053</v>
      </c>
      <c r="J1049">
        <v>1349.5837402</v>
      </c>
      <c r="K1049">
        <v>0</v>
      </c>
      <c r="L1049">
        <v>2400</v>
      </c>
      <c r="M1049">
        <v>2400</v>
      </c>
      <c r="N1049">
        <v>0</v>
      </c>
    </row>
    <row r="1050" spans="1:14" x14ac:dyDescent="0.25">
      <c r="A1050">
        <v>589.22999600000003</v>
      </c>
      <c r="B1050" s="1">
        <f>DATE(2011,12,11) + TIME(5,31,11)</f>
        <v>40888.229988425926</v>
      </c>
      <c r="C1050">
        <v>80</v>
      </c>
      <c r="D1050">
        <v>75.577026367000002</v>
      </c>
      <c r="E1050">
        <v>50</v>
      </c>
      <c r="F1050">
        <v>49.964969635000003</v>
      </c>
      <c r="G1050">
        <v>1319.7299805</v>
      </c>
      <c r="H1050">
        <v>1314.6329346</v>
      </c>
      <c r="I1050">
        <v>1357.8299560999999</v>
      </c>
      <c r="J1050">
        <v>1349.5672606999999</v>
      </c>
      <c r="K1050">
        <v>0</v>
      </c>
      <c r="L1050">
        <v>2400</v>
      </c>
      <c r="M1050">
        <v>2400</v>
      </c>
      <c r="N1050">
        <v>0</v>
      </c>
    </row>
    <row r="1051" spans="1:14" x14ac:dyDescent="0.25">
      <c r="A1051">
        <v>590.52451199999996</v>
      </c>
      <c r="B1051" s="1">
        <f>DATE(2011,12,12) + TIME(12,35,17)</f>
        <v>40889.524502314816</v>
      </c>
      <c r="C1051">
        <v>80</v>
      </c>
      <c r="D1051">
        <v>75.476272582999997</v>
      </c>
      <c r="E1051">
        <v>50</v>
      </c>
      <c r="F1051">
        <v>49.964996337999999</v>
      </c>
      <c r="G1051">
        <v>1319.6689452999999</v>
      </c>
      <c r="H1051">
        <v>1314.5509033000001</v>
      </c>
      <c r="I1051">
        <v>1357.807251</v>
      </c>
      <c r="J1051">
        <v>1349.5509033000001</v>
      </c>
      <c r="K1051">
        <v>0</v>
      </c>
      <c r="L1051">
        <v>2400</v>
      </c>
      <c r="M1051">
        <v>2400</v>
      </c>
      <c r="N1051">
        <v>0</v>
      </c>
    </row>
    <row r="1052" spans="1:14" x14ac:dyDescent="0.25">
      <c r="A1052">
        <v>591.83953299999996</v>
      </c>
      <c r="B1052" s="1">
        <f>DATE(2011,12,13) + TIME(20,8,55)</f>
        <v>40890.839525462965</v>
      </c>
      <c r="C1052">
        <v>80</v>
      </c>
      <c r="D1052">
        <v>75.375122070000003</v>
      </c>
      <c r="E1052">
        <v>50</v>
      </c>
      <c r="F1052">
        <v>49.965019226000003</v>
      </c>
      <c r="G1052">
        <v>1319.6060791</v>
      </c>
      <c r="H1052">
        <v>1314.4663086</v>
      </c>
      <c r="I1052">
        <v>1357.7849120999999</v>
      </c>
      <c r="J1052">
        <v>1349.5347899999999</v>
      </c>
      <c r="K1052">
        <v>0</v>
      </c>
      <c r="L1052">
        <v>2400</v>
      </c>
      <c r="M1052">
        <v>2400</v>
      </c>
      <c r="N1052">
        <v>0</v>
      </c>
    </row>
    <row r="1053" spans="1:14" x14ac:dyDescent="0.25">
      <c r="A1053">
        <v>593.177415</v>
      </c>
      <c r="B1053" s="1">
        <f>DATE(2011,12,15) + TIME(4,15,28)</f>
        <v>40892.177407407406</v>
      </c>
      <c r="C1053">
        <v>80</v>
      </c>
      <c r="D1053">
        <v>75.273696899000001</v>
      </c>
      <c r="E1053">
        <v>50</v>
      </c>
      <c r="F1053">
        <v>49.965045928999999</v>
      </c>
      <c r="G1053">
        <v>1319.541626</v>
      </c>
      <c r="H1053">
        <v>1314.3792725000001</v>
      </c>
      <c r="I1053">
        <v>1357.7629394999999</v>
      </c>
      <c r="J1053">
        <v>1349.5189209</v>
      </c>
      <c r="K1053">
        <v>0</v>
      </c>
      <c r="L1053">
        <v>2400</v>
      </c>
      <c r="M1053">
        <v>2400</v>
      </c>
      <c r="N1053">
        <v>0</v>
      </c>
    </row>
    <row r="1054" spans="1:14" x14ac:dyDescent="0.25">
      <c r="A1054">
        <v>594.53693799999996</v>
      </c>
      <c r="B1054" s="1">
        <f>DATE(2011,12,16) + TIME(12,53,11)</f>
        <v>40893.536932870367</v>
      </c>
      <c r="C1054">
        <v>80</v>
      </c>
      <c r="D1054">
        <v>75.172058105000005</v>
      </c>
      <c r="E1054">
        <v>50</v>
      </c>
      <c r="F1054">
        <v>49.965072632000002</v>
      </c>
      <c r="G1054">
        <v>1319.4752197</v>
      </c>
      <c r="H1054">
        <v>1314.2896728999999</v>
      </c>
      <c r="I1054">
        <v>1357.7410889</v>
      </c>
      <c r="J1054">
        <v>1349.5032959</v>
      </c>
      <c r="K1054">
        <v>0</v>
      </c>
      <c r="L1054">
        <v>2400</v>
      </c>
      <c r="M1054">
        <v>2400</v>
      </c>
      <c r="N1054">
        <v>0</v>
      </c>
    </row>
    <row r="1055" spans="1:14" x14ac:dyDescent="0.25">
      <c r="A1055">
        <v>595.92093499999999</v>
      </c>
      <c r="B1055" s="1">
        <f>DATE(2011,12,17) + TIME(22,6,8)</f>
        <v>40894.920925925922</v>
      </c>
      <c r="C1055">
        <v>80</v>
      </c>
      <c r="D1055">
        <v>75.070213318</v>
      </c>
      <c r="E1055">
        <v>50</v>
      </c>
      <c r="F1055">
        <v>49.965099334999998</v>
      </c>
      <c r="G1055">
        <v>1319.4071045000001</v>
      </c>
      <c r="H1055">
        <v>1314.1975098</v>
      </c>
      <c r="I1055">
        <v>1357.7197266000001</v>
      </c>
      <c r="J1055">
        <v>1349.487793</v>
      </c>
      <c r="K1055">
        <v>0</v>
      </c>
      <c r="L1055">
        <v>2400</v>
      </c>
      <c r="M1055">
        <v>2400</v>
      </c>
      <c r="N1055">
        <v>0</v>
      </c>
    </row>
    <row r="1056" spans="1:14" x14ac:dyDescent="0.25">
      <c r="A1056">
        <v>597.33226000000002</v>
      </c>
      <c r="B1056" s="1">
        <f>DATE(2011,12,19) + TIME(7,58,27)</f>
        <v>40896.332256944443</v>
      </c>
      <c r="C1056">
        <v>80</v>
      </c>
      <c r="D1056">
        <v>74.967987061000002</v>
      </c>
      <c r="E1056">
        <v>50</v>
      </c>
      <c r="F1056">
        <v>49.965129851999997</v>
      </c>
      <c r="G1056">
        <v>1319.3371582</v>
      </c>
      <c r="H1056">
        <v>1314.1026611</v>
      </c>
      <c r="I1056">
        <v>1357.6984863</v>
      </c>
      <c r="J1056">
        <v>1349.4725341999999</v>
      </c>
      <c r="K1056">
        <v>0</v>
      </c>
      <c r="L1056">
        <v>2400</v>
      </c>
      <c r="M1056">
        <v>2400</v>
      </c>
      <c r="N1056">
        <v>0</v>
      </c>
    </row>
    <row r="1057" spans="1:14" x14ac:dyDescent="0.25">
      <c r="A1057">
        <v>598.77382499999999</v>
      </c>
      <c r="B1057" s="1">
        <f>DATE(2011,12,20) + TIME(18,34,18)</f>
        <v>40897.773819444446</v>
      </c>
      <c r="C1057">
        <v>80</v>
      </c>
      <c r="D1057">
        <v>74.865165709999999</v>
      </c>
      <c r="E1057">
        <v>50</v>
      </c>
      <c r="F1057">
        <v>49.96516037</v>
      </c>
      <c r="G1057">
        <v>1319.2650146000001</v>
      </c>
      <c r="H1057">
        <v>1314.0048827999999</v>
      </c>
      <c r="I1057">
        <v>1357.6774902</v>
      </c>
      <c r="J1057">
        <v>1349.4573975000001</v>
      </c>
      <c r="K1057">
        <v>0</v>
      </c>
      <c r="L1057">
        <v>2400</v>
      </c>
      <c r="M1057">
        <v>2400</v>
      </c>
      <c r="N1057">
        <v>0</v>
      </c>
    </row>
    <row r="1058" spans="1:14" x14ac:dyDescent="0.25">
      <c r="A1058">
        <v>600.24864300000002</v>
      </c>
      <c r="B1058" s="1">
        <f>DATE(2011,12,22) + TIME(5,58,2)</f>
        <v>40899.24863425926</v>
      </c>
      <c r="C1058">
        <v>80</v>
      </c>
      <c r="D1058">
        <v>74.761627196999996</v>
      </c>
      <c r="E1058">
        <v>50</v>
      </c>
      <c r="F1058">
        <v>49.965190886999999</v>
      </c>
      <c r="G1058">
        <v>1319.1907959</v>
      </c>
      <c r="H1058">
        <v>1313.9040527</v>
      </c>
      <c r="I1058">
        <v>1357.6566161999999</v>
      </c>
      <c r="J1058">
        <v>1349.4423827999999</v>
      </c>
      <c r="K1058">
        <v>0</v>
      </c>
      <c r="L1058">
        <v>2400</v>
      </c>
      <c r="M1058">
        <v>2400</v>
      </c>
      <c r="N1058">
        <v>0</v>
      </c>
    </row>
    <row r="1059" spans="1:14" x14ac:dyDescent="0.25">
      <c r="A1059">
        <v>601.76001799999995</v>
      </c>
      <c r="B1059" s="1">
        <f>DATE(2011,12,23) + TIME(18,14,25)</f>
        <v>40900.760011574072</v>
      </c>
      <c r="C1059">
        <v>80</v>
      </c>
      <c r="D1059">
        <v>74.657226562000005</v>
      </c>
      <c r="E1059">
        <v>50</v>
      </c>
      <c r="F1059">
        <v>49.965225220000001</v>
      </c>
      <c r="G1059">
        <v>1319.1141356999999</v>
      </c>
      <c r="H1059">
        <v>1313.7998047000001</v>
      </c>
      <c r="I1059">
        <v>1357.6358643000001</v>
      </c>
      <c r="J1059">
        <v>1349.4273682</v>
      </c>
      <c r="K1059">
        <v>0</v>
      </c>
      <c r="L1059">
        <v>2400</v>
      </c>
      <c r="M1059">
        <v>2400</v>
      </c>
      <c r="N1059">
        <v>0</v>
      </c>
    </row>
    <row r="1060" spans="1:14" x14ac:dyDescent="0.25">
      <c r="A1060">
        <v>603.31099500000005</v>
      </c>
      <c r="B1060" s="1">
        <f>DATE(2011,12,25) + TIME(7,27,49)</f>
        <v>40902.310983796298</v>
      </c>
      <c r="C1060">
        <v>80</v>
      </c>
      <c r="D1060">
        <v>74.551750182999996</v>
      </c>
      <c r="E1060">
        <v>50</v>
      </c>
      <c r="F1060">
        <v>49.965259551999999</v>
      </c>
      <c r="G1060">
        <v>1319.0350341999999</v>
      </c>
      <c r="H1060">
        <v>1313.6920166</v>
      </c>
      <c r="I1060">
        <v>1357.6152344</v>
      </c>
      <c r="J1060">
        <v>1349.4124756000001</v>
      </c>
      <c r="K1060">
        <v>0</v>
      </c>
      <c r="L1060">
        <v>2400</v>
      </c>
      <c r="M1060">
        <v>2400</v>
      </c>
      <c r="N1060">
        <v>0</v>
      </c>
    </row>
    <row r="1061" spans="1:14" x14ac:dyDescent="0.25">
      <c r="A1061">
        <v>604.90451900000005</v>
      </c>
      <c r="B1061" s="1">
        <f>DATE(2011,12,26) + TIME(21,42,30)</f>
        <v>40903.904513888891</v>
      </c>
      <c r="C1061">
        <v>80</v>
      </c>
      <c r="D1061">
        <v>74.445022582999997</v>
      </c>
      <c r="E1061">
        <v>50</v>
      </c>
      <c r="F1061">
        <v>49.965297698999997</v>
      </c>
      <c r="G1061">
        <v>1318.953125</v>
      </c>
      <c r="H1061">
        <v>1313.5803223</v>
      </c>
      <c r="I1061">
        <v>1357.5946045000001</v>
      </c>
      <c r="J1061">
        <v>1349.3975829999999</v>
      </c>
      <c r="K1061">
        <v>0</v>
      </c>
      <c r="L1061">
        <v>2400</v>
      </c>
      <c r="M1061">
        <v>2400</v>
      </c>
      <c r="N1061">
        <v>0</v>
      </c>
    </row>
    <row r="1062" spans="1:14" x14ac:dyDescent="0.25">
      <c r="A1062">
        <v>606.54447300000004</v>
      </c>
      <c r="B1062" s="1">
        <f>DATE(2011,12,28) + TIME(13,4,2)</f>
        <v>40905.54446759259</v>
      </c>
      <c r="C1062">
        <v>80</v>
      </c>
      <c r="D1062">
        <v>74.336868285999998</v>
      </c>
      <c r="E1062">
        <v>50</v>
      </c>
      <c r="F1062">
        <v>49.965335846000002</v>
      </c>
      <c r="G1062">
        <v>1318.8682861</v>
      </c>
      <c r="H1062">
        <v>1313.4644774999999</v>
      </c>
      <c r="I1062">
        <v>1357.5740966999999</v>
      </c>
      <c r="J1062">
        <v>1349.3826904</v>
      </c>
      <c r="K1062">
        <v>0</v>
      </c>
      <c r="L1062">
        <v>2400</v>
      </c>
      <c r="M1062">
        <v>2400</v>
      </c>
      <c r="N1062">
        <v>0</v>
      </c>
    </row>
    <row r="1063" spans="1:14" x14ac:dyDescent="0.25">
      <c r="A1063">
        <v>608.23490600000002</v>
      </c>
      <c r="B1063" s="1">
        <f>DATE(2011,12,30) + TIME(5,38,15)</f>
        <v>40907.234895833331</v>
      </c>
      <c r="C1063">
        <v>80</v>
      </c>
      <c r="D1063">
        <v>74.227066039999997</v>
      </c>
      <c r="E1063">
        <v>50</v>
      </c>
      <c r="F1063">
        <v>49.965373993</v>
      </c>
      <c r="G1063">
        <v>1318.7802733999999</v>
      </c>
      <c r="H1063">
        <v>1313.3442382999999</v>
      </c>
      <c r="I1063">
        <v>1357.5534668</v>
      </c>
      <c r="J1063">
        <v>1349.3676757999999</v>
      </c>
      <c r="K1063">
        <v>0</v>
      </c>
      <c r="L1063">
        <v>2400</v>
      </c>
      <c r="M1063">
        <v>2400</v>
      </c>
      <c r="N1063">
        <v>0</v>
      </c>
    </row>
    <row r="1064" spans="1:14" x14ac:dyDescent="0.25">
      <c r="A1064">
        <v>609.11745299999995</v>
      </c>
      <c r="B1064" s="1">
        <f>DATE(2011,12,31) + TIME(2,49,7)</f>
        <v>40908.117442129631</v>
      </c>
      <c r="C1064">
        <v>80</v>
      </c>
      <c r="D1064">
        <v>74.141906738000003</v>
      </c>
      <c r="E1064">
        <v>50</v>
      </c>
      <c r="F1064">
        <v>49.965389252000001</v>
      </c>
      <c r="G1064">
        <v>1318.6923827999999</v>
      </c>
      <c r="H1064">
        <v>1313.2266846</v>
      </c>
      <c r="I1064">
        <v>1357.5324707</v>
      </c>
      <c r="J1064">
        <v>1349.3524170000001</v>
      </c>
      <c r="K1064">
        <v>0</v>
      </c>
      <c r="L1064">
        <v>2400</v>
      </c>
      <c r="M1064">
        <v>2400</v>
      </c>
      <c r="N1064">
        <v>0</v>
      </c>
    </row>
    <row r="1065" spans="1:14" x14ac:dyDescent="0.25">
      <c r="A1065">
        <v>610</v>
      </c>
      <c r="B1065" s="1">
        <f>DATE(2012,1,1) + TIME(0,0,0)</f>
        <v>40909</v>
      </c>
      <c r="C1065">
        <v>80</v>
      </c>
      <c r="D1065">
        <v>74.071220397999994</v>
      </c>
      <c r="E1065">
        <v>50</v>
      </c>
      <c r="F1065">
        <v>49.965404509999999</v>
      </c>
      <c r="G1065">
        <v>1318.6383057</v>
      </c>
      <c r="H1065">
        <v>1313.1501464999999</v>
      </c>
      <c r="I1065">
        <v>1357.5219727000001</v>
      </c>
      <c r="J1065">
        <v>1349.3448486</v>
      </c>
      <c r="K1065">
        <v>0</v>
      </c>
      <c r="L1065">
        <v>2400</v>
      </c>
      <c r="M1065">
        <v>2400</v>
      </c>
      <c r="N1065">
        <v>0</v>
      </c>
    </row>
    <row r="1066" spans="1:14" x14ac:dyDescent="0.25">
      <c r="A1066">
        <v>611.23833000000002</v>
      </c>
      <c r="B1066" s="1">
        <f>DATE(2012,1,2) + TIME(5,43,11)</f>
        <v>40910.238321759258</v>
      </c>
      <c r="C1066">
        <v>80</v>
      </c>
      <c r="D1066">
        <v>73.997520446999999</v>
      </c>
      <c r="E1066">
        <v>50</v>
      </c>
      <c r="F1066">
        <v>49.965435028000002</v>
      </c>
      <c r="G1066">
        <v>1318.5855713000001</v>
      </c>
      <c r="H1066">
        <v>1313.0756836</v>
      </c>
      <c r="I1066">
        <v>1357.5117187999999</v>
      </c>
      <c r="J1066">
        <v>1349.3374022999999</v>
      </c>
      <c r="K1066">
        <v>0</v>
      </c>
      <c r="L1066">
        <v>2400</v>
      </c>
      <c r="M1066">
        <v>2400</v>
      </c>
      <c r="N1066">
        <v>0</v>
      </c>
    </row>
    <row r="1067" spans="1:14" x14ac:dyDescent="0.25">
      <c r="A1067">
        <v>612.96696399999996</v>
      </c>
      <c r="B1067" s="1">
        <f>DATE(2012,1,3) + TIME(23,12,25)</f>
        <v>40911.966956018521</v>
      </c>
      <c r="C1067">
        <v>80</v>
      </c>
      <c r="D1067">
        <v>73.910621642999999</v>
      </c>
      <c r="E1067">
        <v>50</v>
      </c>
      <c r="F1067">
        <v>49.965484619000001</v>
      </c>
      <c r="G1067">
        <v>1318.5173339999999</v>
      </c>
      <c r="H1067">
        <v>1312.9815673999999</v>
      </c>
      <c r="I1067">
        <v>1357.4975586</v>
      </c>
      <c r="J1067">
        <v>1349.3271483999999</v>
      </c>
      <c r="K1067">
        <v>0</v>
      </c>
      <c r="L1067">
        <v>2400</v>
      </c>
      <c r="M1067">
        <v>2400</v>
      </c>
      <c r="N1067">
        <v>0</v>
      </c>
    </row>
    <row r="1068" spans="1:14" x14ac:dyDescent="0.25">
      <c r="A1068">
        <v>614.73695699999996</v>
      </c>
      <c r="B1068" s="1">
        <f>DATE(2012,1,5) + TIME(17,41,13)</f>
        <v>40913.736956018518</v>
      </c>
      <c r="C1068">
        <v>80</v>
      </c>
      <c r="D1068">
        <v>73.807380675999994</v>
      </c>
      <c r="E1068">
        <v>50</v>
      </c>
      <c r="F1068">
        <v>49.965526580999999</v>
      </c>
      <c r="G1068">
        <v>1318.4265137</v>
      </c>
      <c r="H1068">
        <v>1312.8582764</v>
      </c>
      <c r="I1068">
        <v>1357.4779053</v>
      </c>
      <c r="J1068">
        <v>1349.3128661999999</v>
      </c>
      <c r="K1068">
        <v>0</v>
      </c>
      <c r="L1068">
        <v>2400</v>
      </c>
      <c r="M1068">
        <v>2400</v>
      </c>
      <c r="N1068">
        <v>0</v>
      </c>
    </row>
    <row r="1069" spans="1:14" x14ac:dyDescent="0.25">
      <c r="A1069">
        <v>616.56073100000003</v>
      </c>
      <c r="B1069" s="1">
        <f>DATE(2012,1,7) + TIME(13,27,27)</f>
        <v>40915.560729166667</v>
      </c>
      <c r="C1069">
        <v>80</v>
      </c>
      <c r="D1069">
        <v>73.697662354000002</v>
      </c>
      <c r="E1069">
        <v>50</v>
      </c>
      <c r="F1069">
        <v>49.965572356999999</v>
      </c>
      <c r="G1069">
        <v>1318.3295897999999</v>
      </c>
      <c r="H1069">
        <v>1312.7255858999999</v>
      </c>
      <c r="I1069">
        <v>1357.4582519999999</v>
      </c>
      <c r="J1069">
        <v>1349.2985839999999</v>
      </c>
      <c r="K1069">
        <v>0</v>
      </c>
      <c r="L1069">
        <v>2400</v>
      </c>
      <c r="M1069">
        <v>2400</v>
      </c>
      <c r="N1069">
        <v>0</v>
      </c>
    </row>
    <row r="1070" spans="1:14" x14ac:dyDescent="0.25">
      <c r="A1070">
        <v>618.43044599999996</v>
      </c>
      <c r="B1070" s="1">
        <f>DATE(2012,1,9) + TIME(10,19,50)</f>
        <v>40917.430439814816</v>
      </c>
      <c r="C1070">
        <v>80</v>
      </c>
      <c r="D1070">
        <v>73.584510803000001</v>
      </c>
      <c r="E1070">
        <v>50</v>
      </c>
      <c r="F1070">
        <v>49.965618134000003</v>
      </c>
      <c r="G1070">
        <v>1318.2281493999999</v>
      </c>
      <c r="H1070">
        <v>1312.5861815999999</v>
      </c>
      <c r="I1070">
        <v>1357.4385986</v>
      </c>
      <c r="J1070">
        <v>1349.2843018000001</v>
      </c>
      <c r="K1070">
        <v>0</v>
      </c>
      <c r="L1070">
        <v>2400</v>
      </c>
      <c r="M1070">
        <v>2400</v>
      </c>
      <c r="N1070">
        <v>0</v>
      </c>
    </row>
    <row r="1071" spans="1:14" x14ac:dyDescent="0.25">
      <c r="A1071">
        <v>620.34281099999998</v>
      </c>
      <c r="B1071" s="1">
        <f>DATE(2012,1,11) + TIME(8,13,38)</f>
        <v>40919.342800925922</v>
      </c>
      <c r="C1071">
        <v>80</v>
      </c>
      <c r="D1071">
        <v>73.469139099000003</v>
      </c>
      <c r="E1071">
        <v>50</v>
      </c>
      <c r="F1071">
        <v>49.965667725000003</v>
      </c>
      <c r="G1071">
        <v>1318.1231689000001</v>
      </c>
      <c r="H1071">
        <v>1312.4416504000001</v>
      </c>
      <c r="I1071">
        <v>1357.4189452999999</v>
      </c>
      <c r="J1071">
        <v>1349.2698975000001</v>
      </c>
      <c r="K1071">
        <v>0</v>
      </c>
      <c r="L1071">
        <v>2400</v>
      </c>
      <c r="M1071">
        <v>2400</v>
      </c>
      <c r="N1071">
        <v>0</v>
      </c>
    </row>
    <row r="1072" spans="1:14" x14ac:dyDescent="0.25">
      <c r="A1072">
        <v>622.30410099999995</v>
      </c>
      <c r="B1072" s="1">
        <f>DATE(2012,1,13) + TIME(7,17,54)</f>
        <v>40921.304097222222</v>
      </c>
      <c r="C1072">
        <v>80</v>
      </c>
      <c r="D1072">
        <v>73.351844787999994</v>
      </c>
      <c r="E1072">
        <v>50</v>
      </c>
      <c r="F1072">
        <v>49.965717316000003</v>
      </c>
      <c r="G1072">
        <v>1318.0150146000001</v>
      </c>
      <c r="H1072">
        <v>1312.2924805</v>
      </c>
      <c r="I1072">
        <v>1357.3992920000001</v>
      </c>
      <c r="J1072">
        <v>1349.2556152</v>
      </c>
      <c r="K1072">
        <v>0</v>
      </c>
      <c r="L1072">
        <v>2400</v>
      </c>
      <c r="M1072">
        <v>2400</v>
      </c>
      <c r="N1072">
        <v>0</v>
      </c>
    </row>
    <row r="1073" spans="1:14" x14ac:dyDescent="0.25">
      <c r="A1073">
        <v>624.31043299999999</v>
      </c>
      <c r="B1073" s="1">
        <f>DATE(2012,1,15) + TIME(7,27,1)</f>
        <v>40923.310428240744</v>
      </c>
      <c r="C1073">
        <v>80</v>
      </c>
      <c r="D1073">
        <v>73.232574463000006</v>
      </c>
      <c r="E1073">
        <v>50</v>
      </c>
      <c r="F1073">
        <v>49.965766907000003</v>
      </c>
      <c r="G1073">
        <v>1317.9034423999999</v>
      </c>
      <c r="H1073">
        <v>1312.1384277</v>
      </c>
      <c r="I1073">
        <v>1357.3796387</v>
      </c>
      <c r="J1073">
        <v>1349.2413329999999</v>
      </c>
      <c r="K1073">
        <v>0</v>
      </c>
      <c r="L1073">
        <v>2400</v>
      </c>
      <c r="M1073">
        <v>2400</v>
      </c>
      <c r="N1073">
        <v>0</v>
      </c>
    </row>
    <row r="1074" spans="1:14" x14ac:dyDescent="0.25">
      <c r="A1074">
        <v>626.34877700000004</v>
      </c>
      <c r="B1074" s="1">
        <f>DATE(2012,1,17) + TIME(8,22,14)</f>
        <v>40925.348773148151</v>
      </c>
      <c r="C1074">
        <v>80</v>
      </c>
      <c r="D1074">
        <v>73.111564635999997</v>
      </c>
      <c r="E1074">
        <v>50</v>
      </c>
      <c r="F1074">
        <v>49.965816498000002</v>
      </c>
      <c r="G1074">
        <v>1317.7886963000001</v>
      </c>
      <c r="H1074">
        <v>1311.9798584</v>
      </c>
      <c r="I1074">
        <v>1357.3601074000001</v>
      </c>
      <c r="J1074">
        <v>1349.2270507999999</v>
      </c>
      <c r="K1074">
        <v>0</v>
      </c>
      <c r="L1074">
        <v>2400</v>
      </c>
      <c r="M1074">
        <v>2400</v>
      </c>
      <c r="N1074">
        <v>0</v>
      </c>
    </row>
    <row r="1075" spans="1:14" x14ac:dyDescent="0.25">
      <c r="A1075">
        <v>628.42349300000001</v>
      </c>
      <c r="B1075" s="1">
        <f>DATE(2012,1,19) + TIME(10,9,49)</f>
        <v>40927.423483796294</v>
      </c>
      <c r="C1075">
        <v>80</v>
      </c>
      <c r="D1075">
        <v>72.989036560000002</v>
      </c>
      <c r="E1075">
        <v>50</v>
      </c>
      <c r="F1075">
        <v>49.965869904000002</v>
      </c>
      <c r="G1075">
        <v>1317.6713867000001</v>
      </c>
      <c r="H1075">
        <v>1311.8175048999999</v>
      </c>
      <c r="I1075">
        <v>1357.3405762</v>
      </c>
      <c r="J1075">
        <v>1349.2127685999999</v>
      </c>
      <c r="K1075">
        <v>0</v>
      </c>
      <c r="L1075">
        <v>2400</v>
      </c>
      <c r="M1075">
        <v>2400</v>
      </c>
      <c r="N1075">
        <v>0</v>
      </c>
    </row>
    <row r="1076" spans="1:14" x14ac:dyDescent="0.25">
      <c r="A1076">
        <v>630.53875600000003</v>
      </c>
      <c r="B1076" s="1">
        <f>DATE(2012,1,21) + TIME(12,55,48)</f>
        <v>40929.53875</v>
      </c>
      <c r="C1076">
        <v>80</v>
      </c>
      <c r="D1076">
        <v>72.864784240999995</v>
      </c>
      <c r="E1076">
        <v>50</v>
      </c>
      <c r="F1076">
        <v>49.965923308999997</v>
      </c>
      <c r="G1076">
        <v>1317.5513916</v>
      </c>
      <c r="H1076">
        <v>1311.6512451000001</v>
      </c>
      <c r="I1076">
        <v>1357.3212891000001</v>
      </c>
      <c r="J1076">
        <v>1349.1986084</v>
      </c>
      <c r="K1076">
        <v>0</v>
      </c>
      <c r="L1076">
        <v>2400</v>
      </c>
      <c r="M1076">
        <v>2400</v>
      </c>
      <c r="N1076">
        <v>0</v>
      </c>
    </row>
    <row r="1077" spans="1:14" x14ac:dyDescent="0.25">
      <c r="A1077">
        <v>632.69915300000002</v>
      </c>
      <c r="B1077" s="1">
        <f>DATE(2012,1,23) + TIME(16,46,46)</f>
        <v>40931.699143518519</v>
      </c>
      <c r="C1077">
        <v>80</v>
      </c>
      <c r="D1077">
        <v>72.738433838000006</v>
      </c>
      <c r="E1077">
        <v>50</v>
      </c>
      <c r="F1077">
        <v>49.965980530000003</v>
      </c>
      <c r="G1077">
        <v>1317.4284668</v>
      </c>
      <c r="H1077">
        <v>1311.480957</v>
      </c>
      <c r="I1077">
        <v>1357.3020019999999</v>
      </c>
      <c r="J1077">
        <v>1349.1845702999999</v>
      </c>
      <c r="K1077">
        <v>0</v>
      </c>
      <c r="L1077">
        <v>2400</v>
      </c>
      <c r="M1077">
        <v>2400</v>
      </c>
      <c r="N1077">
        <v>0</v>
      </c>
    </row>
    <row r="1078" spans="1:14" x14ac:dyDescent="0.25">
      <c r="A1078">
        <v>634.90903500000002</v>
      </c>
      <c r="B1078" s="1">
        <f>DATE(2012,1,25) + TIME(21,49,0)</f>
        <v>40933.90902777778</v>
      </c>
      <c r="C1078">
        <v>80</v>
      </c>
      <c r="D1078">
        <v>72.609550475999995</v>
      </c>
      <c r="E1078">
        <v>50</v>
      </c>
      <c r="F1078">
        <v>49.966037749999998</v>
      </c>
      <c r="G1078">
        <v>1317.3026123</v>
      </c>
      <c r="H1078">
        <v>1311.3061522999999</v>
      </c>
      <c r="I1078">
        <v>1357.2828368999999</v>
      </c>
      <c r="J1078">
        <v>1349.1704102000001</v>
      </c>
      <c r="K1078">
        <v>0</v>
      </c>
      <c r="L1078">
        <v>2400</v>
      </c>
      <c r="M1078">
        <v>2400</v>
      </c>
      <c r="N1078">
        <v>0</v>
      </c>
    </row>
    <row r="1079" spans="1:14" x14ac:dyDescent="0.25">
      <c r="A1079">
        <v>637.16363100000001</v>
      </c>
      <c r="B1079" s="1">
        <f>DATE(2012,1,28) + TIME(3,55,37)</f>
        <v>40936.163622685184</v>
      </c>
      <c r="C1079">
        <v>80</v>
      </c>
      <c r="D1079">
        <v>72.477790833</v>
      </c>
      <c r="E1079">
        <v>50</v>
      </c>
      <c r="F1079">
        <v>49.966094970999997</v>
      </c>
      <c r="G1079">
        <v>1317.1734618999999</v>
      </c>
      <c r="H1079">
        <v>1311.1265868999999</v>
      </c>
      <c r="I1079">
        <v>1357.2636719</v>
      </c>
      <c r="J1079">
        <v>1349.15625</v>
      </c>
      <c r="K1079">
        <v>0</v>
      </c>
      <c r="L1079">
        <v>2400</v>
      </c>
      <c r="M1079">
        <v>2400</v>
      </c>
      <c r="N1079">
        <v>0</v>
      </c>
    </row>
    <row r="1080" spans="1:14" x14ac:dyDescent="0.25">
      <c r="A1080">
        <v>639.45797500000003</v>
      </c>
      <c r="B1080" s="1">
        <f>DATE(2012,1,30) + TIME(10,59,29)</f>
        <v>40938.457974537036</v>
      </c>
      <c r="C1080">
        <v>80</v>
      </c>
      <c r="D1080">
        <v>72.343116760000001</v>
      </c>
      <c r="E1080">
        <v>50</v>
      </c>
      <c r="F1080">
        <v>49.966152190999999</v>
      </c>
      <c r="G1080">
        <v>1317.0411377</v>
      </c>
      <c r="H1080">
        <v>1310.9425048999999</v>
      </c>
      <c r="I1080">
        <v>1357.2445068</v>
      </c>
      <c r="J1080">
        <v>1349.1420897999999</v>
      </c>
      <c r="K1080">
        <v>0</v>
      </c>
      <c r="L1080">
        <v>2400</v>
      </c>
      <c r="M1080">
        <v>2400</v>
      </c>
      <c r="N1080">
        <v>0</v>
      </c>
    </row>
    <row r="1081" spans="1:14" x14ac:dyDescent="0.25">
      <c r="A1081">
        <v>641</v>
      </c>
      <c r="B1081" s="1">
        <f>DATE(2012,2,1) + TIME(0,0,0)</f>
        <v>40940</v>
      </c>
      <c r="C1081">
        <v>80</v>
      </c>
      <c r="D1081">
        <v>72.220672606999997</v>
      </c>
      <c r="E1081">
        <v>50</v>
      </c>
      <c r="F1081">
        <v>49.966186522999998</v>
      </c>
      <c r="G1081">
        <v>1316.9089355000001</v>
      </c>
      <c r="H1081">
        <v>1310.7604980000001</v>
      </c>
      <c r="I1081">
        <v>1357.2252197</v>
      </c>
      <c r="J1081">
        <v>1349.1278076000001</v>
      </c>
      <c r="K1081">
        <v>0</v>
      </c>
      <c r="L1081">
        <v>2400</v>
      </c>
      <c r="M1081">
        <v>2400</v>
      </c>
      <c r="N1081">
        <v>0</v>
      </c>
    </row>
    <row r="1082" spans="1:14" x14ac:dyDescent="0.25">
      <c r="A1082">
        <v>643.33378200000004</v>
      </c>
      <c r="B1082" s="1">
        <f>DATE(2012,2,3) + TIME(8,0,38)</f>
        <v>40942.333773148152</v>
      </c>
      <c r="C1082">
        <v>80</v>
      </c>
      <c r="D1082">
        <v>72.105056762999993</v>
      </c>
      <c r="E1082">
        <v>50</v>
      </c>
      <c r="F1082">
        <v>49.966251372999999</v>
      </c>
      <c r="G1082">
        <v>1316.8078613</v>
      </c>
      <c r="H1082">
        <v>1310.6147461</v>
      </c>
      <c r="I1082">
        <v>1357.2127685999999</v>
      </c>
      <c r="J1082">
        <v>1349.1186522999999</v>
      </c>
      <c r="K1082">
        <v>0</v>
      </c>
      <c r="L1082">
        <v>2400</v>
      </c>
      <c r="M1082">
        <v>2400</v>
      </c>
      <c r="N1082">
        <v>0</v>
      </c>
    </row>
    <row r="1083" spans="1:14" x14ac:dyDescent="0.25">
      <c r="A1083">
        <v>645.729961</v>
      </c>
      <c r="B1083" s="1">
        <f>DATE(2012,2,5) + TIME(17,31,8)</f>
        <v>40944.729953703703</v>
      </c>
      <c r="C1083">
        <v>80</v>
      </c>
      <c r="D1083">
        <v>71.968688964999998</v>
      </c>
      <c r="E1083">
        <v>50</v>
      </c>
      <c r="F1083">
        <v>49.966316223</v>
      </c>
      <c r="G1083">
        <v>1316.6750488</v>
      </c>
      <c r="H1083">
        <v>1310.4311522999999</v>
      </c>
      <c r="I1083">
        <v>1357.1939697</v>
      </c>
      <c r="J1083">
        <v>1349.1048584</v>
      </c>
      <c r="K1083">
        <v>0</v>
      </c>
      <c r="L1083">
        <v>2400</v>
      </c>
      <c r="M1083">
        <v>2400</v>
      </c>
      <c r="N1083">
        <v>0</v>
      </c>
    </row>
    <row r="1084" spans="1:14" x14ac:dyDescent="0.25">
      <c r="A1084">
        <v>648.17079699999999</v>
      </c>
      <c r="B1084" s="1">
        <f>DATE(2012,2,8) + TIME(4,5,56)</f>
        <v>40947.170787037037</v>
      </c>
      <c r="C1084">
        <v>80</v>
      </c>
      <c r="D1084">
        <v>71.823478699000006</v>
      </c>
      <c r="E1084">
        <v>50</v>
      </c>
      <c r="F1084">
        <v>49.966377258000001</v>
      </c>
      <c r="G1084">
        <v>1316.534668</v>
      </c>
      <c r="H1084">
        <v>1310.2355957</v>
      </c>
      <c r="I1084">
        <v>1357.1750488</v>
      </c>
      <c r="J1084">
        <v>1349.0908202999999</v>
      </c>
      <c r="K1084">
        <v>0</v>
      </c>
      <c r="L1084">
        <v>2400</v>
      </c>
      <c r="M1084">
        <v>2400</v>
      </c>
      <c r="N1084">
        <v>0</v>
      </c>
    </row>
    <row r="1085" spans="1:14" x14ac:dyDescent="0.25">
      <c r="A1085">
        <v>650.66135499999996</v>
      </c>
      <c r="B1085" s="1">
        <f>DATE(2012,2,10) + TIME(15,52,21)</f>
        <v>40949.661354166667</v>
      </c>
      <c r="C1085">
        <v>80</v>
      </c>
      <c r="D1085">
        <v>71.672683715999995</v>
      </c>
      <c r="E1085">
        <v>50</v>
      </c>
      <c r="F1085">
        <v>49.966442108000003</v>
      </c>
      <c r="G1085">
        <v>1316.3903809000001</v>
      </c>
      <c r="H1085">
        <v>1310.0338135</v>
      </c>
      <c r="I1085">
        <v>1357.15625</v>
      </c>
      <c r="J1085">
        <v>1349.0767822</v>
      </c>
      <c r="K1085">
        <v>0</v>
      </c>
      <c r="L1085">
        <v>2400</v>
      </c>
      <c r="M1085">
        <v>2400</v>
      </c>
      <c r="N1085">
        <v>0</v>
      </c>
    </row>
    <row r="1086" spans="1:14" x14ac:dyDescent="0.25">
      <c r="A1086">
        <v>653.20691199999999</v>
      </c>
      <c r="B1086" s="1">
        <f>DATE(2012,2,13) + TIME(4,57,57)</f>
        <v>40952.206909722219</v>
      </c>
      <c r="C1086">
        <v>80</v>
      </c>
      <c r="D1086">
        <v>71.516525268999999</v>
      </c>
      <c r="E1086">
        <v>50</v>
      </c>
      <c r="F1086">
        <v>49.966510773000003</v>
      </c>
      <c r="G1086">
        <v>1316.2426757999999</v>
      </c>
      <c r="H1086">
        <v>1309.8269043</v>
      </c>
      <c r="I1086">
        <v>1357.1373291</v>
      </c>
      <c r="J1086">
        <v>1349.0626221</v>
      </c>
      <c r="K1086">
        <v>0</v>
      </c>
      <c r="L1086">
        <v>2400</v>
      </c>
      <c r="M1086">
        <v>2400</v>
      </c>
      <c r="N1086">
        <v>0</v>
      </c>
    </row>
    <row r="1087" spans="1:14" x14ac:dyDescent="0.25">
      <c r="A1087">
        <v>655.81304299999999</v>
      </c>
      <c r="B1087" s="1">
        <f>DATE(2012,2,15) + TIME(19,30,46)</f>
        <v>40954.813032407408</v>
      </c>
      <c r="C1087">
        <v>80</v>
      </c>
      <c r="D1087">
        <v>71.354484557999996</v>
      </c>
      <c r="E1087">
        <v>50</v>
      </c>
      <c r="F1087">
        <v>49.966575622999997</v>
      </c>
      <c r="G1087">
        <v>1316.0915527</v>
      </c>
      <c r="H1087">
        <v>1309.6151123</v>
      </c>
      <c r="I1087">
        <v>1357.1184082</v>
      </c>
      <c r="J1087">
        <v>1349.0484618999999</v>
      </c>
      <c r="K1087">
        <v>0</v>
      </c>
      <c r="L1087">
        <v>2400</v>
      </c>
      <c r="M1087">
        <v>2400</v>
      </c>
      <c r="N1087">
        <v>0</v>
      </c>
    </row>
    <row r="1088" spans="1:14" x14ac:dyDescent="0.25">
      <c r="A1088">
        <v>658.47833800000001</v>
      </c>
      <c r="B1088" s="1">
        <f>DATE(2012,2,18) + TIME(11,28,48)</f>
        <v>40957.478333333333</v>
      </c>
      <c r="C1088">
        <v>80</v>
      </c>
      <c r="D1088">
        <v>71.185867310000006</v>
      </c>
      <c r="E1088">
        <v>50</v>
      </c>
      <c r="F1088">
        <v>49.966644287000001</v>
      </c>
      <c r="G1088">
        <v>1315.9368896000001</v>
      </c>
      <c r="H1088">
        <v>1309.3979492000001</v>
      </c>
      <c r="I1088">
        <v>1357.0993652</v>
      </c>
      <c r="J1088">
        <v>1349.0343018000001</v>
      </c>
      <c r="K1088">
        <v>0</v>
      </c>
      <c r="L1088">
        <v>2400</v>
      </c>
      <c r="M1088">
        <v>2400</v>
      </c>
      <c r="N1088">
        <v>0</v>
      </c>
    </row>
    <row r="1089" spans="1:14" x14ac:dyDescent="0.25">
      <c r="A1089">
        <v>661.183133</v>
      </c>
      <c r="B1089" s="1">
        <f>DATE(2012,2,21) + TIME(4,23,42)</f>
        <v>40960.183125000003</v>
      </c>
      <c r="C1089">
        <v>80</v>
      </c>
      <c r="D1089">
        <v>71.010421753000003</v>
      </c>
      <c r="E1089">
        <v>50</v>
      </c>
      <c r="F1089">
        <v>49.966716765999998</v>
      </c>
      <c r="G1089">
        <v>1315.7788086</v>
      </c>
      <c r="H1089">
        <v>1309.1757812000001</v>
      </c>
      <c r="I1089">
        <v>1357.0802002</v>
      </c>
      <c r="J1089">
        <v>1349.0198975000001</v>
      </c>
      <c r="K1089">
        <v>0</v>
      </c>
      <c r="L1089">
        <v>2400</v>
      </c>
      <c r="M1089">
        <v>2400</v>
      </c>
      <c r="N1089">
        <v>0</v>
      </c>
    </row>
    <row r="1090" spans="1:14" x14ac:dyDescent="0.25">
      <c r="A1090">
        <v>663.93070499999999</v>
      </c>
      <c r="B1090" s="1">
        <f>DATE(2012,2,23) + TIME(22,20,12)</f>
        <v>40962.930694444447</v>
      </c>
      <c r="C1090">
        <v>80</v>
      </c>
      <c r="D1090">
        <v>70.828407287999994</v>
      </c>
      <c r="E1090">
        <v>50</v>
      </c>
      <c r="F1090">
        <v>49.966785430999998</v>
      </c>
      <c r="G1090">
        <v>1315.6182861</v>
      </c>
      <c r="H1090">
        <v>1308.949707</v>
      </c>
      <c r="I1090">
        <v>1357.0610352000001</v>
      </c>
      <c r="J1090">
        <v>1349.0054932</v>
      </c>
      <c r="K1090">
        <v>0</v>
      </c>
      <c r="L1090">
        <v>2400</v>
      </c>
      <c r="M1090">
        <v>2400</v>
      </c>
      <c r="N1090">
        <v>0</v>
      </c>
    </row>
    <row r="1091" spans="1:14" x14ac:dyDescent="0.25">
      <c r="A1091">
        <v>666.72720200000003</v>
      </c>
      <c r="B1091" s="1">
        <f>DATE(2012,2,26) + TIME(17,27,10)</f>
        <v>40965.727199074077</v>
      </c>
      <c r="C1091">
        <v>80</v>
      </c>
      <c r="D1091">
        <v>70.639259338000002</v>
      </c>
      <c r="E1091">
        <v>50</v>
      </c>
      <c r="F1091">
        <v>49.966857910000002</v>
      </c>
      <c r="G1091">
        <v>1315.4554443</v>
      </c>
      <c r="H1091">
        <v>1308.7199707</v>
      </c>
      <c r="I1091">
        <v>1357.0418701000001</v>
      </c>
      <c r="J1091">
        <v>1348.9910889</v>
      </c>
      <c r="K1091">
        <v>0</v>
      </c>
      <c r="L1091">
        <v>2400</v>
      </c>
      <c r="M1091">
        <v>2400</v>
      </c>
      <c r="N1091">
        <v>0</v>
      </c>
    </row>
    <row r="1092" spans="1:14" x14ac:dyDescent="0.25">
      <c r="A1092">
        <v>669.57890999999995</v>
      </c>
      <c r="B1092" s="1">
        <f>DATE(2012,2,29) + TIME(13,53,37)</f>
        <v>40968.578900462962</v>
      </c>
      <c r="C1092">
        <v>80</v>
      </c>
      <c r="D1092">
        <v>70.442115783999995</v>
      </c>
      <c r="E1092">
        <v>50</v>
      </c>
      <c r="F1092">
        <v>49.966930388999998</v>
      </c>
      <c r="G1092">
        <v>1315.2899170000001</v>
      </c>
      <c r="H1092">
        <v>1308.4863281</v>
      </c>
      <c r="I1092">
        <v>1357.0228271000001</v>
      </c>
      <c r="J1092">
        <v>1348.9765625</v>
      </c>
      <c r="K1092">
        <v>0</v>
      </c>
      <c r="L1092">
        <v>2400</v>
      </c>
      <c r="M1092">
        <v>2400</v>
      </c>
      <c r="N1092">
        <v>0</v>
      </c>
    </row>
    <row r="1093" spans="1:14" x14ac:dyDescent="0.25">
      <c r="A1093">
        <v>670</v>
      </c>
      <c r="B1093" s="1">
        <f>DATE(2012,3,1) + TIME(0,0,0)</f>
        <v>40969</v>
      </c>
      <c r="C1093">
        <v>80</v>
      </c>
      <c r="D1093">
        <v>70.345191955999994</v>
      </c>
      <c r="E1093">
        <v>50</v>
      </c>
      <c r="F1093">
        <v>49.966934203999998</v>
      </c>
      <c r="G1093">
        <v>1315.1374512</v>
      </c>
      <c r="H1093">
        <v>1308.2857666</v>
      </c>
      <c r="I1093">
        <v>1357.0030518000001</v>
      </c>
      <c r="J1093">
        <v>1348.9614257999999</v>
      </c>
      <c r="K1093">
        <v>0</v>
      </c>
      <c r="L1093">
        <v>2400</v>
      </c>
      <c r="M1093">
        <v>2400</v>
      </c>
      <c r="N1093">
        <v>0</v>
      </c>
    </row>
    <row r="1094" spans="1:14" x14ac:dyDescent="0.25">
      <c r="A1094">
        <v>672.91354699999999</v>
      </c>
      <c r="B1094" s="1">
        <f>DATE(2012,3,3) + TIME(21,55,30)</f>
        <v>40971.913541666669</v>
      </c>
      <c r="C1094">
        <v>80</v>
      </c>
      <c r="D1094">
        <v>70.192237853999998</v>
      </c>
      <c r="E1094">
        <v>50</v>
      </c>
      <c r="F1094">
        <v>49.967018127000003</v>
      </c>
      <c r="G1094">
        <v>1315.0850829999999</v>
      </c>
      <c r="H1094">
        <v>1308.1920166</v>
      </c>
      <c r="I1094">
        <v>1357.0007324000001</v>
      </c>
      <c r="J1094">
        <v>1348.9598389</v>
      </c>
      <c r="K1094">
        <v>0</v>
      </c>
      <c r="L1094">
        <v>2400</v>
      </c>
      <c r="M1094">
        <v>2400</v>
      </c>
      <c r="N1094">
        <v>0</v>
      </c>
    </row>
    <row r="1095" spans="1:14" x14ac:dyDescent="0.25">
      <c r="A1095">
        <v>675.90502200000003</v>
      </c>
      <c r="B1095" s="1">
        <f>DATE(2012,3,6) + TIME(21,43,13)</f>
        <v>40974.905011574076</v>
      </c>
      <c r="C1095">
        <v>80</v>
      </c>
      <c r="D1095">
        <v>69.985610961999996</v>
      </c>
      <c r="E1095">
        <v>50</v>
      </c>
      <c r="F1095">
        <v>49.967094420999999</v>
      </c>
      <c r="G1095">
        <v>1314.9229736</v>
      </c>
      <c r="H1095">
        <v>1307.9658202999999</v>
      </c>
      <c r="I1095">
        <v>1356.9814452999999</v>
      </c>
      <c r="J1095">
        <v>1348.9451904</v>
      </c>
      <c r="K1095">
        <v>0</v>
      </c>
      <c r="L1095">
        <v>2400</v>
      </c>
      <c r="M1095">
        <v>2400</v>
      </c>
      <c r="N1095">
        <v>0</v>
      </c>
    </row>
    <row r="1096" spans="1:14" x14ac:dyDescent="0.25">
      <c r="A1096">
        <v>678.97528199999999</v>
      </c>
      <c r="B1096" s="1">
        <f>DATE(2012,3,9) + TIME(23,24,24)</f>
        <v>40977.975277777776</v>
      </c>
      <c r="C1096">
        <v>80</v>
      </c>
      <c r="D1096">
        <v>69.758087157999995</v>
      </c>
      <c r="E1096">
        <v>50</v>
      </c>
      <c r="F1096">
        <v>49.967170715000002</v>
      </c>
      <c r="G1096">
        <v>1314.7496338000001</v>
      </c>
      <c r="H1096">
        <v>1307.7207031</v>
      </c>
      <c r="I1096">
        <v>1356.9619141000001</v>
      </c>
      <c r="J1096">
        <v>1348.9301757999999</v>
      </c>
      <c r="K1096">
        <v>0</v>
      </c>
      <c r="L1096">
        <v>2400</v>
      </c>
      <c r="M1096">
        <v>2400</v>
      </c>
      <c r="N1096">
        <v>0</v>
      </c>
    </row>
    <row r="1097" spans="1:14" x14ac:dyDescent="0.25">
      <c r="A1097">
        <v>682.11664800000005</v>
      </c>
      <c r="B1097" s="1">
        <f>DATE(2012,3,13) + TIME(2,47,58)</f>
        <v>40981.116643518515</v>
      </c>
      <c r="C1097">
        <v>80</v>
      </c>
      <c r="D1097">
        <v>69.516082764000004</v>
      </c>
      <c r="E1097">
        <v>50</v>
      </c>
      <c r="F1097">
        <v>49.967250823999997</v>
      </c>
      <c r="G1097">
        <v>1314.5710449000001</v>
      </c>
      <c r="H1097">
        <v>1307.4670410000001</v>
      </c>
      <c r="I1097">
        <v>1356.9420166</v>
      </c>
      <c r="J1097">
        <v>1348.9150391000001</v>
      </c>
      <c r="K1097">
        <v>0</v>
      </c>
      <c r="L1097">
        <v>2400</v>
      </c>
      <c r="M1097">
        <v>2400</v>
      </c>
      <c r="N1097">
        <v>0</v>
      </c>
    </row>
    <row r="1098" spans="1:14" x14ac:dyDescent="0.25">
      <c r="A1098">
        <v>685.30769499999997</v>
      </c>
      <c r="B1098" s="1">
        <f>DATE(2012,3,16) + TIME(7,23,4)</f>
        <v>40984.307685185187</v>
      </c>
      <c r="C1098">
        <v>80</v>
      </c>
      <c r="D1098">
        <v>69.260734557999996</v>
      </c>
      <c r="E1098">
        <v>50</v>
      </c>
      <c r="F1098">
        <v>49.967334747000002</v>
      </c>
      <c r="G1098">
        <v>1314.3886719</v>
      </c>
      <c r="H1098">
        <v>1307.2075195</v>
      </c>
      <c r="I1098">
        <v>1356.9219971</v>
      </c>
      <c r="J1098">
        <v>1348.8995361</v>
      </c>
      <c r="K1098">
        <v>0</v>
      </c>
      <c r="L1098">
        <v>2400</v>
      </c>
      <c r="M1098">
        <v>2400</v>
      </c>
      <c r="N1098">
        <v>0</v>
      </c>
    </row>
    <row r="1099" spans="1:14" x14ac:dyDescent="0.25">
      <c r="A1099">
        <v>688.55688799999996</v>
      </c>
      <c r="B1099" s="1">
        <f>DATE(2012,3,19) + TIME(13,21,55)</f>
        <v>40987.556886574072</v>
      </c>
      <c r="C1099">
        <v>80</v>
      </c>
      <c r="D1099">
        <v>68.99281311</v>
      </c>
      <c r="E1099">
        <v>50</v>
      </c>
      <c r="F1099">
        <v>49.967414855999998</v>
      </c>
      <c r="G1099">
        <v>1314.2042236</v>
      </c>
      <c r="H1099">
        <v>1306.9443358999999</v>
      </c>
      <c r="I1099">
        <v>1356.9018555</v>
      </c>
      <c r="J1099">
        <v>1348.8840332</v>
      </c>
      <c r="K1099">
        <v>0</v>
      </c>
      <c r="L1099">
        <v>2400</v>
      </c>
      <c r="M1099">
        <v>2400</v>
      </c>
      <c r="N1099">
        <v>0</v>
      </c>
    </row>
    <row r="1100" spans="1:14" x14ac:dyDescent="0.25">
      <c r="A1100">
        <v>691.87267999999995</v>
      </c>
      <c r="B1100" s="1">
        <f>DATE(2012,3,22) + TIME(20,56,39)</f>
        <v>40990.872673611113</v>
      </c>
      <c r="C1100">
        <v>80</v>
      </c>
      <c r="D1100">
        <v>68.711059570000003</v>
      </c>
      <c r="E1100">
        <v>50</v>
      </c>
      <c r="F1100">
        <v>49.967498779000003</v>
      </c>
      <c r="G1100">
        <v>1314.0174560999999</v>
      </c>
      <c r="H1100">
        <v>1306.6773682</v>
      </c>
      <c r="I1100">
        <v>1356.8817139</v>
      </c>
      <c r="J1100">
        <v>1348.8684082</v>
      </c>
      <c r="K1100">
        <v>0</v>
      </c>
      <c r="L1100">
        <v>2400</v>
      </c>
      <c r="M1100">
        <v>2400</v>
      </c>
      <c r="N1100">
        <v>0</v>
      </c>
    </row>
    <row r="1101" spans="1:14" x14ac:dyDescent="0.25">
      <c r="A1101">
        <v>695.26408700000002</v>
      </c>
      <c r="B1101" s="1">
        <f>DATE(2012,3,26) + TIME(6,20,17)</f>
        <v>40994.264085648145</v>
      </c>
      <c r="C1101">
        <v>80</v>
      </c>
      <c r="D1101">
        <v>68.414169311999999</v>
      </c>
      <c r="E1101">
        <v>50</v>
      </c>
      <c r="F1101">
        <v>49.967582702999998</v>
      </c>
      <c r="G1101">
        <v>1313.8283690999999</v>
      </c>
      <c r="H1101">
        <v>1306.4063721</v>
      </c>
      <c r="I1101">
        <v>1356.8612060999999</v>
      </c>
      <c r="J1101">
        <v>1348.8524170000001</v>
      </c>
      <c r="K1101">
        <v>0</v>
      </c>
      <c r="L1101">
        <v>2400</v>
      </c>
      <c r="M1101">
        <v>2400</v>
      </c>
      <c r="N1101">
        <v>0</v>
      </c>
    </row>
    <row r="1102" spans="1:14" x14ac:dyDescent="0.25">
      <c r="A1102">
        <v>698.74086899999998</v>
      </c>
      <c r="B1102" s="1">
        <f>DATE(2012,3,29) + TIME(17,46,51)</f>
        <v>40997.740868055553</v>
      </c>
      <c r="C1102">
        <v>80</v>
      </c>
      <c r="D1102">
        <v>68.100502014</v>
      </c>
      <c r="E1102">
        <v>50</v>
      </c>
      <c r="F1102">
        <v>49.967670441000003</v>
      </c>
      <c r="G1102">
        <v>1313.6363524999999</v>
      </c>
      <c r="H1102">
        <v>1306.1308594</v>
      </c>
      <c r="I1102">
        <v>1356.8405762</v>
      </c>
      <c r="J1102">
        <v>1348.8363036999999</v>
      </c>
      <c r="K1102">
        <v>0</v>
      </c>
      <c r="L1102">
        <v>2400</v>
      </c>
      <c r="M1102">
        <v>2400</v>
      </c>
      <c r="N1102">
        <v>0</v>
      </c>
    </row>
    <row r="1103" spans="1:14" x14ac:dyDescent="0.25">
      <c r="A1103">
        <v>701</v>
      </c>
      <c r="B1103" s="1">
        <f>DATE(2012,4,1) + TIME(0,0,0)</f>
        <v>41000</v>
      </c>
      <c r="C1103">
        <v>80</v>
      </c>
      <c r="D1103">
        <v>67.795478821000003</v>
      </c>
      <c r="E1103">
        <v>50</v>
      </c>
      <c r="F1103">
        <v>49.967720032000003</v>
      </c>
      <c r="G1103">
        <v>1313.4443358999999</v>
      </c>
      <c r="H1103">
        <v>1305.8583983999999</v>
      </c>
      <c r="I1103">
        <v>1356.8193358999999</v>
      </c>
      <c r="J1103">
        <v>1348.8195800999999</v>
      </c>
      <c r="K1103">
        <v>0</v>
      </c>
      <c r="L1103">
        <v>2400</v>
      </c>
      <c r="M1103">
        <v>2400</v>
      </c>
      <c r="N1103">
        <v>0</v>
      </c>
    </row>
    <row r="1104" spans="1:14" x14ac:dyDescent="0.25">
      <c r="A1104">
        <v>704.57286499999998</v>
      </c>
      <c r="B1104" s="1">
        <f>DATE(2012,4,4) + TIME(13,44,55)</f>
        <v>41003.572858796295</v>
      </c>
      <c r="C1104">
        <v>80</v>
      </c>
      <c r="D1104">
        <v>67.531852721999996</v>
      </c>
      <c r="E1104">
        <v>50</v>
      </c>
      <c r="F1104">
        <v>49.967815399000003</v>
      </c>
      <c r="G1104">
        <v>1313.3048096</v>
      </c>
      <c r="H1104">
        <v>1305.6485596</v>
      </c>
      <c r="I1104">
        <v>1356.8059082</v>
      </c>
      <c r="J1104">
        <v>1348.8089600000001</v>
      </c>
      <c r="K1104">
        <v>0</v>
      </c>
      <c r="L1104">
        <v>2400</v>
      </c>
      <c r="M1104">
        <v>2400</v>
      </c>
      <c r="N1104">
        <v>0</v>
      </c>
    </row>
    <row r="1105" spans="1:14" x14ac:dyDescent="0.25">
      <c r="A1105">
        <v>708.28646400000002</v>
      </c>
      <c r="B1105" s="1">
        <f>DATE(2012,4,8) + TIME(6,52,30)</f>
        <v>41007.286458333336</v>
      </c>
      <c r="C1105">
        <v>80</v>
      </c>
      <c r="D1105">
        <v>67.183692932</v>
      </c>
      <c r="E1105">
        <v>50</v>
      </c>
      <c r="F1105">
        <v>49.967906952</v>
      </c>
      <c r="G1105">
        <v>1313.1166992000001</v>
      </c>
      <c r="H1105">
        <v>1305.3806152</v>
      </c>
      <c r="I1105">
        <v>1356.7845459</v>
      </c>
      <c r="J1105">
        <v>1348.7921143000001</v>
      </c>
      <c r="K1105">
        <v>0</v>
      </c>
      <c r="L1105">
        <v>2400</v>
      </c>
      <c r="M1105">
        <v>2400</v>
      </c>
      <c r="N1105">
        <v>0</v>
      </c>
    </row>
    <row r="1106" spans="1:14" x14ac:dyDescent="0.25">
      <c r="A1106">
        <v>712.07377299999996</v>
      </c>
      <c r="B1106" s="1">
        <f>DATE(2012,4,12) + TIME(1,46,13)</f>
        <v>41011.073761574073</v>
      </c>
      <c r="C1106">
        <v>80</v>
      </c>
      <c r="D1106">
        <v>66.800445557000003</v>
      </c>
      <c r="E1106">
        <v>50</v>
      </c>
      <c r="F1106">
        <v>49.967998504999997</v>
      </c>
      <c r="G1106">
        <v>1312.9162598</v>
      </c>
      <c r="H1106">
        <v>1305.0913086</v>
      </c>
      <c r="I1106">
        <v>1356.7625731999999</v>
      </c>
      <c r="J1106">
        <v>1348.7746582</v>
      </c>
      <c r="K1106">
        <v>0</v>
      </c>
      <c r="L1106">
        <v>2400</v>
      </c>
      <c r="M1106">
        <v>2400</v>
      </c>
      <c r="N1106">
        <v>0</v>
      </c>
    </row>
    <row r="1107" spans="1:14" x14ac:dyDescent="0.25">
      <c r="A1107">
        <v>715.94299100000001</v>
      </c>
      <c r="B1107" s="1">
        <f>DATE(2012,4,15) + TIME(22,37,54)</f>
        <v>41014.942986111113</v>
      </c>
      <c r="C1107">
        <v>80</v>
      </c>
      <c r="D1107">
        <v>66.395629882999998</v>
      </c>
      <c r="E1107">
        <v>50</v>
      </c>
      <c r="F1107">
        <v>49.968093871999997</v>
      </c>
      <c r="G1107">
        <v>1312.7127685999999</v>
      </c>
      <c r="H1107">
        <v>1304.7958983999999</v>
      </c>
      <c r="I1107">
        <v>1356.7402344</v>
      </c>
      <c r="J1107">
        <v>1348.7568358999999</v>
      </c>
      <c r="K1107">
        <v>0</v>
      </c>
      <c r="L1107">
        <v>2400</v>
      </c>
      <c r="M1107">
        <v>2400</v>
      </c>
      <c r="N1107">
        <v>0</v>
      </c>
    </row>
    <row r="1108" spans="1:14" x14ac:dyDescent="0.25">
      <c r="A1108">
        <v>719.90770799999996</v>
      </c>
      <c r="B1108" s="1">
        <f>DATE(2012,4,19) + TIME(21,47,6)</f>
        <v>41018.907708333332</v>
      </c>
      <c r="C1108">
        <v>80</v>
      </c>
      <c r="D1108">
        <v>65.968635559000006</v>
      </c>
      <c r="E1108">
        <v>50</v>
      </c>
      <c r="F1108">
        <v>49.968189240000001</v>
      </c>
      <c r="G1108">
        <v>1312.5075684000001</v>
      </c>
      <c r="H1108">
        <v>1304.4970702999999</v>
      </c>
      <c r="I1108">
        <v>1356.7176514</v>
      </c>
      <c r="J1108">
        <v>1348.7386475000001</v>
      </c>
      <c r="K1108">
        <v>0</v>
      </c>
      <c r="L1108">
        <v>2400</v>
      </c>
      <c r="M1108">
        <v>2400</v>
      </c>
      <c r="N1108">
        <v>0</v>
      </c>
    </row>
    <row r="1109" spans="1:14" x14ac:dyDescent="0.25">
      <c r="A1109">
        <v>723.93038200000001</v>
      </c>
      <c r="B1109" s="1">
        <f>DATE(2012,4,23) + TIME(22,19,45)</f>
        <v>41022.930381944447</v>
      </c>
      <c r="C1109">
        <v>80</v>
      </c>
      <c r="D1109">
        <v>65.520164489999999</v>
      </c>
      <c r="E1109">
        <v>50</v>
      </c>
      <c r="F1109">
        <v>49.968284607000001</v>
      </c>
      <c r="G1109">
        <v>1312.3007812000001</v>
      </c>
      <c r="H1109">
        <v>1304.1950684000001</v>
      </c>
      <c r="I1109">
        <v>1356.6945800999999</v>
      </c>
      <c r="J1109">
        <v>1348.7200928</v>
      </c>
      <c r="K1109">
        <v>0</v>
      </c>
      <c r="L1109">
        <v>2400</v>
      </c>
      <c r="M1109">
        <v>2400</v>
      </c>
      <c r="N1109">
        <v>0</v>
      </c>
    </row>
    <row r="1110" spans="1:14" x14ac:dyDescent="0.25">
      <c r="A1110">
        <v>728.036879</v>
      </c>
      <c r="B1110" s="1">
        <f>DATE(2012,4,28) + TIME(0,53,6)</f>
        <v>41027.036874999998</v>
      </c>
      <c r="C1110">
        <v>80</v>
      </c>
      <c r="D1110">
        <v>65.051307678000001</v>
      </c>
      <c r="E1110">
        <v>50</v>
      </c>
      <c r="F1110">
        <v>49.968383789000001</v>
      </c>
      <c r="G1110">
        <v>1312.0943603999999</v>
      </c>
      <c r="H1110">
        <v>1303.8925781</v>
      </c>
      <c r="I1110">
        <v>1356.6712646000001</v>
      </c>
      <c r="J1110">
        <v>1348.7011719</v>
      </c>
      <c r="K1110">
        <v>0</v>
      </c>
      <c r="L1110">
        <v>2400</v>
      </c>
      <c r="M1110">
        <v>2400</v>
      </c>
      <c r="N1110">
        <v>0</v>
      </c>
    </row>
    <row r="1111" spans="1:14" x14ac:dyDescent="0.25">
      <c r="A1111">
        <v>731</v>
      </c>
      <c r="B1111" s="1">
        <f>DATE(2012,5,1) + TIME(0,0,0)</f>
        <v>41030</v>
      </c>
      <c r="C1111">
        <v>80</v>
      </c>
      <c r="D1111">
        <v>64.587020874000004</v>
      </c>
      <c r="E1111">
        <v>50</v>
      </c>
      <c r="F1111">
        <v>49.968448639000002</v>
      </c>
      <c r="G1111">
        <v>1311.8895264</v>
      </c>
      <c r="H1111">
        <v>1303.5950928</v>
      </c>
      <c r="I1111">
        <v>1356.6474608999999</v>
      </c>
      <c r="J1111">
        <v>1348.6817627</v>
      </c>
      <c r="K1111">
        <v>0</v>
      </c>
      <c r="L1111">
        <v>2400</v>
      </c>
      <c r="M1111">
        <v>2400</v>
      </c>
      <c r="N1111">
        <v>0</v>
      </c>
    </row>
    <row r="1112" spans="1:14" x14ac:dyDescent="0.25">
      <c r="A1112">
        <v>731.000001</v>
      </c>
      <c r="B1112" s="1">
        <f>DATE(2012,5,1) + TIME(0,0,0)</f>
        <v>41030</v>
      </c>
      <c r="C1112">
        <v>80</v>
      </c>
      <c r="D1112">
        <v>64.587196349999999</v>
      </c>
      <c r="E1112">
        <v>50</v>
      </c>
      <c r="F1112">
        <v>49.968345642000003</v>
      </c>
      <c r="G1112">
        <v>1321.5596923999999</v>
      </c>
      <c r="H1112">
        <v>1313.0018310999999</v>
      </c>
      <c r="I1112">
        <v>1347.8570557</v>
      </c>
      <c r="J1112">
        <v>1340.4852295000001</v>
      </c>
      <c r="K1112">
        <v>2400</v>
      </c>
      <c r="L1112">
        <v>0</v>
      </c>
      <c r="M1112">
        <v>0</v>
      </c>
      <c r="N1112">
        <v>2400</v>
      </c>
    </row>
    <row r="1113" spans="1:14" x14ac:dyDescent="0.25">
      <c r="A1113">
        <v>731.00000399999999</v>
      </c>
      <c r="B1113" s="1">
        <f>DATE(2012,5,1) + TIME(0,0,0)</f>
        <v>41030</v>
      </c>
      <c r="C1113">
        <v>80</v>
      </c>
      <c r="D1113">
        <v>64.587593079000001</v>
      </c>
      <c r="E1113">
        <v>50</v>
      </c>
      <c r="F1113">
        <v>49.968105315999999</v>
      </c>
      <c r="G1113">
        <v>1323.612793</v>
      </c>
      <c r="H1113">
        <v>1315.4079589999999</v>
      </c>
      <c r="I1113">
        <v>1345.940918</v>
      </c>
      <c r="J1113">
        <v>1338.5687256000001</v>
      </c>
      <c r="K1113">
        <v>2400</v>
      </c>
      <c r="L1113">
        <v>0</v>
      </c>
      <c r="M1113">
        <v>0</v>
      </c>
      <c r="N1113">
        <v>2400</v>
      </c>
    </row>
    <row r="1114" spans="1:14" x14ac:dyDescent="0.25">
      <c r="A1114">
        <v>731.00001299999997</v>
      </c>
      <c r="B1114" s="1">
        <f>DATE(2012,5,1) + TIME(0,0,1)</f>
        <v>41030.000011574077</v>
      </c>
      <c r="C1114">
        <v>80</v>
      </c>
      <c r="D1114">
        <v>64.588333129999995</v>
      </c>
      <c r="E1114">
        <v>50</v>
      </c>
      <c r="F1114">
        <v>49.967681884999998</v>
      </c>
      <c r="G1114">
        <v>1327.2431641000001</v>
      </c>
      <c r="H1114">
        <v>1319.2712402</v>
      </c>
      <c r="I1114">
        <v>1342.5766602000001</v>
      </c>
      <c r="J1114">
        <v>1335.2043457</v>
      </c>
      <c r="K1114">
        <v>2400</v>
      </c>
      <c r="L1114">
        <v>0</v>
      </c>
      <c r="M1114">
        <v>0</v>
      </c>
      <c r="N1114">
        <v>2400</v>
      </c>
    </row>
    <row r="1115" spans="1:14" x14ac:dyDescent="0.25">
      <c r="A1115">
        <v>731.00004000000001</v>
      </c>
      <c r="B1115" s="1">
        <f>DATE(2012,5,1) + TIME(0,0,3)</f>
        <v>41030.000034722223</v>
      </c>
      <c r="C1115">
        <v>80</v>
      </c>
      <c r="D1115">
        <v>64.589607239000003</v>
      </c>
      <c r="E1115">
        <v>50</v>
      </c>
      <c r="F1115">
        <v>49.967140198000003</v>
      </c>
      <c r="G1115">
        <v>1331.9433594</v>
      </c>
      <c r="H1115">
        <v>1323.9197998</v>
      </c>
      <c r="I1115">
        <v>1338.3118896000001</v>
      </c>
      <c r="J1115">
        <v>1330.9420166</v>
      </c>
      <c r="K1115">
        <v>2400</v>
      </c>
      <c r="L1115">
        <v>0</v>
      </c>
      <c r="M1115">
        <v>0</v>
      </c>
      <c r="N1115">
        <v>2400</v>
      </c>
    </row>
    <row r="1116" spans="1:14" x14ac:dyDescent="0.25">
      <c r="A1116">
        <v>731.00012100000004</v>
      </c>
      <c r="B1116" s="1">
        <f>DATE(2012,5,1) + TIME(0,0,10)</f>
        <v>41030.000115740739</v>
      </c>
      <c r="C1116">
        <v>80</v>
      </c>
      <c r="D1116">
        <v>64.592269896999994</v>
      </c>
      <c r="E1116">
        <v>50</v>
      </c>
      <c r="F1116">
        <v>49.966571807999998</v>
      </c>
      <c r="G1116">
        <v>1336.934082</v>
      </c>
      <c r="H1116">
        <v>1328.7647704999999</v>
      </c>
      <c r="I1116">
        <v>1333.8865966999999</v>
      </c>
      <c r="J1116">
        <v>1326.520874</v>
      </c>
      <c r="K1116">
        <v>2400</v>
      </c>
      <c r="L1116">
        <v>0</v>
      </c>
      <c r="M1116">
        <v>0</v>
      </c>
      <c r="N1116">
        <v>2400</v>
      </c>
    </row>
    <row r="1117" spans="1:14" x14ac:dyDescent="0.25">
      <c r="A1117">
        <v>731.00036399999999</v>
      </c>
      <c r="B1117" s="1">
        <f>DATE(2012,5,1) + TIME(0,0,31)</f>
        <v>41030.000358796293</v>
      </c>
      <c r="C1117">
        <v>80</v>
      </c>
      <c r="D1117">
        <v>64.599052428999997</v>
      </c>
      <c r="E1117">
        <v>50</v>
      </c>
      <c r="F1117">
        <v>49.965984343999999</v>
      </c>
      <c r="G1117">
        <v>1341.9870605000001</v>
      </c>
      <c r="H1117">
        <v>1333.6710204999999</v>
      </c>
      <c r="I1117">
        <v>1329.4798584</v>
      </c>
      <c r="J1117">
        <v>1322.1176757999999</v>
      </c>
      <c r="K1117">
        <v>2400</v>
      </c>
      <c r="L1117">
        <v>0</v>
      </c>
      <c r="M1117">
        <v>0</v>
      </c>
      <c r="N1117">
        <v>2400</v>
      </c>
    </row>
    <row r="1118" spans="1:14" x14ac:dyDescent="0.25">
      <c r="A1118">
        <v>731.00109299999997</v>
      </c>
      <c r="B1118" s="1">
        <f>DATE(2012,5,1) + TIME(0,1,34)</f>
        <v>41030.001087962963</v>
      </c>
      <c r="C1118">
        <v>80</v>
      </c>
      <c r="D1118">
        <v>64.618446349999999</v>
      </c>
      <c r="E1118">
        <v>50</v>
      </c>
      <c r="F1118">
        <v>49.965316772000001</v>
      </c>
      <c r="G1118">
        <v>1347.1763916</v>
      </c>
      <c r="H1118">
        <v>1338.7019043</v>
      </c>
      <c r="I1118">
        <v>1325.0274658000001</v>
      </c>
      <c r="J1118">
        <v>1317.6491699000001</v>
      </c>
      <c r="K1118">
        <v>2400</v>
      </c>
      <c r="L1118">
        <v>0</v>
      </c>
      <c r="M1118">
        <v>0</v>
      </c>
      <c r="N1118">
        <v>2400</v>
      </c>
    </row>
    <row r="1119" spans="1:14" x14ac:dyDescent="0.25">
      <c r="A1119">
        <v>731.00328000000002</v>
      </c>
      <c r="B1119" s="1">
        <f>DATE(2012,5,1) + TIME(0,4,43)</f>
        <v>41030.003275462965</v>
      </c>
      <c r="C1119">
        <v>80</v>
      </c>
      <c r="D1119">
        <v>64.676109314000001</v>
      </c>
      <c r="E1119">
        <v>50</v>
      </c>
      <c r="F1119">
        <v>49.964431763</v>
      </c>
      <c r="G1119">
        <v>1352.3334961</v>
      </c>
      <c r="H1119">
        <v>1343.7095947</v>
      </c>
      <c r="I1119">
        <v>1320.5255127</v>
      </c>
      <c r="J1119">
        <v>1313.0948486</v>
      </c>
      <c r="K1119">
        <v>2400</v>
      </c>
      <c r="L1119">
        <v>0</v>
      </c>
      <c r="M1119">
        <v>0</v>
      </c>
      <c r="N1119">
        <v>2400</v>
      </c>
    </row>
    <row r="1120" spans="1:14" x14ac:dyDescent="0.25">
      <c r="A1120">
        <v>731.00984100000005</v>
      </c>
      <c r="B1120" s="1">
        <f>DATE(2012,5,1) + TIME(0,14,10)</f>
        <v>41030.009837962964</v>
      </c>
      <c r="C1120">
        <v>80</v>
      </c>
      <c r="D1120">
        <v>64.847763061999999</v>
      </c>
      <c r="E1120">
        <v>50</v>
      </c>
      <c r="F1120">
        <v>49.962989807</v>
      </c>
      <c r="G1120">
        <v>1356.5943603999999</v>
      </c>
      <c r="H1120">
        <v>1347.8870850000001</v>
      </c>
      <c r="I1120">
        <v>1316.6348877</v>
      </c>
      <c r="J1120">
        <v>1309.1550293</v>
      </c>
      <c r="K1120">
        <v>2400</v>
      </c>
      <c r="L1120">
        <v>0</v>
      </c>
      <c r="M1120">
        <v>0</v>
      </c>
      <c r="N1120">
        <v>2400</v>
      </c>
    </row>
    <row r="1121" spans="1:14" x14ac:dyDescent="0.25">
      <c r="A1121">
        <v>731.02952400000004</v>
      </c>
      <c r="B1121" s="1">
        <f>DATE(2012,5,1) + TIME(0,42,30)</f>
        <v>41030.029513888891</v>
      </c>
      <c r="C1121">
        <v>80</v>
      </c>
      <c r="D1121">
        <v>65.346199036000002</v>
      </c>
      <c r="E1121">
        <v>50</v>
      </c>
      <c r="F1121">
        <v>49.959911345999998</v>
      </c>
      <c r="G1121">
        <v>1358.9122314000001</v>
      </c>
      <c r="H1121">
        <v>1350.2373047000001</v>
      </c>
      <c r="I1121">
        <v>1314.5809326000001</v>
      </c>
      <c r="J1121">
        <v>1307.0794678</v>
      </c>
      <c r="K1121">
        <v>2400</v>
      </c>
      <c r="L1121">
        <v>0</v>
      </c>
      <c r="M1121">
        <v>0</v>
      </c>
      <c r="N1121">
        <v>2400</v>
      </c>
    </row>
    <row r="1122" spans="1:14" x14ac:dyDescent="0.25">
      <c r="A1122">
        <v>731.05263600000001</v>
      </c>
      <c r="B1122" s="1">
        <f>DATE(2012,5,1) + TIME(1,15,47)</f>
        <v>41030.052627314813</v>
      </c>
      <c r="C1122">
        <v>80</v>
      </c>
      <c r="D1122">
        <v>65.909042357999994</v>
      </c>
      <c r="E1122">
        <v>50</v>
      </c>
      <c r="F1122">
        <v>49.956577301000003</v>
      </c>
      <c r="G1122">
        <v>1359.4261475000001</v>
      </c>
      <c r="H1122">
        <v>1350.815918</v>
      </c>
      <c r="I1122">
        <v>1314.1821289</v>
      </c>
      <c r="J1122">
        <v>1306.6765137</v>
      </c>
      <c r="K1122">
        <v>2400</v>
      </c>
      <c r="L1122">
        <v>0</v>
      </c>
      <c r="M1122">
        <v>0</v>
      </c>
      <c r="N1122">
        <v>2400</v>
      </c>
    </row>
    <row r="1123" spans="1:14" x14ac:dyDescent="0.25">
      <c r="A1123">
        <v>731.07619499999998</v>
      </c>
      <c r="B1123" s="1">
        <f>DATE(2012,5,1) + TIME(1,49,43)</f>
        <v>41030.076192129629</v>
      </c>
      <c r="C1123">
        <v>80</v>
      </c>
      <c r="D1123">
        <v>66.460411071999999</v>
      </c>
      <c r="E1123">
        <v>50</v>
      </c>
      <c r="F1123">
        <v>49.953250885000003</v>
      </c>
      <c r="G1123">
        <v>1359.4821777</v>
      </c>
      <c r="H1123">
        <v>1350.9375</v>
      </c>
      <c r="I1123">
        <v>1314.1290283000001</v>
      </c>
      <c r="J1123">
        <v>1306.6225586</v>
      </c>
      <c r="K1123">
        <v>2400</v>
      </c>
      <c r="L1123">
        <v>0</v>
      </c>
      <c r="M1123">
        <v>0</v>
      </c>
      <c r="N1123">
        <v>2400</v>
      </c>
    </row>
    <row r="1124" spans="1:14" x14ac:dyDescent="0.25">
      <c r="A1124">
        <v>731.10020599999996</v>
      </c>
      <c r="B1124" s="1">
        <f>DATE(2012,5,1) + TIME(2,24,17)</f>
        <v>41030.10019675926</v>
      </c>
      <c r="C1124">
        <v>80</v>
      </c>
      <c r="D1124">
        <v>66.999977111999996</v>
      </c>
      <c r="E1124">
        <v>50</v>
      </c>
      <c r="F1124">
        <v>49.949901580999999</v>
      </c>
      <c r="G1124">
        <v>1359.4250488</v>
      </c>
      <c r="H1124">
        <v>1350.9443358999999</v>
      </c>
      <c r="I1124">
        <v>1314.1301269999999</v>
      </c>
      <c r="J1124">
        <v>1306.6234131000001</v>
      </c>
      <c r="K1124">
        <v>2400</v>
      </c>
      <c r="L1124">
        <v>0</v>
      </c>
      <c r="M1124">
        <v>0</v>
      </c>
      <c r="N1124">
        <v>2400</v>
      </c>
    </row>
    <row r="1125" spans="1:14" x14ac:dyDescent="0.25">
      <c r="A1125">
        <v>731.124685</v>
      </c>
      <c r="B1125" s="1">
        <f>DATE(2012,5,1) + TIME(2,59,32)</f>
        <v>41030.124675925923</v>
      </c>
      <c r="C1125">
        <v>80</v>
      </c>
      <c r="D1125">
        <v>67.527809142999999</v>
      </c>
      <c r="E1125">
        <v>50</v>
      </c>
      <c r="F1125">
        <v>49.946514129999997</v>
      </c>
      <c r="G1125">
        <v>1359.3393555</v>
      </c>
      <c r="H1125">
        <v>1350.9204102000001</v>
      </c>
      <c r="I1125">
        <v>1314.135376</v>
      </c>
      <c r="J1125">
        <v>1306.628418</v>
      </c>
      <c r="K1125">
        <v>2400</v>
      </c>
      <c r="L1125">
        <v>0</v>
      </c>
      <c r="M1125">
        <v>0</v>
      </c>
      <c r="N1125">
        <v>2400</v>
      </c>
    </row>
    <row r="1126" spans="1:14" x14ac:dyDescent="0.25">
      <c r="A1126">
        <v>731.14965500000005</v>
      </c>
      <c r="B1126" s="1">
        <f>DATE(2012,5,1) + TIME(3,35,30)</f>
        <v>41030.149652777778</v>
      </c>
      <c r="C1126">
        <v>80</v>
      </c>
      <c r="D1126">
        <v>68.044021606000001</v>
      </c>
      <c r="E1126">
        <v>50</v>
      </c>
      <c r="F1126">
        <v>49.943088531000001</v>
      </c>
      <c r="G1126">
        <v>1359.2480469</v>
      </c>
      <c r="H1126">
        <v>1350.8881836</v>
      </c>
      <c r="I1126">
        <v>1314.1384277</v>
      </c>
      <c r="J1126">
        <v>1306.6313477000001</v>
      </c>
      <c r="K1126">
        <v>2400</v>
      </c>
      <c r="L1126">
        <v>0</v>
      </c>
      <c r="M1126">
        <v>0</v>
      </c>
      <c r="N1126">
        <v>2400</v>
      </c>
    </row>
    <row r="1127" spans="1:14" x14ac:dyDescent="0.25">
      <c r="A1127">
        <v>731.17514200000005</v>
      </c>
      <c r="B1127" s="1">
        <f>DATE(2012,5,1) + TIME(4,12,12)</f>
        <v>41030.175138888888</v>
      </c>
      <c r="C1127">
        <v>80</v>
      </c>
      <c r="D1127">
        <v>68.548767089999998</v>
      </c>
      <c r="E1127">
        <v>50</v>
      </c>
      <c r="F1127">
        <v>49.939620972</v>
      </c>
      <c r="G1127">
        <v>1359.1578368999999</v>
      </c>
      <c r="H1127">
        <v>1350.8544922000001</v>
      </c>
      <c r="I1127">
        <v>1314.1398925999999</v>
      </c>
      <c r="J1127">
        <v>1306.6326904</v>
      </c>
      <c r="K1127">
        <v>2400</v>
      </c>
      <c r="L1127">
        <v>0</v>
      </c>
      <c r="M1127">
        <v>0</v>
      </c>
      <c r="N1127">
        <v>2400</v>
      </c>
    </row>
    <row r="1128" spans="1:14" x14ac:dyDescent="0.25">
      <c r="A1128">
        <v>731.20117200000004</v>
      </c>
      <c r="B1128" s="1">
        <f>DATE(2012,5,1) + TIME(4,49,41)</f>
        <v>41030.201168981483</v>
      </c>
      <c r="C1128">
        <v>80</v>
      </c>
      <c r="D1128">
        <v>69.042175293</v>
      </c>
      <c r="E1128">
        <v>50</v>
      </c>
      <c r="F1128">
        <v>49.936115264999998</v>
      </c>
      <c r="G1128">
        <v>1359.0706786999999</v>
      </c>
      <c r="H1128">
        <v>1350.8214111</v>
      </c>
      <c r="I1128">
        <v>1314.140625</v>
      </c>
      <c r="J1128">
        <v>1306.6333007999999</v>
      </c>
      <c r="K1128">
        <v>2400</v>
      </c>
      <c r="L1128">
        <v>0</v>
      </c>
      <c r="M1128">
        <v>0</v>
      </c>
      <c r="N1128">
        <v>2400</v>
      </c>
    </row>
    <row r="1129" spans="1:14" x14ac:dyDescent="0.25">
      <c r="A1129">
        <v>731.22771999999998</v>
      </c>
      <c r="B1129" s="1">
        <f>DATE(2012,5,1) + TIME(5,27,55)</f>
        <v>41030.227719907409</v>
      </c>
      <c r="C1129">
        <v>80</v>
      </c>
      <c r="D1129">
        <v>69.523452758999994</v>
      </c>
      <c r="E1129">
        <v>50</v>
      </c>
      <c r="F1129">
        <v>49.932567595999998</v>
      </c>
      <c r="G1129">
        <v>1358.9871826000001</v>
      </c>
      <c r="H1129">
        <v>1350.7896728999999</v>
      </c>
      <c r="I1129">
        <v>1314.1409911999999</v>
      </c>
      <c r="J1129">
        <v>1306.6334228999999</v>
      </c>
      <c r="K1129">
        <v>2400</v>
      </c>
      <c r="L1129">
        <v>0</v>
      </c>
      <c r="M1129">
        <v>0</v>
      </c>
      <c r="N1129">
        <v>2400</v>
      </c>
    </row>
    <row r="1130" spans="1:14" x14ac:dyDescent="0.25">
      <c r="A1130">
        <v>731.25480300000004</v>
      </c>
      <c r="B1130" s="1">
        <f>DATE(2012,5,1) + TIME(6,6,54)</f>
        <v>41030.254791666666</v>
      </c>
      <c r="C1130">
        <v>80</v>
      </c>
      <c r="D1130">
        <v>69.992584229000002</v>
      </c>
      <c r="E1130">
        <v>50</v>
      </c>
      <c r="F1130">
        <v>49.928981780999997</v>
      </c>
      <c r="G1130">
        <v>1358.9077147999999</v>
      </c>
      <c r="H1130">
        <v>1350.7595214999999</v>
      </c>
      <c r="I1130">
        <v>1314.1411132999999</v>
      </c>
      <c r="J1130">
        <v>1306.6334228999999</v>
      </c>
      <c r="K1130">
        <v>2400</v>
      </c>
      <c r="L1130">
        <v>0</v>
      </c>
      <c r="M1130">
        <v>0</v>
      </c>
      <c r="N1130">
        <v>2400</v>
      </c>
    </row>
    <row r="1131" spans="1:14" x14ac:dyDescent="0.25">
      <c r="A1131">
        <v>731.28244700000005</v>
      </c>
      <c r="B1131" s="1">
        <f>DATE(2012,5,1) + TIME(6,46,43)</f>
        <v>41030.282442129632</v>
      </c>
      <c r="C1131">
        <v>80</v>
      </c>
      <c r="D1131">
        <v>70.449417113999999</v>
      </c>
      <c r="E1131">
        <v>50</v>
      </c>
      <c r="F1131">
        <v>49.925354003999999</v>
      </c>
      <c r="G1131">
        <v>1358.8319091999999</v>
      </c>
      <c r="H1131">
        <v>1350.7307129000001</v>
      </c>
      <c r="I1131">
        <v>1314.1412353999999</v>
      </c>
      <c r="J1131">
        <v>1306.6334228999999</v>
      </c>
      <c r="K1131">
        <v>2400</v>
      </c>
      <c r="L1131">
        <v>0</v>
      </c>
      <c r="M1131">
        <v>0</v>
      </c>
      <c r="N1131">
        <v>2400</v>
      </c>
    </row>
    <row r="1132" spans="1:14" x14ac:dyDescent="0.25">
      <c r="A1132">
        <v>731.31068300000004</v>
      </c>
      <c r="B1132" s="1">
        <f>DATE(2012,5,1) + TIME(7,27,22)</f>
        <v>41030.310671296298</v>
      </c>
      <c r="C1132">
        <v>80</v>
      </c>
      <c r="D1132">
        <v>70.894401549999998</v>
      </c>
      <c r="E1132">
        <v>50</v>
      </c>
      <c r="F1132">
        <v>49.921684265000003</v>
      </c>
      <c r="G1132">
        <v>1358.7596435999999</v>
      </c>
      <c r="H1132">
        <v>1350.7034911999999</v>
      </c>
      <c r="I1132">
        <v>1314.1412353999999</v>
      </c>
      <c r="J1132">
        <v>1306.6333007999999</v>
      </c>
      <c r="K1132">
        <v>2400</v>
      </c>
      <c r="L1132">
        <v>0</v>
      </c>
      <c r="M1132">
        <v>0</v>
      </c>
      <c r="N1132">
        <v>2400</v>
      </c>
    </row>
    <row r="1133" spans="1:14" x14ac:dyDescent="0.25">
      <c r="A1133">
        <v>731.33954000000006</v>
      </c>
      <c r="B1133" s="1">
        <f>DATE(2012,5,1) + TIME(8,8,56)</f>
        <v>41030.339537037034</v>
      </c>
      <c r="C1133">
        <v>80</v>
      </c>
      <c r="D1133">
        <v>71.327690125000004</v>
      </c>
      <c r="E1133">
        <v>50</v>
      </c>
      <c r="F1133">
        <v>49.917964935000001</v>
      </c>
      <c r="G1133">
        <v>1358.690918</v>
      </c>
      <c r="H1133">
        <v>1350.6776123</v>
      </c>
      <c r="I1133">
        <v>1314.1413574000001</v>
      </c>
      <c r="J1133">
        <v>1306.6331786999999</v>
      </c>
      <c r="K1133">
        <v>2400</v>
      </c>
      <c r="L1133">
        <v>0</v>
      </c>
      <c r="M1133">
        <v>0</v>
      </c>
      <c r="N1133">
        <v>2400</v>
      </c>
    </row>
    <row r="1134" spans="1:14" x14ac:dyDescent="0.25">
      <c r="A1134">
        <v>731.36905300000001</v>
      </c>
      <c r="B1134" s="1">
        <f>DATE(2012,5,1) + TIME(8,51,26)</f>
        <v>41030.369050925925</v>
      </c>
      <c r="C1134">
        <v>80</v>
      </c>
      <c r="D1134">
        <v>71.749412536999998</v>
      </c>
      <c r="E1134">
        <v>50</v>
      </c>
      <c r="F1134">
        <v>49.914196013999998</v>
      </c>
      <c r="G1134">
        <v>1358.6252440999999</v>
      </c>
      <c r="H1134">
        <v>1350.6529541</v>
      </c>
      <c r="I1134">
        <v>1314.1413574000001</v>
      </c>
      <c r="J1134">
        <v>1306.6330565999999</v>
      </c>
      <c r="K1134">
        <v>2400</v>
      </c>
      <c r="L1134">
        <v>0</v>
      </c>
      <c r="M1134">
        <v>0</v>
      </c>
      <c r="N1134">
        <v>2400</v>
      </c>
    </row>
    <row r="1135" spans="1:14" x14ac:dyDescent="0.25">
      <c r="A1135">
        <v>731.39925300000004</v>
      </c>
      <c r="B1135" s="1">
        <f>DATE(2012,5,1) + TIME(9,34,55)</f>
        <v>41030.399247685185</v>
      </c>
      <c r="C1135">
        <v>80</v>
      </c>
      <c r="D1135">
        <v>72.159637450999995</v>
      </c>
      <c r="E1135">
        <v>50</v>
      </c>
      <c r="F1135">
        <v>49.910369873</v>
      </c>
      <c r="G1135">
        <v>1358.5628661999999</v>
      </c>
      <c r="H1135">
        <v>1350.6296387</v>
      </c>
      <c r="I1135">
        <v>1314.1412353999999</v>
      </c>
      <c r="J1135">
        <v>1306.6328125</v>
      </c>
      <c r="K1135">
        <v>2400</v>
      </c>
      <c r="L1135">
        <v>0</v>
      </c>
      <c r="M1135">
        <v>0</v>
      </c>
      <c r="N1135">
        <v>2400</v>
      </c>
    </row>
    <row r="1136" spans="1:14" x14ac:dyDescent="0.25">
      <c r="A1136">
        <v>731.43015400000002</v>
      </c>
      <c r="B1136" s="1">
        <f>DATE(2012,5,1) + TIME(10,19,25)</f>
        <v>41030.430150462962</v>
      </c>
      <c r="C1136">
        <v>80</v>
      </c>
      <c r="D1136">
        <v>72.558197020999998</v>
      </c>
      <c r="E1136">
        <v>50</v>
      </c>
      <c r="F1136">
        <v>49.906494141000003</v>
      </c>
      <c r="G1136">
        <v>1358.5032959</v>
      </c>
      <c r="H1136">
        <v>1350.6075439000001</v>
      </c>
      <c r="I1136">
        <v>1314.1412353999999</v>
      </c>
      <c r="J1136">
        <v>1306.6325684000001</v>
      </c>
      <c r="K1136">
        <v>2400</v>
      </c>
      <c r="L1136">
        <v>0</v>
      </c>
      <c r="M1136">
        <v>0</v>
      </c>
      <c r="N1136">
        <v>2400</v>
      </c>
    </row>
    <row r="1137" spans="1:14" x14ac:dyDescent="0.25">
      <c r="A1137">
        <v>731.461769</v>
      </c>
      <c r="B1137" s="1">
        <f>DATE(2012,5,1) + TIME(11,4,56)</f>
        <v>41030.461759259262</v>
      </c>
      <c r="C1137">
        <v>80</v>
      </c>
      <c r="D1137">
        <v>72.944885253999999</v>
      </c>
      <c r="E1137">
        <v>50</v>
      </c>
      <c r="F1137">
        <v>49.902565002000003</v>
      </c>
      <c r="G1137">
        <v>1358.4467772999999</v>
      </c>
      <c r="H1137">
        <v>1350.5864257999999</v>
      </c>
      <c r="I1137">
        <v>1314.1411132999999</v>
      </c>
      <c r="J1137">
        <v>1306.6323242000001</v>
      </c>
      <c r="K1137">
        <v>2400</v>
      </c>
      <c r="L1137">
        <v>0</v>
      </c>
      <c r="M1137">
        <v>0</v>
      </c>
      <c r="N1137">
        <v>2400</v>
      </c>
    </row>
    <row r="1138" spans="1:14" x14ac:dyDescent="0.25">
      <c r="A1138">
        <v>731.49413400000003</v>
      </c>
      <c r="B1138" s="1">
        <f>DATE(2012,5,1) + TIME(11,51,33)</f>
        <v>41030.494131944448</v>
      </c>
      <c r="C1138">
        <v>80</v>
      </c>
      <c r="D1138">
        <v>73.319847107000001</v>
      </c>
      <c r="E1138">
        <v>50</v>
      </c>
      <c r="F1138">
        <v>49.898574828999998</v>
      </c>
      <c r="G1138">
        <v>1358.3928223</v>
      </c>
      <c r="H1138">
        <v>1350.5665283000001</v>
      </c>
      <c r="I1138">
        <v>1314.1411132999999</v>
      </c>
      <c r="J1138">
        <v>1306.6320800999999</v>
      </c>
      <c r="K1138">
        <v>2400</v>
      </c>
      <c r="L1138">
        <v>0</v>
      </c>
      <c r="M1138">
        <v>0</v>
      </c>
      <c r="N1138">
        <v>2400</v>
      </c>
    </row>
    <row r="1139" spans="1:14" x14ac:dyDescent="0.25">
      <c r="A1139">
        <v>731.527288</v>
      </c>
      <c r="B1139" s="1">
        <f>DATE(2012,5,1) + TIME(12,39,17)</f>
        <v>41030.527280092596</v>
      </c>
      <c r="C1139">
        <v>80</v>
      </c>
      <c r="D1139">
        <v>73.683174132999994</v>
      </c>
      <c r="E1139">
        <v>50</v>
      </c>
      <c r="F1139">
        <v>49.894527435000001</v>
      </c>
      <c r="G1139">
        <v>1358.3415527</v>
      </c>
      <c r="H1139">
        <v>1350.5474853999999</v>
      </c>
      <c r="I1139">
        <v>1314.1409911999999</v>
      </c>
      <c r="J1139">
        <v>1306.6317139</v>
      </c>
      <c r="K1139">
        <v>2400</v>
      </c>
      <c r="L1139">
        <v>0</v>
      </c>
      <c r="M1139">
        <v>0</v>
      </c>
      <c r="N1139">
        <v>2400</v>
      </c>
    </row>
    <row r="1140" spans="1:14" x14ac:dyDescent="0.25">
      <c r="A1140">
        <v>731.56127400000003</v>
      </c>
      <c r="B1140" s="1">
        <f>DATE(2012,5,1) + TIME(13,28,14)</f>
        <v>41030.561273148145</v>
      </c>
      <c r="C1140">
        <v>80</v>
      </c>
      <c r="D1140">
        <v>74.034965514999996</v>
      </c>
      <c r="E1140">
        <v>50</v>
      </c>
      <c r="F1140">
        <v>49.890415191999999</v>
      </c>
      <c r="G1140">
        <v>1358.2926024999999</v>
      </c>
      <c r="H1140">
        <v>1350.5294189000001</v>
      </c>
      <c r="I1140">
        <v>1314.1407471</v>
      </c>
      <c r="J1140">
        <v>1306.6314697</v>
      </c>
      <c r="K1140">
        <v>2400</v>
      </c>
      <c r="L1140">
        <v>0</v>
      </c>
      <c r="M1140">
        <v>0</v>
      </c>
      <c r="N1140">
        <v>2400</v>
      </c>
    </row>
    <row r="1141" spans="1:14" x14ac:dyDescent="0.25">
      <c r="A1141">
        <v>731.59614299999998</v>
      </c>
      <c r="B1141" s="1">
        <f>DATE(2012,5,1) + TIME(14,18,26)</f>
        <v>41030.596134259256</v>
      </c>
      <c r="C1141">
        <v>80</v>
      </c>
      <c r="D1141">
        <v>74.375389099000003</v>
      </c>
      <c r="E1141">
        <v>50</v>
      </c>
      <c r="F1141">
        <v>49.886234283</v>
      </c>
      <c r="G1141">
        <v>1358.2459716999999</v>
      </c>
      <c r="H1141">
        <v>1350.5120850000001</v>
      </c>
      <c r="I1141">
        <v>1314.140625</v>
      </c>
      <c r="J1141">
        <v>1306.6311035000001</v>
      </c>
      <c r="K1141">
        <v>2400</v>
      </c>
      <c r="L1141">
        <v>0</v>
      </c>
      <c r="M1141">
        <v>0</v>
      </c>
      <c r="N1141">
        <v>2400</v>
      </c>
    </row>
    <row r="1142" spans="1:14" x14ac:dyDescent="0.25">
      <c r="A1142">
        <v>731.63194499999997</v>
      </c>
      <c r="B1142" s="1">
        <f>DATE(2012,5,1) + TIME(15,10,0)</f>
        <v>41030.631944444445</v>
      </c>
      <c r="C1142">
        <v>80</v>
      </c>
      <c r="D1142">
        <v>74.704536438000005</v>
      </c>
      <c r="E1142">
        <v>50</v>
      </c>
      <c r="F1142">
        <v>49.881977081000002</v>
      </c>
      <c r="G1142">
        <v>1358.2014160000001</v>
      </c>
      <c r="H1142">
        <v>1350.4954834</v>
      </c>
      <c r="I1142">
        <v>1314.1405029</v>
      </c>
      <c r="J1142">
        <v>1306.6307373</v>
      </c>
      <c r="K1142">
        <v>2400</v>
      </c>
      <c r="L1142">
        <v>0</v>
      </c>
      <c r="M1142">
        <v>0</v>
      </c>
      <c r="N1142">
        <v>2400</v>
      </c>
    </row>
    <row r="1143" spans="1:14" x14ac:dyDescent="0.25">
      <c r="A1143">
        <v>731.66873599999997</v>
      </c>
      <c r="B1143" s="1">
        <f>DATE(2012,5,1) + TIME(16,2,58)</f>
        <v>41030.668726851851</v>
      </c>
      <c r="C1143">
        <v>80</v>
      </c>
      <c r="D1143">
        <v>75.022499084000003</v>
      </c>
      <c r="E1143">
        <v>50</v>
      </c>
      <c r="F1143">
        <v>49.877647400000001</v>
      </c>
      <c r="G1143">
        <v>1358.1589355000001</v>
      </c>
      <c r="H1143">
        <v>1350.4797363</v>
      </c>
      <c r="I1143">
        <v>1314.1402588000001</v>
      </c>
      <c r="J1143">
        <v>1306.630249</v>
      </c>
      <c r="K1143">
        <v>2400</v>
      </c>
      <c r="L1143">
        <v>0</v>
      </c>
      <c r="M1143">
        <v>0</v>
      </c>
      <c r="N1143">
        <v>2400</v>
      </c>
    </row>
    <row r="1144" spans="1:14" x14ac:dyDescent="0.25">
      <c r="A1144">
        <v>731.70657400000005</v>
      </c>
      <c r="B1144" s="1">
        <f>DATE(2012,5,1) + TIME(16,57,28)</f>
        <v>41030.706574074073</v>
      </c>
      <c r="C1144">
        <v>80</v>
      </c>
      <c r="D1144">
        <v>75.329162597999996</v>
      </c>
      <c r="E1144">
        <v>50</v>
      </c>
      <c r="F1144">
        <v>49.873229979999998</v>
      </c>
      <c r="G1144">
        <v>1358.1182861</v>
      </c>
      <c r="H1144">
        <v>1350.4644774999999</v>
      </c>
      <c r="I1144">
        <v>1314.1400146000001</v>
      </c>
      <c r="J1144">
        <v>1306.6298827999999</v>
      </c>
      <c r="K1144">
        <v>2400</v>
      </c>
      <c r="L1144">
        <v>0</v>
      </c>
      <c r="M1144">
        <v>0</v>
      </c>
      <c r="N1144">
        <v>2400</v>
      </c>
    </row>
    <row r="1145" spans="1:14" x14ac:dyDescent="0.25">
      <c r="A1145">
        <v>731.74552400000005</v>
      </c>
      <c r="B1145" s="1">
        <f>DATE(2012,5,1) + TIME(17,53,33)</f>
        <v>41030.745520833334</v>
      </c>
      <c r="C1145">
        <v>80</v>
      </c>
      <c r="D1145">
        <v>75.624832153</v>
      </c>
      <c r="E1145">
        <v>50</v>
      </c>
      <c r="F1145">
        <v>49.868728638</v>
      </c>
      <c r="G1145">
        <v>1358.0794678</v>
      </c>
      <c r="H1145">
        <v>1350.4498291</v>
      </c>
      <c r="I1145">
        <v>1314.1397704999999</v>
      </c>
      <c r="J1145">
        <v>1306.6293945</v>
      </c>
      <c r="K1145">
        <v>2400</v>
      </c>
      <c r="L1145">
        <v>0</v>
      </c>
      <c r="M1145">
        <v>0</v>
      </c>
      <c r="N1145">
        <v>2400</v>
      </c>
    </row>
    <row r="1146" spans="1:14" x14ac:dyDescent="0.25">
      <c r="A1146">
        <v>731.78565300000002</v>
      </c>
      <c r="B1146" s="1">
        <f>DATE(2012,5,1) + TIME(18,51,20)</f>
        <v>41030.78564814815</v>
      </c>
      <c r="C1146">
        <v>80</v>
      </c>
      <c r="D1146">
        <v>75.909591675000001</v>
      </c>
      <c r="E1146">
        <v>50</v>
      </c>
      <c r="F1146">
        <v>49.864128113</v>
      </c>
      <c r="G1146">
        <v>1358.0421143000001</v>
      </c>
      <c r="H1146">
        <v>1350.4356689000001</v>
      </c>
      <c r="I1146">
        <v>1314.1395264</v>
      </c>
      <c r="J1146">
        <v>1306.6289062000001</v>
      </c>
      <c r="K1146">
        <v>2400</v>
      </c>
      <c r="L1146">
        <v>0</v>
      </c>
      <c r="M1146">
        <v>0</v>
      </c>
      <c r="N1146">
        <v>2400</v>
      </c>
    </row>
    <row r="1147" spans="1:14" x14ac:dyDescent="0.25">
      <c r="A1147">
        <v>731.82703800000002</v>
      </c>
      <c r="B1147" s="1">
        <f>DATE(2012,5,1) + TIME(19,50,56)</f>
        <v>41030.827037037037</v>
      </c>
      <c r="C1147">
        <v>80</v>
      </c>
      <c r="D1147">
        <v>76.183517456000004</v>
      </c>
      <c r="E1147">
        <v>50</v>
      </c>
      <c r="F1147">
        <v>49.859432220000002</v>
      </c>
      <c r="G1147">
        <v>1358.0064697</v>
      </c>
      <c r="H1147">
        <v>1350.421875</v>
      </c>
      <c r="I1147">
        <v>1314.1392822</v>
      </c>
      <c r="J1147">
        <v>1306.628418</v>
      </c>
      <c r="K1147">
        <v>2400</v>
      </c>
      <c r="L1147">
        <v>0</v>
      </c>
      <c r="M1147">
        <v>0</v>
      </c>
      <c r="N1147">
        <v>2400</v>
      </c>
    </row>
    <row r="1148" spans="1:14" x14ac:dyDescent="0.25">
      <c r="A1148">
        <v>731.86976000000004</v>
      </c>
      <c r="B1148" s="1">
        <f>DATE(2012,5,1) + TIME(20,52,27)</f>
        <v>41030.869756944441</v>
      </c>
      <c r="C1148">
        <v>80</v>
      </c>
      <c r="D1148">
        <v>76.446701050000001</v>
      </c>
      <c r="E1148">
        <v>50</v>
      </c>
      <c r="F1148">
        <v>49.854629516999999</v>
      </c>
      <c r="G1148">
        <v>1357.972168</v>
      </c>
      <c r="H1148">
        <v>1350.4085693</v>
      </c>
      <c r="I1148">
        <v>1314.1389160000001</v>
      </c>
      <c r="J1148">
        <v>1306.6279297000001</v>
      </c>
      <c r="K1148">
        <v>2400</v>
      </c>
      <c r="L1148">
        <v>0</v>
      </c>
      <c r="M1148">
        <v>0</v>
      </c>
      <c r="N1148">
        <v>2400</v>
      </c>
    </row>
    <row r="1149" spans="1:14" x14ac:dyDescent="0.25">
      <c r="A1149">
        <v>731.91391099999998</v>
      </c>
      <c r="B1149" s="1">
        <f>DATE(2012,5,1) + TIME(21,56,1)</f>
        <v>41030.913900462961</v>
      </c>
      <c r="C1149">
        <v>80</v>
      </c>
      <c r="D1149">
        <v>76.69921875</v>
      </c>
      <c r="E1149">
        <v>50</v>
      </c>
      <c r="F1149">
        <v>49.849708557</v>
      </c>
      <c r="G1149">
        <v>1357.9392089999999</v>
      </c>
      <c r="H1149">
        <v>1350.3955077999999</v>
      </c>
      <c r="I1149">
        <v>1314.1386719</v>
      </c>
      <c r="J1149">
        <v>1306.6274414</v>
      </c>
      <c r="K1149">
        <v>2400</v>
      </c>
      <c r="L1149">
        <v>0</v>
      </c>
      <c r="M1149">
        <v>0</v>
      </c>
      <c r="N1149">
        <v>2400</v>
      </c>
    </row>
    <row r="1150" spans="1:14" x14ac:dyDescent="0.25">
      <c r="A1150">
        <v>731.95960500000001</v>
      </c>
      <c r="B1150" s="1">
        <f>DATE(2012,5,1) + TIME(23,1,49)</f>
        <v>41030.959594907406</v>
      </c>
      <c r="C1150">
        <v>80</v>
      </c>
      <c r="D1150">
        <v>76.941253661999994</v>
      </c>
      <c r="E1150">
        <v>50</v>
      </c>
      <c r="F1150">
        <v>49.844665526999997</v>
      </c>
      <c r="G1150">
        <v>1357.9073486</v>
      </c>
      <c r="H1150">
        <v>1350.3828125</v>
      </c>
      <c r="I1150">
        <v>1314.1383057</v>
      </c>
      <c r="J1150">
        <v>1306.6268310999999</v>
      </c>
      <c r="K1150">
        <v>2400</v>
      </c>
      <c r="L1150">
        <v>0</v>
      </c>
      <c r="M1150">
        <v>0</v>
      </c>
      <c r="N1150">
        <v>2400</v>
      </c>
    </row>
    <row r="1151" spans="1:14" x14ac:dyDescent="0.25">
      <c r="A1151">
        <v>732.006934</v>
      </c>
      <c r="B1151" s="1">
        <f>DATE(2012,5,2) + TIME(0,9,59)</f>
        <v>41031.006932870368</v>
      </c>
      <c r="C1151">
        <v>80</v>
      </c>
      <c r="D1151">
        <v>77.172775268999999</v>
      </c>
      <c r="E1151">
        <v>50</v>
      </c>
      <c r="F1151">
        <v>49.839488983000003</v>
      </c>
      <c r="G1151">
        <v>1357.8765868999999</v>
      </c>
      <c r="H1151">
        <v>1350.3702393000001</v>
      </c>
      <c r="I1151">
        <v>1314.1379394999999</v>
      </c>
      <c r="J1151">
        <v>1306.6262207</v>
      </c>
      <c r="K1151">
        <v>2400</v>
      </c>
      <c r="L1151">
        <v>0</v>
      </c>
      <c r="M1151">
        <v>0</v>
      </c>
      <c r="N1151">
        <v>2400</v>
      </c>
    </row>
    <row r="1152" spans="1:14" x14ac:dyDescent="0.25">
      <c r="A1152">
        <v>732.056015</v>
      </c>
      <c r="B1152" s="1">
        <f>DATE(2012,5,2) + TIME(1,20,39)</f>
        <v>41031.056006944447</v>
      </c>
      <c r="C1152">
        <v>80</v>
      </c>
      <c r="D1152">
        <v>77.393867493000002</v>
      </c>
      <c r="E1152">
        <v>50</v>
      </c>
      <c r="F1152">
        <v>49.834171294999997</v>
      </c>
      <c r="G1152">
        <v>1357.8469238</v>
      </c>
      <c r="H1152">
        <v>1350.3577881000001</v>
      </c>
      <c r="I1152">
        <v>1314.1375731999999</v>
      </c>
      <c r="J1152">
        <v>1306.6256103999999</v>
      </c>
      <c r="K1152">
        <v>2400</v>
      </c>
      <c r="L1152">
        <v>0</v>
      </c>
      <c r="M1152">
        <v>0</v>
      </c>
      <c r="N1152">
        <v>2400</v>
      </c>
    </row>
    <row r="1153" spans="1:14" x14ac:dyDescent="0.25">
      <c r="A1153">
        <v>732.10697900000002</v>
      </c>
      <c r="B1153" s="1">
        <f>DATE(2012,5,2) + TIME(2,34,3)</f>
        <v>41031.106979166667</v>
      </c>
      <c r="C1153">
        <v>80</v>
      </c>
      <c r="D1153">
        <v>77.604614257999998</v>
      </c>
      <c r="E1153">
        <v>50</v>
      </c>
      <c r="F1153">
        <v>49.828704834</v>
      </c>
      <c r="G1153">
        <v>1357.8181152</v>
      </c>
      <c r="H1153">
        <v>1350.3454589999999</v>
      </c>
      <c r="I1153">
        <v>1314.137207</v>
      </c>
      <c r="J1153">
        <v>1306.625</v>
      </c>
      <c r="K1153">
        <v>2400</v>
      </c>
      <c r="L1153">
        <v>0</v>
      </c>
      <c r="M1153">
        <v>0</v>
      </c>
      <c r="N1153">
        <v>2400</v>
      </c>
    </row>
    <row r="1154" spans="1:14" x14ac:dyDescent="0.25">
      <c r="A1154">
        <v>732.15997300000004</v>
      </c>
      <c r="B1154" s="1">
        <f>DATE(2012,5,2) + TIME(3,50,21)</f>
        <v>41031.15996527778</v>
      </c>
      <c r="C1154">
        <v>80</v>
      </c>
      <c r="D1154">
        <v>77.805114746000001</v>
      </c>
      <c r="E1154">
        <v>50</v>
      </c>
      <c r="F1154">
        <v>49.823070526000002</v>
      </c>
      <c r="G1154">
        <v>1357.7900391000001</v>
      </c>
      <c r="H1154">
        <v>1350.3332519999999</v>
      </c>
      <c r="I1154">
        <v>1314.1367187999999</v>
      </c>
      <c r="J1154">
        <v>1306.6243896000001</v>
      </c>
      <c r="K1154">
        <v>2400</v>
      </c>
      <c r="L1154">
        <v>0</v>
      </c>
      <c r="M1154">
        <v>0</v>
      </c>
      <c r="N1154">
        <v>2400</v>
      </c>
    </row>
    <row r="1155" spans="1:14" x14ac:dyDescent="0.25">
      <c r="A1155">
        <v>732.21515799999997</v>
      </c>
      <c r="B1155" s="1">
        <f>DATE(2012,5,2) + TIME(5,9,49)</f>
        <v>41031.215150462966</v>
      </c>
      <c r="C1155">
        <v>80</v>
      </c>
      <c r="D1155">
        <v>77.995460510000001</v>
      </c>
      <c r="E1155">
        <v>50</v>
      </c>
      <c r="F1155">
        <v>49.817264557000001</v>
      </c>
      <c r="G1155">
        <v>1357.7626952999999</v>
      </c>
      <c r="H1155">
        <v>1350.3209228999999</v>
      </c>
      <c r="I1155">
        <v>1314.1363524999999</v>
      </c>
      <c r="J1155">
        <v>1306.6236572</v>
      </c>
      <c r="K1155">
        <v>2400</v>
      </c>
      <c r="L1155">
        <v>0</v>
      </c>
      <c r="M1155">
        <v>0</v>
      </c>
      <c r="N1155">
        <v>2400</v>
      </c>
    </row>
    <row r="1156" spans="1:14" x14ac:dyDescent="0.25">
      <c r="A1156">
        <v>732.27271499999995</v>
      </c>
      <c r="B1156" s="1">
        <f>DATE(2012,5,2) + TIME(6,32,42)</f>
        <v>41031.27270833333</v>
      </c>
      <c r="C1156">
        <v>80</v>
      </c>
      <c r="D1156">
        <v>78.175743103000002</v>
      </c>
      <c r="E1156">
        <v>50</v>
      </c>
      <c r="F1156">
        <v>49.811264037999997</v>
      </c>
      <c r="G1156">
        <v>1357.7359618999999</v>
      </c>
      <c r="H1156">
        <v>1350.3084716999999</v>
      </c>
      <c r="I1156">
        <v>1314.1358643000001</v>
      </c>
      <c r="J1156">
        <v>1306.6229248</v>
      </c>
      <c r="K1156">
        <v>2400</v>
      </c>
      <c r="L1156">
        <v>0</v>
      </c>
      <c r="M1156">
        <v>0</v>
      </c>
      <c r="N1156">
        <v>2400</v>
      </c>
    </row>
    <row r="1157" spans="1:14" x14ac:dyDescent="0.25">
      <c r="A1157">
        <v>732.33284800000001</v>
      </c>
      <c r="B1157" s="1">
        <f>DATE(2012,5,2) + TIME(7,59,18)</f>
        <v>41031.33284722222</v>
      </c>
      <c r="C1157">
        <v>80</v>
      </c>
      <c r="D1157">
        <v>78.346069335999999</v>
      </c>
      <c r="E1157">
        <v>50</v>
      </c>
      <c r="F1157">
        <v>49.805053710999999</v>
      </c>
      <c r="G1157">
        <v>1357.7095947</v>
      </c>
      <c r="H1157">
        <v>1350.2958983999999</v>
      </c>
      <c r="I1157">
        <v>1314.135376</v>
      </c>
      <c r="J1157">
        <v>1306.6221923999999</v>
      </c>
      <c r="K1157">
        <v>2400</v>
      </c>
      <c r="L1157">
        <v>0</v>
      </c>
      <c r="M1157">
        <v>0</v>
      </c>
      <c r="N1157">
        <v>2400</v>
      </c>
    </row>
    <row r="1158" spans="1:14" x14ac:dyDescent="0.25">
      <c r="A1158">
        <v>732.39578500000005</v>
      </c>
      <c r="B1158" s="1">
        <f>DATE(2012,5,2) + TIME(9,29,55)</f>
        <v>41031.395775462966</v>
      </c>
      <c r="C1158">
        <v>80</v>
      </c>
      <c r="D1158">
        <v>78.506568908999995</v>
      </c>
      <c r="E1158">
        <v>50</v>
      </c>
      <c r="F1158">
        <v>49.798622131000002</v>
      </c>
      <c r="G1158">
        <v>1357.6835937999999</v>
      </c>
      <c r="H1158">
        <v>1350.2830810999999</v>
      </c>
      <c r="I1158">
        <v>1314.1348877</v>
      </c>
      <c r="J1158">
        <v>1306.6213379000001</v>
      </c>
      <c r="K1158">
        <v>2400</v>
      </c>
      <c r="L1158">
        <v>0</v>
      </c>
      <c r="M1158">
        <v>0</v>
      </c>
      <c r="N1158">
        <v>2400</v>
      </c>
    </row>
    <row r="1159" spans="1:14" x14ac:dyDescent="0.25">
      <c r="A1159">
        <v>732.46178799999996</v>
      </c>
      <c r="B1159" s="1">
        <f>DATE(2012,5,2) + TIME(11,4,58)</f>
        <v>41031.461782407408</v>
      </c>
      <c r="C1159">
        <v>80</v>
      </c>
      <c r="D1159">
        <v>78.657348632999998</v>
      </c>
      <c r="E1159">
        <v>50</v>
      </c>
      <c r="F1159">
        <v>49.791942595999998</v>
      </c>
      <c r="G1159">
        <v>1357.6579589999999</v>
      </c>
      <c r="H1159">
        <v>1350.2701416</v>
      </c>
      <c r="I1159">
        <v>1314.1342772999999</v>
      </c>
      <c r="J1159">
        <v>1306.6206055</v>
      </c>
      <c r="K1159">
        <v>2400</v>
      </c>
      <c r="L1159">
        <v>0</v>
      </c>
      <c r="M1159">
        <v>0</v>
      </c>
      <c r="N1159">
        <v>2400</v>
      </c>
    </row>
    <row r="1160" spans="1:14" x14ac:dyDescent="0.25">
      <c r="A1160">
        <v>732.53118700000005</v>
      </c>
      <c r="B1160" s="1">
        <f>DATE(2012,5,2) + TIME(12,44,54)</f>
        <v>41031.531180555554</v>
      </c>
      <c r="C1160">
        <v>80</v>
      </c>
      <c r="D1160">
        <v>78.798606872999997</v>
      </c>
      <c r="E1160">
        <v>50</v>
      </c>
      <c r="F1160">
        <v>49.784988403</v>
      </c>
      <c r="G1160">
        <v>1357.6323242000001</v>
      </c>
      <c r="H1160">
        <v>1350.2567139</v>
      </c>
      <c r="I1160">
        <v>1314.1337891000001</v>
      </c>
      <c r="J1160">
        <v>1306.619751</v>
      </c>
      <c r="K1160">
        <v>2400</v>
      </c>
      <c r="L1160">
        <v>0</v>
      </c>
      <c r="M1160">
        <v>0</v>
      </c>
      <c r="N1160">
        <v>2400</v>
      </c>
    </row>
    <row r="1161" spans="1:14" x14ac:dyDescent="0.25">
      <c r="A1161">
        <v>732.60431100000005</v>
      </c>
      <c r="B1161" s="1">
        <f>DATE(2012,5,2) + TIME(14,30,12)</f>
        <v>41031.604305555556</v>
      </c>
      <c r="C1161">
        <v>80</v>
      </c>
      <c r="D1161">
        <v>78.930450438999998</v>
      </c>
      <c r="E1161">
        <v>50</v>
      </c>
      <c r="F1161">
        <v>49.777736664000003</v>
      </c>
      <c r="G1161">
        <v>1357.6068115</v>
      </c>
      <c r="H1161">
        <v>1350.2429199000001</v>
      </c>
      <c r="I1161">
        <v>1314.1331786999999</v>
      </c>
      <c r="J1161">
        <v>1306.6187743999999</v>
      </c>
      <c r="K1161">
        <v>2400</v>
      </c>
      <c r="L1161">
        <v>0</v>
      </c>
      <c r="M1161">
        <v>0</v>
      </c>
      <c r="N1161">
        <v>2400</v>
      </c>
    </row>
    <row r="1162" spans="1:14" x14ac:dyDescent="0.25">
      <c r="A1162">
        <v>732.68154100000004</v>
      </c>
      <c r="B1162" s="1">
        <f>DATE(2012,5,2) + TIME(16,21,25)</f>
        <v>41031.681539351855</v>
      </c>
      <c r="C1162">
        <v>80</v>
      </c>
      <c r="D1162">
        <v>79.053009032999995</v>
      </c>
      <c r="E1162">
        <v>50</v>
      </c>
      <c r="F1162">
        <v>49.770160675</v>
      </c>
      <c r="G1162">
        <v>1357.5811768000001</v>
      </c>
      <c r="H1162">
        <v>1350.2285156</v>
      </c>
      <c r="I1162">
        <v>1314.1324463000001</v>
      </c>
      <c r="J1162">
        <v>1306.6177978999999</v>
      </c>
      <c r="K1162">
        <v>2400</v>
      </c>
      <c r="L1162">
        <v>0</v>
      </c>
      <c r="M1162">
        <v>0</v>
      </c>
      <c r="N1162">
        <v>2400</v>
      </c>
    </row>
    <row r="1163" spans="1:14" x14ac:dyDescent="0.25">
      <c r="A1163">
        <v>732.76323100000002</v>
      </c>
      <c r="B1163" s="1">
        <f>DATE(2012,5,2) + TIME(18,19,3)</f>
        <v>41031.763229166667</v>
      </c>
      <c r="C1163">
        <v>80</v>
      </c>
      <c r="D1163">
        <v>79.166313170999999</v>
      </c>
      <c r="E1163">
        <v>50</v>
      </c>
      <c r="F1163">
        <v>49.762226105000003</v>
      </c>
      <c r="G1163">
        <v>1357.5552978999999</v>
      </c>
      <c r="H1163">
        <v>1350.2137451000001</v>
      </c>
      <c r="I1163">
        <v>1314.1318358999999</v>
      </c>
      <c r="J1163">
        <v>1306.6168213000001</v>
      </c>
      <c r="K1163">
        <v>2400</v>
      </c>
      <c r="L1163">
        <v>0</v>
      </c>
      <c r="M1163">
        <v>0</v>
      </c>
      <c r="N1163">
        <v>2400</v>
      </c>
    </row>
    <row r="1164" spans="1:14" x14ac:dyDescent="0.25">
      <c r="A1164">
        <v>732.849782</v>
      </c>
      <c r="B1164" s="1">
        <f>DATE(2012,5,2) + TIME(20,23,41)</f>
        <v>41031.849780092591</v>
      </c>
      <c r="C1164">
        <v>80</v>
      </c>
      <c r="D1164">
        <v>79.270469665999997</v>
      </c>
      <c r="E1164">
        <v>50</v>
      </c>
      <c r="F1164">
        <v>49.753910064999999</v>
      </c>
      <c r="G1164">
        <v>1357.5291748</v>
      </c>
      <c r="H1164">
        <v>1350.1982422000001</v>
      </c>
      <c r="I1164">
        <v>1314.1311035000001</v>
      </c>
      <c r="J1164">
        <v>1306.6158447</v>
      </c>
      <c r="K1164">
        <v>2400</v>
      </c>
      <c r="L1164">
        <v>0</v>
      </c>
      <c r="M1164">
        <v>0</v>
      </c>
      <c r="N1164">
        <v>2400</v>
      </c>
    </row>
    <row r="1165" spans="1:14" x14ac:dyDescent="0.25">
      <c r="A1165">
        <v>732.94174299999997</v>
      </c>
      <c r="B1165" s="1">
        <f>DATE(2012,5,2) + TIME(22,36,6)</f>
        <v>41031.941736111112</v>
      </c>
      <c r="C1165">
        <v>80</v>
      </c>
      <c r="D1165">
        <v>79.365692139000004</v>
      </c>
      <c r="E1165">
        <v>50</v>
      </c>
      <c r="F1165">
        <v>49.745166779000002</v>
      </c>
      <c r="G1165">
        <v>1357.5026855000001</v>
      </c>
      <c r="H1165">
        <v>1350.1820068</v>
      </c>
      <c r="I1165">
        <v>1314.1303711</v>
      </c>
      <c r="J1165">
        <v>1306.6147461</v>
      </c>
      <c r="K1165">
        <v>2400</v>
      </c>
      <c r="L1165">
        <v>0</v>
      </c>
      <c r="M1165">
        <v>0</v>
      </c>
      <c r="N1165">
        <v>2400</v>
      </c>
    </row>
    <row r="1166" spans="1:14" x14ac:dyDescent="0.25">
      <c r="A1166">
        <v>733.03975600000001</v>
      </c>
      <c r="B1166" s="1">
        <f>DATE(2012,5,3) + TIME(0,57,14)</f>
        <v>41032.03974537037</v>
      </c>
      <c r="C1166">
        <v>80</v>
      </c>
      <c r="D1166">
        <v>79.452239989999995</v>
      </c>
      <c r="E1166">
        <v>50</v>
      </c>
      <c r="F1166">
        <v>49.735954284999998</v>
      </c>
      <c r="G1166">
        <v>1357.4754639</v>
      </c>
      <c r="H1166">
        <v>1350.1651611</v>
      </c>
      <c r="I1166">
        <v>1314.1295166</v>
      </c>
      <c r="J1166">
        <v>1306.6135254000001</v>
      </c>
      <c r="K1166">
        <v>2400</v>
      </c>
      <c r="L1166">
        <v>0</v>
      </c>
      <c r="M1166">
        <v>0</v>
      </c>
      <c r="N1166">
        <v>2400</v>
      </c>
    </row>
    <row r="1167" spans="1:14" x14ac:dyDescent="0.25">
      <c r="A1167">
        <v>733.13998300000003</v>
      </c>
      <c r="B1167" s="1">
        <f>DATE(2012,5,3) + TIME(3,21,34)</f>
        <v>41032.139976851853</v>
      </c>
      <c r="C1167">
        <v>80</v>
      </c>
      <c r="D1167">
        <v>79.527458190999994</v>
      </c>
      <c r="E1167">
        <v>50</v>
      </c>
      <c r="F1167">
        <v>49.726589203000003</v>
      </c>
      <c r="G1167">
        <v>1357.4489745999999</v>
      </c>
      <c r="H1167">
        <v>1350.1480713000001</v>
      </c>
      <c r="I1167">
        <v>1314.1286620999999</v>
      </c>
      <c r="J1167">
        <v>1306.6123047000001</v>
      </c>
      <c r="K1167">
        <v>2400</v>
      </c>
      <c r="L1167">
        <v>0</v>
      </c>
      <c r="M1167">
        <v>0</v>
      </c>
      <c r="N1167">
        <v>2400</v>
      </c>
    </row>
    <row r="1168" spans="1:14" x14ac:dyDescent="0.25">
      <c r="A1168">
        <v>733.24118899999996</v>
      </c>
      <c r="B1168" s="1">
        <f>DATE(2012,5,3) + TIME(5,47,18)</f>
        <v>41032.241180555553</v>
      </c>
      <c r="C1168">
        <v>80</v>
      </c>
      <c r="D1168">
        <v>79.591941833000007</v>
      </c>
      <c r="E1168">
        <v>50</v>
      </c>
      <c r="F1168">
        <v>49.717182158999996</v>
      </c>
      <c r="G1168">
        <v>1357.4230957</v>
      </c>
      <c r="H1168">
        <v>1350.1309814000001</v>
      </c>
      <c r="I1168">
        <v>1314.1276855000001</v>
      </c>
      <c r="J1168">
        <v>1306.6109618999999</v>
      </c>
      <c r="K1168">
        <v>2400</v>
      </c>
      <c r="L1168">
        <v>0</v>
      </c>
      <c r="M1168">
        <v>0</v>
      </c>
      <c r="N1168">
        <v>2400</v>
      </c>
    </row>
    <row r="1169" spans="1:14" x14ac:dyDescent="0.25">
      <c r="A1169">
        <v>733.34365000000003</v>
      </c>
      <c r="B1169" s="1">
        <f>DATE(2012,5,3) + TIME(8,14,51)</f>
        <v>41032.343645833331</v>
      </c>
      <c r="C1169">
        <v>80</v>
      </c>
      <c r="D1169">
        <v>79.647254943999997</v>
      </c>
      <c r="E1169">
        <v>50</v>
      </c>
      <c r="F1169">
        <v>49.707706451</v>
      </c>
      <c r="G1169">
        <v>1357.3974608999999</v>
      </c>
      <c r="H1169">
        <v>1350.1138916</v>
      </c>
      <c r="I1169">
        <v>1314.1268310999999</v>
      </c>
      <c r="J1169">
        <v>1306.6097411999999</v>
      </c>
      <c r="K1169">
        <v>2400</v>
      </c>
      <c r="L1169">
        <v>0</v>
      </c>
      <c r="M1169">
        <v>0</v>
      </c>
      <c r="N1169">
        <v>2400</v>
      </c>
    </row>
    <row r="1170" spans="1:14" x14ac:dyDescent="0.25">
      <c r="A1170">
        <v>733.447587</v>
      </c>
      <c r="B1170" s="1">
        <f>DATE(2012,5,3) + TIME(10,44,31)</f>
        <v>41032.447581018518</v>
      </c>
      <c r="C1170">
        <v>80</v>
      </c>
      <c r="D1170">
        <v>79.694709778000004</v>
      </c>
      <c r="E1170">
        <v>50</v>
      </c>
      <c r="F1170">
        <v>49.698146819999998</v>
      </c>
      <c r="G1170">
        <v>1357.3719481999999</v>
      </c>
      <c r="H1170">
        <v>1350.0965576000001</v>
      </c>
      <c r="I1170">
        <v>1314.1258545000001</v>
      </c>
      <c r="J1170">
        <v>1306.6083983999999</v>
      </c>
      <c r="K1170">
        <v>2400</v>
      </c>
      <c r="L1170">
        <v>0</v>
      </c>
      <c r="M1170">
        <v>0</v>
      </c>
      <c r="N1170">
        <v>2400</v>
      </c>
    </row>
    <row r="1171" spans="1:14" x14ac:dyDescent="0.25">
      <c r="A1171">
        <v>733.553225</v>
      </c>
      <c r="B1171" s="1">
        <f>DATE(2012,5,3) + TIME(13,16,38)</f>
        <v>41032.553217592591</v>
      </c>
      <c r="C1171">
        <v>80</v>
      </c>
      <c r="D1171">
        <v>79.735404967999997</v>
      </c>
      <c r="E1171">
        <v>50</v>
      </c>
      <c r="F1171">
        <v>49.688480376999998</v>
      </c>
      <c r="G1171">
        <v>1357.3465576000001</v>
      </c>
      <c r="H1171">
        <v>1350.0792236</v>
      </c>
      <c r="I1171">
        <v>1314.1248779</v>
      </c>
      <c r="J1171">
        <v>1306.6071777</v>
      </c>
      <c r="K1171">
        <v>2400</v>
      </c>
      <c r="L1171">
        <v>0</v>
      </c>
      <c r="M1171">
        <v>0</v>
      </c>
      <c r="N1171">
        <v>2400</v>
      </c>
    </row>
    <row r="1172" spans="1:14" x14ac:dyDescent="0.25">
      <c r="A1172">
        <v>733.66083600000002</v>
      </c>
      <c r="B1172" s="1">
        <f>DATE(2012,5,3) + TIME(15,51,36)</f>
        <v>41032.660833333335</v>
      </c>
      <c r="C1172">
        <v>80</v>
      </c>
      <c r="D1172">
        <v>79.770286560000002</v>
      </c>
      <c r="E1172">
        <v>50</v>
      </c>
      <c r="F1172">
        <v>49.678688049000002</v>
      </c>
      <c r="G1172">
        <v>1357.3212891000001</v>
      </c>
      <c r="H1172">
        <v>1350.0616454999999</v>
      </c>
      <c r="I1172">
        <v>1314.1239014</v>
      </c>
      <c r="J1172">
        <v>1306.6058350000001</v>
      </c>
      <c r="K1172">
        <v>2400</v>
      </c>
      <c r="L1172">
        <v>0</v>
      </c>
      <c r="M1172">
        <v>0</v>
      </c>
      <c r="N1172">
        <v>2400</v>
      </c>
    </row>
    <row r="1173" spans="1:14" x14ac:dyDescent="0.25">
      <c r="A1173">
        <v>733.77031299999999</v>
      </c>
      <c r="B1173" s="1">
        <f>DATE(2012,5,3) + TIME(18,29,15)</f>
        <v>41032.770312499997</v>
      </c>
      <c r="C1173">
        <v>80</v>
      </c>
      <c r="D1173">
        <v>79.800079346000004</v>
      </c>
      <c r="E1173">
        <v>50</v>
      </c>
      <c r="F1173">
        <v>49.668777466000002</v>
      </c>
      <c r="G1173">
        <v>1357.2960204999999</v>
      </c>
      <c r="H1173">
        <v>1350.0440673999999</v>
      </c>
      <c r="I1173">
        <v>1314.1229248</v>
      </c>
      <c r="J1173">
        <v>1306.6044922000001</v>
      </c>
      <c r="K1173">
        <v>2400</v>
      </c>
      <c r="L1173">
        <v>0</v>
      </c>
      <c r="M1173">
        <v>0</v>
      </c>
      <c r="N1173">
        <v>2400</v>
      </c>
    </row>
    <row r="1174" spans="1:14" x14ac:dyDescent="0.25">
      <c r="A1174">
        <v>733.88140299999998</v>
      </c>
      <c r="B1174" s="1">
        <f>DATE(2012,5,3) + TIME(21,9,13)</f>
        <v>41032.88140046296</v>
      </c>
      <c r="C1174">
        <v>80</v>
      </c>
      <c r="D1174">
        <v>79.825408936000002</v>
      </c>
      <c r="E1174">
        <v>50</v>
      </c>
      <c r="F1174">
        <v>49.658767699999999</v>
      </c>
      <c r="G1174">
        <v>1357.2707519999999</v>
      </c>
      <c r="H1174">
        <v>1350.0263672000001</v>
      </c>
      <c r="I1174">
        <v>1314.1219481999999</v>
      </c>
      <c r="J1174">
        <v>1306.6030272999999</v>
      </c>
      <c r="K1174">
        <v>2400</v>
      </c>
      <c r="L1174">
        <v>0</v>
      </c>
      <c r="M1174">
        <v>0</v>
      </c>
      <c r="N1174">
        <v>2400</v>
      </c>
    </row>
    <row r="1175" spans="1:14" x14ac:dyDescent="0.25">
      <c r="A1175">
        <v>733.994326</v>
      </c>
      <c r="B1175" s="1">
        <f>DATE(2012,5,3) + TIME(23,51,49)</f>
        <v>41032.994317129633</v>
      </c>
      <c r="C1175">
        <v>80</v>
      </c>
      <c r="D1175">
        <v>79.846923828000001</v>
      </c>
      <c r="E1175">
        <v>50</v>
      </c>
      <c r="F1175">
        <v>49.648643493999998</v>
      </c>
      <c r="G1175">
        <v>1357.2456055</v>
      </c>
      <c r="H1175">
        <v>1350.0086670000001</v>
      </c>
      <c r="I1175">
        <v>1314.1208495999999</v>
      </c>
      <c r="J1175">
        <v>1306.6016846</v>
      </c>
      <c r="K1175">
        <v>2400</v>
      </c>
      <c r="L1175">
        <v>0</v>
      </c>
      <c r="M1175">
        <v>0</v>
      </c>
      <c r="N1175">
        <v>2400</v>
      </c>
    </row>
    <row r="1176" spans="1:14" x14ac:dyDescent="0.25">
      <c r="A1176">
        <v>734.10929699999997</v>
      </c>
      <c r="B1176" s="1">
        <f>DATE(2012,5,4) + TIME(2,37,23)</f>
        <v>41033.109293981484</v>
      </c>
      <c r="C1176">
        <v>80</v>
      </c>
      <c r="D1176">
        <v>79.865196228000002</v>
      </c>
      <c r="E1176">
        <v>50</v>
      </c>
      <c r="F1176">
        <v>49.638389586999999</v>
      </c>
      <c r="G1176">
        <v>1357.2204589999999</v>
      </c>
      <c r="H1176">
        <v>1349.9908447</v>
      </c>
      <c r="I1176">
        <v>1314.119751</v>
      </c>
      <c r="J1176">
        <v>1306.6002197</v>
      </c>
      <c r="K1176">
        <v>2400</v>
      </c>
      <c r="L1176">
        <v>0</v>
      </c>
      <c r="M1176">
        <v>0</v>
      </c>
      <c r="N1176">
        <v>2400</v>
      </c>
    </row>
    <row r="1177" spans="1:14" x14ac:dyDescent="0.25">
      <c r="A1177">
        <v>734.22653600000001</v>
      </c>
      <c r="B1177" s="1">
        <f>DATE(2012,5,4) + TIME(5,26,12)</f>
        <v>41033.226527777777</v>
      </c>
      <c r="C1177">
        <v>80</v>
      </c>
      <c r="D1177">
        <v>79.880676269999995</v>
      </c>
      <c r="E1177">
        <v>50</v>
      </c>
      <c r="F1177">
        <v>49.627986907999997</v>
      </c>
      <c r="G1177">
        <v>1357.1953125</v>
      </c>
      <c r="H1177">
        <v>1349.9729004000001</v>
      </c>
      <c r="I1177">
        <v>1314.1187743999999</v>
      </c>
      <c r="J1177">
        <v>1306.5987548999999</v>
      </c>
      <c r="K1177">
        <v>2400</v>
      </c>
      <c r="L1177">
        <v>0</v>
      </c>
      <c r="M1177">
        <v>0</v>
      </c>
      <c r="N1177">
        <v>2400</v>
      </c>
    </row>
    <row r="1178" spans="1:14" x14ac:dyDescent="0.25">
      <c r="A1178">
        <v>734.34630700000002</v>
      </c>
      <c r="B1178" s="1">
        <f>DATE(2012,5,4) + TIME(8,18,40)</f>
        <v>41033.346296296295</v>
      </c>
      <c r="C1178">
        <v>80</v>
      </c>
      <c r="D1178">
        <v>79.893791199000006</v>
      </c>
      <c r="E1178">
        <v>50</v>
      </c>
      <c r="F1178">
        <v>49.617412567000002</v>
      </c>
      <c r="G1178">
        <v>1357.1700439000001</v>
      </c>
      <c r="H1178">
        <v>1349.9549560999999</v>
      </c>
      <c r="I1178">
        <v>1314.1176757999999</v>
      </c>
      <c r="J1178">
        <v>1306.5972899999999</v>
      </c>
      <c r="K1178">
        <v>2400</v>
      </c>
      <c r="L1178">
        <v>0</v>
      </c>
      <c r="M1178">
        <v>0</v>
      </c>
      <c r="N1178">
        <v>2400</v>
      </c>
    </row>
    <row r="1179" spans="1:14" x14ac:dyDescent="0.25">
      <c r="A1179">
        <v>734.46884399999999</v>
      </c>
      <c r="B1179" s="1">
        <f>DATE(2012,5,4) + TIME(11,15,8)</f>
        <v>41033.468842592592</v>
      </c>
      <c r="C1179">
        <v>80</v>
      </c>
      <c r="D1179">
        <v>79.904876709000007</v>
      </c>
      <c r="E1179">
        <v>50</v>
      </c>
      <c r="F1179">
        <v>49.606651306000003</v>
      </c>
      <c r="G1179">
        <v>1357.1447754000001</v>
      </c>
      <c r="H1179">
        <v>1349.9368896000001</v>
      </c>
      <c r="I1179">
        <v>1314.1164550999999</v>
      </c>
      <c r="J1179">
        <v>1306.5958252</v>
      </c>
      <c r="K1179">
        <v>2400</v>
      </c>
      <c r="L1179">
        <v>0</v>
      </c>
      <c r="M1179">
        <v>0</v>
      </c>
      <c r="N1179">
        <v>2400</v>
      </c>
    </row>
    <row r="1180" spans="1:14" x14ac:dyDescent="0.25">
      <c r="A1180">
        <v>734.59439299999997</v>
      </c>
      <c r="B1180" s="1">
        <f>DATE(2012,5,4) + TIME(14,15,55)</f>
        <v>41033.594386574077</v>
      </c>
      <c r="C1180">
        <v>80</v>
      </c>
      <c r="D1180">
        <v>79.914222717000001</v>
      </c>
      <c r="E1180">
        <v>50</v>
      </c>
      <c r="F1180">
        <v>49.595687865999999</v>
      </c>
      <c r="G1180">
        <v>1357.1192627</v>
      </c>
      <c r="H1180">
        <v>1349.9187012</v>
      </c>
      <c r="I1180">
        <v>1314.1153564000001</v>
      </c>
      <c r="J1180">
        <v>1306.5942382999999</v>
      </c>
      <c r="K1180">
        <v>2400</v>
      </c>
      <c r="L1180">
        <v>0</v>
      </c>
      <c r="M1180">
        <v>0</v>
      </c>
      <c r="N1180">
        <v>2400</v>
      </c>
    </row>
    <row r="1181" spans="1:14" x14ac:dyDescent="0.25">
      <c r="A1181">
        <v>734.72324200000003</v>
      </c>
      <c r="B1181" s="1">
        <f>DATE(2012,5,4) + TIME(17,21,28)</f>
        <v>41033.723240740743</v>
      </c>
      <c r="C1181">
        <v>80</v>
      </c>
      <c r="D1181">
        <v>79.922096252000003</v>
      </c>
      <c r="E1181">
        <v>50</v>
      </c>
      <c r="F1181">
        <v>49.584495543999999</v>
      </c>
      <c r="G1181">
        <v>1357.09375</v>
      </c>
      <c r="H1181">
        <v>1349.9005127</v>
      </c>
      <c r="I1181">
        <v>1314.1141356999999</v>
      </c>
      <c r="J1181">
        <v>1306.5926514</v>
      </c>
      <c r="K1181">
        <v>2400</v>
      </c>
      <c r="L1181">
        <v>0</v>
      </c>
      <c r="M1181">
        <v>0</v>
      </c>
      <c r="N1181">
        <v>2400</v>
      </c>
    </row>
    <row r="1182" spans="1:14" x14ac:dyDescent="0.25">
      <c r="A1182">
        <v>734.85538099999997</v>
      </c>
      <c r="B1182" s="1">
        <f>DATE(2012,5,4) + TIME(20,31,44)</f>
        <v>41033.855370370373</v>
      </c>
      <c r="C1182">
        <v>80</v>
      </c>
      <c r="D1182">
        <v>79.928688049000002</v>
      </c>
      <c r="E1182">
        <v>50</v>
      </c>
      <c r="F1182">
        <v>49.573078156000001</v>
      </c>
      <c r="G1182">
        <v>1357.0679932</v>
      </c>
      <c r="H1182">
        <v>1349.8820800999999</v>
      </c>
      <c r="I1182">
        <v>1314.1129149999999</v>
      </c>
      <c r="J1182">
        <v>1306.5910644999999</v>
      </c>
      <c r="K1182">
        <v>2400</v>
      </c>
      <c r="L1182">
        <v>0</v>
      </c>
      <c r="M1182">
        <v>0</v>
      </c>
      <c r="N1182">
        <v>2400</v>
      </c>
    </row>
    <row r="1183" spans="1:14" x14ac:dyDescent="0.25">
      <c r="A1183">
        <v>734.990452</v>
      </c>
      <c r="B1183" s="1">
        <f>DATE(2012,5,4) + TIME(23,46,15)</f>
        <v>41033.990451388891</v>
      </c>
      <c r="C1183">
        <v>80</v>
      </c>
      <c r="D1183">
        <v>79.934173584000007</v>
      </c>
      <c r="E1183">
        <v>50</v>
      </c>
      <c r="F1183">
        <v>49.561462401999997</v>
      </c>
      <c r="G1183">
        <v>1357.0419922000001</v>
      </c>
      <c r="H1183">
        <v>1349.8636475000001</v>
      </c>
      <c r="I1183">
        <v>1314.1115723</v>
      </c>
      <c r="J1183">
        <v>1306.5893555</v>
      </c>
      <c r="K1183">
        <v>2400</v>
      </c>
      <c r="L1183">
        <v>0</v>
      </c>
      <c r="M1183">
        <v>0</v>
      </c>
      <c r="N1183">
        <v>2400</v>
      </c>
    </row>
    <row r="1184" spans="1:14" x14ac:dyDescent="0.25">
      <c r="A1184">
        <v>735.12878899999998</v>
      </c>
      <c r="B1184" s="1">
        <f>DATE(2012,5,5) + TIME(3,5,27)</f>
        <v>41034.128784722219</v>
      </c>
      <c r="C1184">
        <v>80</v>
      </c>
      <c r="D1184">
        <v>79.938743591000005</v>
      </c>
      <c r="E1184">
        <v>50</v>
      </c>
      <c r="F1184">
        <v>49.549625397</v>
      </c>
      <c r="G1184">
        <v>1357.0161132999999</v>
      </c>
      <c r="H1184">
        <v>1349.8450928</v>
      </c>
      <c r="I1184">
        <v>1314.1103516000001</v>
      </c>
      <c r="J1184">
        <v>1306.5876464999999</v>
      </c>
      <c r="K1184">
        <v>2400</v>
      </c>
      <c r="L1184">
        <v>0</v>
      </c>
      <c r="M1184">
        <v>0</v>
      </c>
      <c r="N1184">
        <v>2400</v>
      </c>
    </row>
    <row r="1185" spans="1:14" x14ac:dyDescent="0.25">
      <c r="A1185">
        <v>735.270622</v>
      </c>
      <c r="B1185" s="1">
        <f>DATE(2012,5,5) + TIME(6,29,41)</f>
        <v>41034.270613425928</v>
      </c>
      <c r="C1185">
        <v>80</v>
      </c>
      <c r="D1185">
        <v>79.942527771000002</v>
      </c>
      <c r="E1185">
        <v>50</v>
      </c>
      <c r="F1185">
        <v>49.537551880000002</v>
      </c>
      <c r="G1185">
        <v>1356.9899902</v>
      </c>
      <c r="H1185">
        <v>1349.8265381000001</v>
      </c>
      <c r="I1185">
        <v>1314.1090088000001</v>
      </c>
      <c r="J1185">
        <v>1306.5858154</v>
      </c>
      <c r="K1185">
        <v>2400</v>
      </c>
      <c r="L1185">
        <v>0</v>
      </c>
      <c r="M1185">
        <v>0</v>
      </c>
      <c r="N1185">
        <v>2400</v>
      </c>
    </row>
    <row r="1186" spans="1:14" x14ac:dyDescent="0.25">
      <c r="A1186">
        <v>735.416247</v>
      </c>
      <c r="B1186" s="1">
        <f>DATE(2012,5,5) + TIME(9,59,23)</f>
        <v>41034.416238425925</v>
      </c>
      <c r="C1186">
        <v>80</v>
      </c>
      <c r="D1186">
        <v>79.945663452000005</v>
      </c>
      <c r="E1186">
        <v>50</v>
      </c>
      <c r="F1186">
        <v>49.525218963999997</v>
      </c>
      <c r="G1186">
        <v>1356.9638672000001</v>
      </c>
      <c r="H1186">
        <v>1349.8078613</v>
      </c>
      <c r="I1186">
        <v>1314.1076660000001</v>
      </c>
      <c r="J1186">
        <v>1306.5841064000001</v>
      </c>
      <c r="K1186">
        <v>2400</v>
      </c>
      <c r="L1186">
        <v>0</v>
      </c>
      <c r="M1186">
        <v>0</v>
      </c>
      <c r="N1186">
        <v>2400</v>
      </c>
    </row>
    <row r="1187" spans="1:14" x14ac:dyDescent="0.25">
      <c r="A1187">
        <v>735.56599400000005</v>
      </c>
      <c r="B1187" s="1">
        <f>DATE(2012,5,5) + TIME(13,35,1)</f>
        <v>41034.565983796296</v>
      </c>
      <c r="C1187">
        <v>80</v>
      </c>
      <c r="D1187">
        <v>79.948257446</v>
      </c>
      <c r="E1187">
        <v>50</v>
      </c>
      <c r="F1187">
        <v>49.512599944999998</v>
      </c>
      <c r="G1187">
        <v>1356.9375</v>
      </c>
      <c r="H1187">
        <v>1349.7891846</v>
      </c>
      <c r="I1187">
        <v>1314.1062012</v>
      </c>
      <c r="J1187">
        <v>1306.5822754000001</v>
      </c>
      <c r="K1187">
        <v>2400</v>
      </c>
      <c r="L1187">
        <v>0</v>
      </c>
      <c r="M1187">
        <v>0</v>
      </c>
      <c r="N1187">
        <v>2400</v>
      </c>
    </row>
    <row r="1188" spans="1:14" x14ac:dyDescent="0.25">
      <c r="A1188">
        <v>735.72022500000003</v>
      </c>
      <c r="B1188" s="1">
        <f>DATE(2012,5,5) + TIME(17,17,7)</f>
        <v>41034.720219907409</v>
      </c>
      <c r="C1188">
        <v>80</v>
      </c>
      <c r="D1188">
        <v>79.950393676999994</v>
      </c>
      <c r="E1188">
        <v>50</v>
      </c>
      <c r="F1188">
        <v>49.499679565000001</v>
      </c>
      <c r="G1188">
        <v>1356.9108887</v>
      </c>
      <c r="H1188">
        <v>1349.7703856999999</v>
      </c>
      <c r="I1188">
        <v>1314.1047363</v>
      </c>
      <c r="J1188">
        <v>1306.5803223</v>
      </c>
      <c r="K1188">
        <v>2400</v>
      </c>
      <c r="L1188">
        <v>0</v>
      </c>
      <c r="M1188">
        <v>0</v>
      </c>
      <c r="N1188">
        <v>2400</v>
      </c>
    </row>
    <row r="1189" spans="1:14" x14ac:dyDescent="0.25">
      <c r="A1189">
        <v>735.87934099999995</v>
      </c>
      <c r="B1189" s="1">
        <f>DATE(2012,5,5) + TIME(21,6,15)</f>
        <v>41034.879340277781</v>
      </c>
      <c r="C1189">
        <v>80</v>
      </c>
      <c r="D1189">
        <v>79.952148437999995</v>
      </c>
      <c r="E1189">
        <v>50</v>
      </c>
      <c r="F1189">
        <v>49.486419677999997</v>
      </c>
      <c r="G1189">
        <v>1356.8841553</v>
      </c>
      <c r="H1189">
        <v>1349.7513428</v>
      </c>
      <c r="I1189">
        <v>1314.1032714999999</v>
      </c>
      <c r="J1189">
        <v>1306.5783690999999</v>
      </c>
      <c r="K1189">
        <v>2400</v>
      </c>
      <c r="L1189">
        <v>0</v>
      </c>
      <c r="M1189">
        <v>0</v>
      </c>
      <c r="N1189">
        <v>2400</v>
      </c>
    </row>
    <row r="1190" spans="1:14" x14ac:dyDescent="0.25">
      <c r="A1190">
        <v>736.04378699999995</v>
      </c>
      <c r="B1190" s="1">
        <f>DATE(2012,5,6) + TIME(1,3,3)</f>
        <v>41035.04378472222</v>
      </c>
      <c r="C1190">
        <v>80</v>
      </c>
      <c r="D1190">
        <v>79.953590392999999</v>
      </c>
      <c r="E1190">
        <v>50</v>
      </c>
      <c r="F1190">
        <v>49.472797393999997</v>
      </c>
      <c r="G1190">
        <v>1356.8571777</v>
      </c>
      <c r="H1190">
        <v>1349.7322998</v>
      </c>
      <c r="I1190">
        <v>1314.1016846</v>
      </c>
      <c r="J1190">
        <v>1306.5762939000001</v>
      </c>
      <c r="K1190">
        <v>2400</v>
      </c>
      <c r="L1190">
        <v>0</v>
      </c>
      <c r="M1190">
        <v>0</v>
      </c>
      <c r="N1190">
        <v>2400</v>
      </c>
    </row>
    <row r="1191" spans="1:14" x14ac:dyDescent="0.25">
      <c r="A1191">
        <v>736.21405900000002</v>
      </c>
      <c r="B1191" s="1">
        <f>DATE(2012,5,6) + TIME(5,8,14)</f>
        <v>41035.214050925926</v>
      </c>
      <c r="C1191">
        <v>80</v>
      </c>
      <c r="D1191">
        <v>79.954765320000007</v>
      </c>
      <c r="E1191">
        <v>50</v>
      </c>
      <c r="F1191">
        <v>49.458778381000002</v>
      </c>
      <c r="G1191">
        <v>1356.8299560999999</v>
      </c>
      <c r="H1191">
        <v>1349.7131348</v>
      </c>
      <c r="I1191">
        <v>1314.1000977000001</v>
      </c>
      <c r="J1191">
        <v>1306.5742187999999</v>
      </c>
      <c r="K1191">
        <v>2400</v>
      </c>
      <c r="L1191">
        <v>0</v>
      </c>
      <c r="M1191">
        <v>0</v>
      </c>
      <c r="N1191">
        <v>2400</v>
      </c>
    </row>
    <row r="1192" spans="1:14" x14ac:dyDescent="0.25">
      <c r="A1192">
        <v>736.390714</v>
      </c>
      <c r="B1192" s="1">
        <f>DATE(2012,5,6) + TIME(9,22,37)</f>
        <v>41035.390706018516</v>
      </c>
      <c r="C1192">
        <v>80</v>
      </c>
      <c r="D1192">
        <v>79.955726623999993</v>
      </c>
      <c r="E1192">
        <v>50</v>
      </c>
      <c r="F1192">
        <v>49.444316864000001</v>
      </c>
      <c r="G1192">
        <v>1356.8022461</v>
      </c>
      <c r="H1192">
        <v>1349.6936035000001</v>
      </c>
      <c r="I1192">
        <v>1314.0985106999999</v>
      </c>
      <c r="J1192">
        <v>1306.5720214999999</v>
      </c>
      <c r="K1192">
        <v>2400</v>
      </c>
      <c r="L1192">
        <v>0</v>
      </c>
      <c r="M1192">
        <v>0</v>
      </c>
      <c r="N1192">
        <v>2400</v>
      </c>
    </row>
    <row r="1193" spans="1:14" x14ac:dyDescent="0.25">
      <c r="A1193">
        <v>736.57438000000002</v>
      </c>
      <c r="B1193" s="1">
        <f>DATE(2012,5,6) + TIME(13,47,6)</f>
        <v>41035.574374999997</v>
      </c>
      <c r="C1193">
        <v>80</v>
      </c>
      <c r="D1193">
        <v>79.956504821999999</v>
      </c>
      <c r="E1193">
        <v>50</v>
      </c>
      <c r="F1193">
        <v>49.429382324000002</v>
      </c>
      <c r="G1193">
        <v>1356.7742920000001</v>
      </c>
      <c r="H1193">
        <v>1349.6739502</v>
      </c>
      <c r="I1193">
        <v>1314.0966797000001</v>
      </c>
      <c r="J1193">
        <v>1306.5698242000001</v>
      </c>
      <c r="K1193">
        <v>2400</v>
      </c>
      <c r="L1193">
        <v>0</v>
      </c>
      <c r="M1193">
        <v>0</v>
      </c>
      <c r="N1193">
        <v>2400</v>
      </c>
    </row>
    <row r="1194" spans="1:14" x14ac:dyDescent="0.25">
      <c r="A1194">
        <v>736.76478199999997</v>
      </c>
      <c r="B1194" s="1">
        <f>DATE(2012,5,6) + TIME(18,21,17)</f>
        <v>41035.764780092592</v>
      </c>
      <c r="C1194">
        <v>80</v>
      </c>
      <c r="D1194">
        <v>79.957138061999999</v>
      </c>
      <c r="E1194">
        <v>50</v>
      </c>
      <c r="F1194">
        <v>49.413982390999998</v>
      </c>
      <c r="G1194">
        <v>1356.7458495999999</v>
      </c>
      <c r="H1194">
        <v>1349.6540527</v>
      </c>
      <c r="I1194">
        <v>1314.0949707</v>
      </c>
      <c r="J1194">
        <v>1306.5673827999999</v>
      </c>
      <c r="K1194">
        <v>2400</v>
      </c>
      <c r="L1194">
        <v>0</v>
      </c>
      <c r="M1194">
        <v>0</v>
      </c>
      <c r="N1194">
        <v>2400</v>
      </c>
    </row>
    <row r="1195" spans="1:14" x14ac:dyDescent="0.25">
      <c r="A1195">
        <v>736.96095600000001</v>
      </c>
      <c r="B1195" s="1">
        <f>DATE(2012,5,6) + TIME(23,3,46)</f>
        <v>41035.960949074077</v>
      </c>
      <c r="C1195">
        <v>80</v>
      </c>
      <c r="D1195">
        <v>79.957649231000005</v>
      </c>
      <c r="E1195">
        <v>50</v>
      </c>
      <c r="F1195">
        <v>49.398189545000001</v>
      </c>
      <c r="G1195">
        <v>1356.7171631000001</v>
      </c>
      <c r="H1195">
        <v>1349.6340332</v>
      </c>
      <c r="I1195">
        <v>1314.0930175999999</v>
      </c>
      <c r="J1195">
        <v>1306.5649414</v>
      </c>
      <c r="K1195">
        <v>2400</v>
      </c>
      <c r="L1195">
        <v>0</v>
      </c>
      <c r="M1195">
        <v>0</v>
      </c>
      <c r="N1195">
        <v>2400</v>
      </c>
    </row>
    <row r="1196" spans="1:14" x14ac:dyDescent="0.25">
      <c r="A1196">
        <v>737.163453</v>
      </c>
      <c r="B1196" s="1">
        <f>DATE(2012,5,7) + TIME(3,55,22)</f>
        <v>41036.163449074076</v>
      </c>
      <c r="C1196">
        <v>80</v>
      </c>
      <c r="D1196">
        <v>79.958045959000003</v>
      </c>
      <c r="E1196">
        <v>50</v>
      </c>
      <c r="F1196">
        <v>49.381961822999997</v>
      </c>
      <c r="G1196">
        <v>1356.6883545000001</v>
      </c>
      <c r="H1196">
        <v>1349.6138916</v>
      </c>
      <c r="I1196">
        <v>1314.0910644999999</v>
      </c>
      <c r="J1196">
        <v>1306.5625</v>
      </c>
      <c r="K1196">
        <v>2400</v>
      </c>
      <c r="L1196">
        <v>0</v>
      </c>
      <c r="M1196">
        <v>0</v>
      </c>
      <c r="N1196">
        <v>2400</v>
      </c>
    </row>
    <row r="1197" spans="1:14" x14ac:dyDescent="0.25">
      <c r="A1197">
        <v>737.37283100000002</v>
      </c>
      <c r="B1197" s="1">
        <f>DATE(2012,5,7) + TIME(8,56,52)</f>
        <v>41036.372824074075</v>
      </c>
      <c r="C1197">
        <v>80</v>
      </c>
      <c r="D1197">
        <v>79.958374023000005</v>
      </c>
      <c r="E1197">
        <v>50</v>
      </c>
      <c r="F1197">
        <v>49.365272521999998</v>
      </c>
      <c r="G1197">
        <v>1356.6591797000001</v>
      </c>
      <c r="H1197">
        <v>1349.5936279</v>
      </c>
      <c r="I1197">
        <v>1314.0891113</v>
      </c>
      <c r="J1197">
        <v>1306.5598144999999</v>
      </c>
      <c r="K1197">
        <v>2400</v>
      </c>
      <c r="L1197">
        <v>0</v>
      </c>
      <c r="M1197">
        <v>0</v>
      </c>
      <c r="N1197">
        <v>2400</v>
      </c>
    </row>
    <row r="1198" spans="1:14" x14ac:dyDescent="0.25">
      <c r="A1198">
        <v>737.58592399999998</v>
      </c>
      <c r="B1198" s="1">
        <f>DATE(2012,5,7) + TIME(14,3,43)</f>
        <v>41036.585914351854</v>
      </c>
      <c r="C1198">
        <v>80</v>
      </c>
      <c r="D1198">
        <v>79.958625792999996</v>
      </c>
      <c r="E1198">
        <v>50</v>
      </c>
      <c r="F1198">
        <v>49.348323821999998</v>
      </c>
      <c r="G1198">
        <v>1356.6298827999999</v>
      </c>
      <c r="H1198">
        <v>1349.5733643000001</v>
      </c>
      <c r="I1198">
        <v>1314.0870361</v>
      </c>
      <c r="J1198">
        <v>1306.5571289</v>
      </c>
      <c r="K1198">
        <v>2400</v>
      </c>
      <c r="L1198">
        <v>0</v>
      </c>
      <c r="M1198">
        <v>0</v>
      </c>
      <c r="N1198">
        <v>2400</v>
      </c>
    </row>
    <row r="1199" spans="1:14" x14ac:dyDescent="0.25">
      <c r="A1199">
        <v>737.80052899999998</v>
      </c>
      <c r="B1199" s="1">
        <f>DATE(2012,5,7) + TIME(19,12,45)</f>
        <v>41036.800520833334</v>
      </c>
      <c r="C1199">
        <v>80</v>
      </c>
      <c r="D1199">
        <v>79.958816528</v>
      </c>
      <c r="E1199">
        <v>50</v>
      </c>
      <c r="F1199">
        <v>49.331260681000003</v>
      </c>
      <c r="G1199">
        <v>1356.6008300999999</v>
      </c>
      <c r="H1199">
        <v>1349.5532227000001</v>
      </c>
      <c r="I1199">
        <v>1314.0848389</v>
      </c>
      <c r="J1199">
        <v>1306.5544434000001</v>
      </c>
      <c r="K1199">
        <v>2400</v>
      </c>
      <c r="L1199">
        <v>0</v>
      </c>
      <c r="M1199">
        <v>0</v>
      </c>
      <c r="N1199">
        <v>2400</v>
      </c>
    </row>
    <row r="1200" spans="1:14" x14ac:dyDescent="0.25">
      <c r="A1200">
        <v>738.01696600000002</v>
      </c>
      <c r="B1200" s="1">
        <f>DATE(2012,5,8) + TIME(0,24,25)</f>
        <v>41037.016956018517</v>
      </c>
      <c r="C1200">
        <v>80</v>
      </c>
      <c r="D1200">
        <v>79.958969116000006</v>
      </c>
      <c r="E1200">
        <v>50</v>
      </c>
      <c r="F1200">
        <v>49.314075469999999</v>
      </c>
      <c r="G1200">
        <v>1356.5722656</v>
      </c>
      <c r="H1200">
        <v>1349.5334473</v>
      </c>
      <c r="I1200">
        <v>1314.0826416</v>
      </c>
      <c r="J1200">
        <v>1306.5516356999999</v>
      </c>
      <c r="K1200">
        <v>2400</v>
      </c>
      <c r="L1200">
        <v>0</v>
      </c>
      <c r="M1200">
        <v>0</v>
      </c>
      <c r="N1200">
        <v>2400</v>
      </c>
    </row>
    <row r="1201" spans="1:14" x14ac:dyDescent="0.25">
      <c r="A1201">
        <v>738.23568299999999</v>
      </c>
      <c r="B1201" s="1">
        <f>DATE(2012,5,8) + TIME(5,39,22)</f>
        <v>41037.235671296294</v>
      </c>
      <c r="C1201">
        <v>80</v>
      </c>
      <c r="D1201">
        <v>79.959091186999999</v>
      </c>
      <c r="E1201">
        <v>50</v>
      </c>
      <c r="F1201">
        <v>49.296756744</v>
      </c>
      <c r="G1201">
        <v>1356.5441894999999</v>
      </c>
      <c r="H1201">
        <v>1349.5140381000001</v>
      </c>
      <c r="I1201">
        <v>1314.0804443</v>
      </c>
      <c r="J1201">
        <v>1306.5488281</v>
      </c>
      <c r="K1201">
        <v>2400</v>
      </c>
      <c r="L1201">
        <v>0</v>
      </c>
      <c r="M1201">
        <v>0</v>
      </c>
      <c r="N1201">
        <v>2400</v>
      </c>
    </row>
    <row r="1202" spans="1:14" x14ac:dyDescent="0.25">
      <c r="A1202">
        <v>738.45713799999999</v>
      </c>
      <c r="B1202" s="1">
        <f>DATE(2012,5,8) + TIME(10,58,16)</f>
        <v>41037.457129629627</v>
      </c>
      <c r="C1202">
        <v>80</v>
      </c>
      <c r="D1202">
        <v>79.959175110000004</v>
      </c>
      <c r="E1202">
        <v>50</v>
      </c>
      <c r="F1202">
        <v>49.279277802000003</v>
      </c>
      <c r="G1202">
        <v>1356.5163574000001</v>
      </c>
      <c r="H1202">
        <v>1349.4949951000001</v>
      </c>
      <c r="I1202">
        <v>1314.0782471</v>
      </c>
      <c r="J1202">
        <v>1306.5460204999999</v>
      </c>
      <c r="K1202">
        <v>2400</v>
      </c>
      <c r="L1202">
        <v>0</v>
      </c>
      <c r="M1202">
        <v>0</v>
      </c>
      <c r="N1202">
        <v>2400</v>
      </c>
    </row>
    <row r="1203" spans="1:14" x14ac:dyDescent="0.25">
      <c r="A1203">
        <v>738.68186800000001</v>
      </c>
      <c r="B1203" s="1">
        <f>DATE(2012,5,8) + TIME(16,21,53)</f>
        <v>41037.681863425925</v>
      </c>
      <c r="C1203">
        <v>80</v>
      </c>
      <c r="D1203">
        <v>79.959243774000001</v>
      </c>
      <c r="E1203">
        <v>50</v>
      </c>
      <c r="F1203">
        <v>49.261611938000001</v>
      </c>
      <c r="G1203">
        <v>1356.4890137</v>
      </c>
      <c r="H1203">
        <v>1349.4761963000001</v>
      </c>
      <c r="I1203">
        <v>1314.0760498</v>
      </c>
      <c r="J1203">
        <v>1306.5430908000001</v>
      </c>
      <c r="K1203">
        <v>2400</v>
      </c>
      <c r="L1203">
        <v>0</v>
      </c>
      <c r="M1203">
        <v>0</v>
      </c>
      <c r="N1203">
        <v>2400</v>
      </c>
    </row>
    <row r="1204" spans="1:14" x14ac:dyDescent="0.25">
      <c r="A1204">
        <v>738.91026499999998</v>
      </c>
      <c r="B1204" s="1">
        <f>DATE(2012,5,8) + TIME(21,50,46)</f>
        <v>41037.910254629627</v>
      </c>
      <c r="C1204">
        <v>80</v>
      </c>
      <c r="D1204">
        <v>79.959297179999993</v>
      </c>
      <c r="E1204">
        <v>50</v>
      </c>
      <c r="F1204">
        <v>49.243740082000002</v>
      </c>
      <c r="G1204">
        <v>1356.4617920000001</v>
      </c>
      <c r="H1204">
        <v>1349.4575195</v>
      </c>
      <c r="I1204">
        <v>1314.0737305</v>
      </c>
      <c r="J1204">
        <v>1306.5401611</v>
      </c>
      <c r="K1204">
        <v>2400</v>
      </c>
      <c r="L1204">
        <v>0</v>
      </c>
      <c r="M1204">
        <v>0</v>
      </c>
      <c r="N1204">
        <v>2400</v>
      </c>
    </row>
    <row r="1205" spans="1:14" x14ac:dyDescent="0.25">
      <c r="A1205">
        <v>739.142831</v>
      </c>
      <c r="B1205" s="1">
        <f>DATE(2012,5,9) + TIME(3,25,40)</f>
        <v>41038.142824074072</v>
      </c>
      <c r="C1205">
        <v>80</v>
      </c>
      <c r="D1205">
        <v>79.959335327000005</v>
      </c>
      <c r="E1205">
        <v>50</v>
      </c>
      <c r="F1205">
        <v>49.225631714000002</v>
      </c>
      <c r="G1205">
        <v>1356.4348144999999</v>
      </c>
      <c r="H1205">
        <v>1349.4390868999999</v>
      </c>
      <c r="I1205">
        <v>1314.0715332</v>
      </c>
      <c r="J1205">
        <v>1306.5372314000001</v>
      </c>
      <c r="K1205">
        <v>2400</v>
      </c>
      <c r="L1205">
        <v>0</v>
      </c>
      <c r="M1205">
        <v>0</v>
      </c>
      <c r="N1205">
        <v>2400</v>
      </c>
    </row>
    <row r="1206" spans="1:14" x14ac:dyDescent="0.25">
      <c r="A1206">
        <v>739.38009199999999</v>
      </c>
      <c r="B1206" s="1">
        <f>DATE(2012,5,9) + TIME(9,7,19)</f>
        <v>41038.38008101852</v>
      </c>
      <c r="C1206">
        <v>80</v>
      </c>
      <c r="D1206">
        <v>79.959358214999995</v>
      </c>
      <c r="E1206">
        <v>50</v>
      </c>
      <c r="F1206">
        <v>49.207252502000003</v>
      </c>
      <c r="G1206">
        <v>1356.4079589999999</v>
      </c>
      <c r="H1206">
        <v>1349.4207764</v>
      </c>
      <c r="I1206">
        <v>1314.0690918</v>
      </c>
      <c r="J1206">
        <v>1306.5341797000001</v>
      </c>
      <c r="K1206">
        <v>2400</v>
      </c>
      <c r="L1206">
        <v>0</v>
      </c>
      <c r="M1206">
        <v>0</v>
      </c>
      <c r="N1206">
        <v>2400</v>
      </c>
    </row>
    <row r="1207" spans="1:14" x14ac:dyDescent="0.25">
      <c r="A1207">
        <v>739.621216</v>
      </c>
      <c r="B1207" s="1">
        <f>DATE(2012,5,9) + TIME(14,54,33)</f>
        <v>41038.621215277781</v>
      </c>
      <c r="C1207">
        <v>80</v>
      </c>
      <c r="D1207">
        <v>79.959373474000003</v>
      </c>
      <c r="E1207">
        <v>50</v>
      </c>
      <c r="F1207">
        <v>49.188655853</v>
      </c>
      <c r="G1207">
        <v>1356.3812256000001</v>
      </c>
      <c r="H1207">
        <v>1349.4025879000001</v>
      </c>
      <c r="I1207">
        <v>1314.0666504000001</v>
      </c>
      <c r="J1207">
        <v>1306.5311279</v>
      </c>
      <c r="K1207">
        <v>2400</v>
      </c>
      <c r="L1207">
        <v>0</v>
      </c>
      <c r="M1207">
        <v>0</v>
      </c>
      <c r="N1207">
        <v>2400</v>
      </c>
    </row>
    <row r="1208" spans="1:14" x14ac:dyDescent="0.25">
      <c r="A1208">
        <v>739.86536799999999</v>
      </c>
      <c r="B1208" s="1">
        <f>DATE(2012,5,9) + TIME(20,46,7)</f>
        <v>41038.865358796298</v>
      </c>
      <c r="C1208">
        <v>80</v>
      </c>
      <c r="D1208">
        <v>79.959381104000002</v>
      </c>
      <c r="E1208">
        <v>50</v>
      </c>
      <c r="F1208">
        <v>49.169891356999997</v>
      </c>
      <c r="G1208">
        <v>1356.3546143000001</v>
      </c>
      <c r="H1208">
        <v>1349.3845214999999</v>
      </c>
      <c r="I1208">
        <v>1314.0642089999999</v>
      </c>
      <c r="J1208">
        <v>1306.5279541</v>
      </c>
      <c r="K1208">
        <v>2400</v>
      </c>
      <c r="L1208">
        <v>0</v>
      </c>
      <c r="M1208">
        <v>0</v>
      </c>
      <c r="N1208">
        <v>2400</v>
      </c>
    </row>
    <row r="1209" spans="1:14" x14ac:dyDescent="0.25">
      <c r="A1209">
        <v>740.11305900000002</v>
      </c>
      <c r="B1209" s="1">
        <f>DATE(2012,5,10) + TIME(2,42,48)</f>
        <v>41039.113055555557</v>
      </c>
      <c r="C1209">
        <v>80</v>
      </c>
      <c r="D1209">
        <v>79.959381104000002</v>
      </c>
      <c r="E1209">
        <v>50</v>
      </c>
      <c r="F1209">
        <v>49.150936127000001</v>
      </c>
      <c r="G1209">
        <v>1356.3282471</v>
      </c>
      <c r="H1209">
        <v>1349.3666992000001</v>
      </c>
      <c r="I1209">
        <v>1314.0617675999999</v>
      </c>
      <c r="J1209">
        <v>1306.5246582</v>
      </c>
      <c r="K1209">
        <v>2400</v>
      </c>
      <c r="L1209">
        <v>0</v>
      </c>
      <c r="M1209">
        <v>0</v>
      </c>
      <c r="N1209">
        <v>2400</v>
      </c>
    </row>
    <row r="1210" spans="1:14" x14ac:dyDescent="0.25">
      <c r="A1210">
        <v>740.36486500000001</v>
      </c>
      <c r="B1210" s="1">
        <f>DATE(2012,5,10) + TIME(8,45,24)</f>
        <v>41039.364861111113</v>
      </c>
      <c r="C1210">
        <v>80</v>
      </c>
      <c r="D1210">
        <v>79.959373474000003</v>
      </c>
      <c r="E1210">
        <v>50</v>
      </c>
      <c r="F1210">
        <v>49.131759643999999</v>
      </c>
      <c r="G1210">
        <v>1356.302124</v>
      </c>
      <c r="H1210">
        <v>1349.348999</v>
      </c>
      <c r="I1210">
        <v>1314.0592041</v>
      </c>
      <c r="J1210">
        <v>1306.5214844</v>
      </c>
      <c r="K1210">
        <v>2400</v>
      </c>
      <c r="L1210">
        <v>0</v>
      </c>
      <c r="M1210">
        <v>0</v>
      </c>
      <c r="N1210">
        <v>2400</v>
      </c>
    </row>
    <row r="1211" spans="1:14" x14ac:dyDescent="0.25">
      <c r="A1211">
        <v>740.62116600000002</v>
      </c>
      <c r="B1211" s="1">
        <f>DATE(2012,5,10) + TIME(14,54,28)</f>
        <v>41039.621157407404</v>
      </c>
      <c r="C1211">
        <v>80</v>
      </c>
      <c r="D1211">
        <v>79.959358214999995</v>
      </c>
      <c r="E1211">
        <v>50</v>
      </c>
      <c r="F1211">
        <v>49.112335205000001</v>
      </c>
      <c r="G1211">
        <v>1356.2761230000001</v>
      </c>
      <c r="H1211">
        <v>1349.3314209</v>
      </c>
      <c r="I1211">
        <v>1314.0566406</v>
      </c>
      <c r="J1211">
        <v>1306.5181885</v>
      </c>
      <c r="K1211">
        <v>2400</v>
      </c>
      <c r="L1211">
        <v>0</v>
      </c>
      <c r="M1211">
        <v>0</v>
      </c>
      <c r="N1211">
        <v>2400</v>
      </c>
    </row>
    <row r="1212" spans="1:14" x14ac:dyDescent="0.25">
      <c r="A1212">
        <v>740.88248399999998</v>
      </c>
      <c r="B1212" s="1">
        <f>DATE(2012,5,10) + TIME(21,10,46)</f>
        <v>41039.882476851853</v>
      </c>
      <c r="C1212">
        <v>80</v>
      </c>
      <c r="D1212">
        <v>79.959342957000004</v>
      </c>
      <c r="E1212">
        <v>50</v>
      </c>
      <c r="F1212">
        <v>49.092639923</v>
      </c>
      <c r="G1212">
        <v>1356.2502440999999</v>
      </c>
      <c r="H1212">
        <v>1349.3140868999999</v>
      </c>
      <c r="I1212">
        <v>1314.0539550999999</v>
      </c>
      <c r="J1212">
        <v>1306.5147704999999</v>
      </c>
      <c r="K1212">
        <v>2400</v>
      </c>
      <c r="L1212">
        <v>0</v>
      </c>
      <c r="M1212">
        <v>0</v>
      </c>
      <c r="N1212">
        <v>2400</v>
      </c>
    </row>
    <row r="1213" spans="1:14" x14ac:dyDescent="0.25">
      <c r="A1213">
        <v>741.14937599999996</v>
      </c>
      <c r="B1213" s="1">
        <f>DATE(2012,5,11) + TIME(3,35,6)</f>
        <v>41040.149375000001</v>
      </c>
      <c r="C1213">
        <v>80</v>
      </c>
      <c r="D1213">
        <v>79.959327697999996</v>
      </c>
      <c r="E1213">
        <v>50</v>
      </c>
      <c r="F1213">
        <v>49.072635650999999</v>
      </c>
      <c r="G1213">
        <v>1356.2244873</v>
      </c>
      <c r="H1213">
        <v>1349.2966309000001</v>
      </c>
      <c r="I1213">
        <v>1314.0512695</v>
      </c>
      <c r="J1213">
        <v>1306.5113524999999</v>
      </c>
      <c r="K1213">
        <v>2400</v>
      </c>
      <c r="L1213">
        <v>0</v>
      </c>
      <c r="M1213">
        <v>0</v>
      </c>
      <c r="N1213">
        <v>2400</v>
      </c>
    </row>
    <row r="1214" spans="1:14" x14ac:dyDescent="0.25">
      <c r="A1214">
        <v>741.42244800000003</v>
      </c>
      <c r="B1214" s="1">
        <f>DATE(2012,5,11) + TIME(10,8,19)</f>
        <v>41040.422442129631</v>
      </c>
      <c r="C1214">
        <v>80</v>
      </c>
      <c r="D1214">
        <v>79.959304810000006</v>
      </c>
      <c r="E1214">
        <v>50</v>
      </c>
      <c r="F1214">
        <v>49.052288054999998</v>
      </c>
      <c r="G1214">
        <v>1356.1986084</v>
      </c>
      <c r="H1214">
        <v>1349.2792969</v>
      </c>
      <c r="I1214">
        <v>1314.0485839999999</v>
      </c>
      <c r="J1214">
        <v>1306.5078125</v>
      </c>
      <c r="K1214">
        <v>2400</v>
      </c>
      <c r="L1214">
        <v>0</v>
      </c>
      <c r="M1214">
        <v>0</v>
      </c>
      <c r="N1214">
        <v>2400</v>
      </c>
    </row>
    <row r="1215" spans="1:14" x14ac:dyDescent="0.25">
      <c r="A1215">
        <v>741.70235600000001</v>
      </c>
      <c r="B1215" s="1">
        <f>DATE(2012,5,11) + TIME(16,51,23)</f>
        <v>41040.702349537038</v>
      </c>
      <c r="C1215">
        <v>80</v>
      </c>
      <c r="D1215">
        <v>79.959281920999999</v>
      </c>
      <c r="E1215">
        <v>50</v>
      </c>
      <c r="F1215">
        <v>49.031558990000001</v>
      </c>
      <c r="G1215">
        <v>1356.1728516000001</v>
      </c>
      <c r="H1215">
        <v>1349.2619629000001</v>
      </c>
      <c r="I1215">
        <v>1314.0457764</v>
      </c>
      <c r="J1215">
        <v>1306.5041504000001</v>
      </c>
      <c r="K1215">
        <v>2400</v>
      </c>
      <c r="L1215">
        <v>0</v>
      </c>
      <c r="M1215">
        <v>0</v>
      </c>
      <c r="N1215">
        <v>2400</v>
      </c>
    </row>
    <row r="1216" spans="1:14" x14ac:dyDescent="0.25">
      <c r="A1216">
        <v>741.98983199999998</v>
      </c>
      <c r="B1216" s="1">
        <f>DATE(2012,5,11) + TIME(23,45,21)</f>
        <v>41040.98982638889</v>
      </c>
      <c r="C1216">
        <v>80</v>
      </c>
      <c r="D1216">
        <v>79.959251404</v>
      </c>
      <c r="E1216">
        <v>50</v>
      </c>
      <c r="F1216">
        <v>49.010402679000002</v>
      </c>
      <c r="G1216">
        <v>1356.1468506000001</v>
      </c>
      <c r="H1216">
        <v>1349.2446289</v>
      </c>
      <c r="I1216">
        <v>1314.0428466999999</v>
      </c>
      <c r="J1216">
        <v>1306.5003661999999</v>
      </c>
      <c r="K1216">
        <v>2400</v>
      </c>
      <c r="L1216">
        <v>0</v>
      </c>
      <c r="M1216">
        <v>0</v>
      </c>
      <c r="N1216">
        <v>2400</v>
      </c>
    </row>
    <row r="1217" spans="1:14" x14ac:dyDescent="0.25">
      <c r="A1217">
        <v>742.28567599999997</v>
      </c>
      <c r="B1217" s="1">
        <f>DATE(2012,5,12) + TIME(6,51,22)</f>
        <v>41041.285671296297</v>
      </c>
      <c r="C1217">
        <v>80</v>
      </c>
      <c r="D1217">
        <v>79.959220885999997</v>
      </c>
      <c r="E1217">
        <v>50</v>
      </c>
      <c r="F1217">
        <v>48.988773346000002</v>
      </c>
      <c r="G1217">
        <v>1356.1208495999999</v>
      </c>
      <c r="H1217">
        <v>1349.2271728999999</v>
      </c>
      <c r="I1217">
        <v>1314.0399170000001</v>
      </c>
      <c r="J1217">
        <v>1306.496582</v>
      </c>
      <c r="K1217">
        <v>2400</v>
      </c>
      <c r="L1217">
        <v>0</v>
      </c>
      <c r="M1217">
        <v>0</v>
      </c>
      <c r="N1217">
        <v>2400</v>
      </c>
    </row>
    <row r="1218" spans="1:14" x14ac:dyDescent="0.25">
      <c r="A1218">
        <v>742.590778</v>
      </c>
      <c r="B1218" s="1">
        <f>DATE(2012,5,12) + TIME(14,10,43)</f>
        <v>41041.590775462966</v>
      </c>
      <c r="C1218">
        <v>80</v>
      </c>
      <c r="D1218">
        <v>79.959190368999998</v>
      </c>
      <c r="E1218">
        <v>50</v>
      </c>
      <c r="F1218">
        <v>48.966617583999998</v>
      </c>
      <c r="G1218">
        <v>1356.0946045000001</v>
      </c>
      <c r="H1218">
        <v>1349.2097168</v>
      </c>
      <c r="I1218">
        <v>1314.0368652</v>
      </c>
      <c r="J1218">
        <v>1306.4926757999999</v>
      </c>
      <c r="K1218">
        <v>2400</v>
      </c>
      <c r="L1218">
        <v>0</v>
      </c>
      <c r="M1218">
        <v>0</v>
      </c>
      <c r="N1218">
        <v>2400</v>
      </c>
    </row>
    <row r="1219" spans="1:14" x14ac:dyDescent="0.25">
      <c r="A1219">
        <v>742.90513699999997</v>
      </c>
      <c r="B1219" s="1">
        <f>DATE(2012,5,12) + TIME(21,43,23)</f>
        <v>41041.905127314814</v>
      </c>
      <c r="C1219">
        <v>80</v>
      </c>
      <c r="D1219">
        <v>79.959159850999995</v>
      </c>
      <c r="E1219">
        <v>50</v>
      </c>
      <c r="F1219">
        <v>48.943927764999998</v>
      </c>
      <c r="G1219">
        <v>1356.0681152</v>
      </c>
      <c r="H1219">
        <v>1349.1920166</v>
      </c>
      <c r="I1219">
        <v>1314.0335693</v>
      </c>
      <c r="J1219">
        <v>1306.4885254000001</v>
      </c>
      <c r="K1219">
        <v>2400</v>
      </c>
      <c r="L1219">
        <v>0</v>
      </c>
      <c r="M1219">
        <v>0</v>
      </c>
      <c r="N1219">
        <v>2400</v>
      </c>
    </row>
    <row r="1220" spans="1:14" x14ac:dyDescent="0.25">
      <c r="A1220">
        <v>743.22557400000005</v>
      </c>
      <c r="B1220" s="1">
        <f>DATE(2012,5,13) + TIME(5,24,49)</f>
        <v>41042.22556712963</v>
      </c>
      <c r="C1220">
        <v>80</v>
      </c>
      <c r="D1220">
        <v>79.959121703999998</v>
      </c>
      <c r="E1220">
        <v>50</v>
      </c>
      <c r="F1220">
        <v>48.920871734999999</v>
      </c>
      <c r="G1220">
        <v>1356.0413818</v>
      </c>
      <c r="H1220">
        <v>1349.1741943</v>
      </c>
      <c r="I1220">
        <v>1314.0302733999999</v>
      </c>
      <c r="J1220">
        <v>1306.484375</v>
      </c>
      <c r="K1220">
        <v>2400</v>
      </c>
      <c r="L1220">
        <v>0</v>
      </c>
      <c r="M1220">
        <v>0</v>
      </c>
      <c r="N1220">
        <v>2400</v>
      </c>
    </row>
    <row r="1221" spans="1:14" x14ac:dyDescent="0.25">
      <c r="A1221">
        <v>743.55276800000001</v>
      </c>
      <c r="B1221" s="1">
        <f>DATE(2012,5,13) + TIME(13,15,59)</f>
        <v>41042.552766203706</v>
      </c>
      <c r="C1221">
        <v>80</v>
      </c>
      <c r="D1221">
        <v>79.959091186999999</v>
      </c>
      <c r="E1221">
        <v>50</v>
      </c>
      <c r="F1221">
        <v>48.897422790999997</v>
      </c>
      <c r="G1221">
        <v>1356.0146483999999</v>
      </c>
      <c r="H1221">
        <v>1349.1564940999999</v>
      </c>
      <c r="I1221">
        <v>1314.0269774999999</v>
      </c>
      <c r="J1221">
        <v>1306.4799805</v>
      </c>
      <c r="K1221">
        <v>2400</v>
      </c>
      <c r="L1221">
        <v>0</v>
      </c>
      <c r="M1221">
        <v>0</v>
      </c>
      <c r="N1221">
        <v>2400</v>
      </c>
    </row>
    <row r="1222" spans="1:14" x14ac:dyDescent="0.25">
      <c r="A1222">
        <v>743.88741000000005</v>
      </c>
      <c r="B1222" s="1">
        <f>DATE(2012,5,13) + TIME(21,17,52)</f>
        <v>41042.887407407405</v>
      </c>
      <c r="C1222">
        <v>80</v>
      </c>
      <c r="D1222">
        <v>79.959053040000001</v>
      </c>
      <c r="E1222">
        <v>50</v>
      </c>
      <c r="F1222">
        <v>48.873558043999999</v>
      </c>
      <c r="G1222">
        <v>1355.9880370999999</v>
      </c>
      <c r="H1222">
        <v>1349.1389160000001</v>
      </c>
      <c r="I1222">
        <v>1314.0235596</v>
      </c>
      <c r="J1222">
        <v>1306.4755858999999</v>
      </c>
      <c r="K1222">
        <v>2400</v>
      </c>
      <c r="L1222">
        <v>0</v>
      </c>
      <c r="M1222">
        <v>0</v>
      </c>
      <c r="N1222">
        <v>2400</v>
      </c>
    </row>
    <row r="1223" spans="1:14" x14ac:dyDescent="0.25">
      <c r="A1223">
        <v>744.22643900000003</v>
      </c>
      <c r="B1223" s="1">
        <f>DATE(2012,5,14) + TIME(5,26,4)</f>
        <v>41043.226435185185</v>
      </c>
      <c r="C1223">
        <v>80</v>
      </c>
      <c r="D1223">
        <v>79.959014893000003</v>
      </c>
      <c r="E1223">
        <v>50</v>
      </c>
      <c r="F1223">
        <v>48.849433898999997</v>
      </c>
      <c r="G1223">
        <v>1355.9613036999999</v>
      </c>
      <c r="H1223">
        <v>1349.1212158000001</v>
      </c>
      <c r="I1223">
        <v>1314.0200195</v>
      </c>
      <c r="J1223">
        <v>1306.4710693</v>
      </c>
      <c r="K1223">
        <v>2400</v>
      </c>
      <c r="L1223">
        <v>0</v>
      </c>
      <c r="M1223">
        <v>0</v>
      </c>
      <c r="N1223">
        <v>2400</v>
      </c>
    </row>
    <row r="1224" spans="1:14" x14ac:dyDescent="0.25">
      <c r="A1224">
        <v>744.56955500000004</v>
      </c>
      <c r="B1224" s="1">
        <f>DATE(2012,5,14) + TIME(13,40,9)</f>
        <v>41043.569548611114</v>
      </c>
      <c r="C1224">
        <v>80</v>
      </c>
      <c r="D1224">
        <v>79.958969116000006</v>
      </c>
      <c r="E1224">
        <v>50</v>
      </c>
      <c r="F1224">
        <v>48.825088501000003</v>
      </c>
      <c r="G1224">
        <v>1355.9349365</v>
      </c>
      <c r="H1224">
        <v>1349.1036377</v>
      </c>
      <c r="I1224">
        <v>1314.0163574000001</v>
      </c>
      <c r="J1224">
        <v>1306.4665527</v>
      </c>
      <c r="K1224">
        <v>2400</v>
      </c>
      <c r="L1224">
        <v>0</v>
      </c>
      <c r="M1224">
        <v>0</v>
      </c>
      <c r="N1224">
        <v>2400</v>
      </c>
    </row>
    <row r="1225" spans="1:14" x14ac:dyDescent="0.25">
      <c r="A1225">
        <v>744.91750300000001</v>
      </c>
      <c r="B1225" s="1">
        <f>DATE(2012,5,14) + TIME(22,1,12)</f>
        <v>41043.917500000003</v>
      </c>
      <c r="C1225">
        <v>80</v>
      </c>
      <c r="D1225">
        <v>79.958930968999994</v>
      </c>
      <c r="E1225">
        <v>50</v>
      </c>
      <c r="F1225">
        <v>48.800502776999998</v>
      </c>
      <c r="G1225">
        <v>1355.9086914</v>
      </c>
      <c r="H1225">
        <v>1349.0863036999999</v>
      </c>
      <c r="I1225">
        <v>1314.0126952999999</v>
      </c>
      <c r="J1225">
        <v>1306.4617920000001</v>
      </c>
      <c r="K1225">
        <v>2400</v>
      </c>
      <c r="L1225">
        <v>0</v>
      </c>
      <c r="M1225">
        <v>0</v>
      </c>
      <c r="N1225">
        <v>2400</v>
      </c>
    </row>
    <row r="1226" spans="1:14" x14ac:dyDescent="0.25">
      <c r="A1226">
        <v>745.27017000000001</v>
      </c>
      <c r="B1226" s="1">
        <f>DATE(2012,5,15) + TIME(6,29,2)</f>
        <v>41044.270162037035</v>
      </c>
      <c r="C1226">
        <v>80</v>
      </c>
      <c r="D1226">
        <v>79.958892821999996</v>
      </c>
      <c r="E1226">
        <v>50</v>
      </c>
      <c r="F1226">
        <v>48.775688170999999</v>
      </c>
      <c r="G1226">
        <v>1355.8825684000001</v>
      </c>
      <c r="H1226">
        <v>1349.0690918</v>
      </c>
      <c r="I1226">
        <v>1314.0090332</v>
      </c>
      <c r="J1226">
        <v>1306.4570312000001</v>
      </c>
      <c r="K1226">
        <v>2400</v>
      </c>
      <c r="L1226">
        <v>0</v>
      </c>
      <c r="M1226">
        <v>0</v>
      </c>
      <c r="N1226">
        <v>2400</v>
      </c>
    </row>
    <row r="1227" spans="1:14" x14ac:dyDescent="0.25">
      <c r="A1227">
        <v>745.62815399999999</v>
      </c>
      <c r="B1227" s="1">
        <f>DATE(2012,5,15) + TIME(15,4,32)</f>
        <v>41044.628148148149</v>
      </c>
      <c r="C1227">
        <v>80</v>
      </c>
      <c r="D1227">
        <v>79.958854674999998</v>
      </c>
      <c r="E1227">
        <v>50</v>
      </c>
      <c r="F1227">
        <v>48.750621795999997</v>
      </c>
      <c r="G1227">
        <v>1355.8566894999999</v>
      </c>
      <c r="H1227">
        <v>1349.0520019999999</v>
      </c>
      <c r="I1227">
        <v>1314.005249</v>
      </c>
      <c r="J1227">
        <v>1306.4522704999999</v>
      </c>
      <c r="K1227">
        <v>2400</v>
      </c>
      <c r="L1227">
        <v>0</v>
      </c>
      <c r="M1227">
        <v>0</v>
      </c>
      <c r="N1227">
        <v>2400</v>
      </c>
    </row>
    <row r="1228" spans="1:14" x14ac:dyDescent="0.25">
      <c r="A1228">
        <v>745.98979199999997</v>
      </c>
      <c r="B1228" s="1">
        <f>DATE(2012,5,15) + TIME(23,45,18)</f>
        <v>41044.989791666667</v>
      </c>
      <c r="C1228">
        <v>80</v>
      </c>
      <c r="D1228">
        <v>79.958816528</v>
      </c>
      <c r="E1228">
        <v>50</v>
      </c>
      <c r="F1228">
        <v>48.725395202999998</v>
      </c>
      <c r="G1228">
        <v>1355.8309326000001</v>
      </c>
      <c r="H1228">
        <v>1349.0350341999999</v>
      </c>
      <c r="I1228">
        <v>1314.0013428</v>
      </c>
      <c r="J1228">
        <v>1306.4472656</v>
      </c>
      <c r="K1228">
        <v>2400</v>
      </c>
      <c r="L1228">
        <v>0</v>
      </c>
      <c r="M1228">
        <v>0</v>
      </c>
      <c r="N1228">
        <v>2400</v>
      </c>
    </row>
    <row r="1229" spans="1:14" x14ac:dyDescent="0.25">
      <c r="A1229">
        <v>746.35463400000003</v>
      </c>
      <c r="B1229" s="1">
        <f>DATE(2012,5,16) + TIME(8,30,40)</f>
        <v>41045.354629629626</v>
      </c>
      <c r="C1229">
        <v>80</v>
      </c>
      <c r="D1229">
        <v>79.958770752000007</v>
      </c>
      <c r="E1229">
        <v>50</v>
      </c>
      <c r="F1229">
        <v>48.700038910000004</v>
      </c>
      <c r="G1229">
        <v>1355.8054199000001</v>
      </c>
      <c r="H1229">
        <v>1349.0183105000001</v>
      </c>
      <c r="I1229">
        <v>1313.9974365</v>
      </c>
      <c r="J1229">
        <v>1306.4423827999999</v>
      </c>
      <c r="K1229">
        <v>2400</v>
      </c>
      <c r="L1229">
        <v>0</v>
      </c>
      <c r="M1229">
        <v>0</v>
      </c>
      <c r="N1229">
        <v>2400</v>
      </c>
    </row>
    <row r="1230" spans="1:14" x14ac:dyDescent="0.25">
      <c r="A1230">
        <v>746.72339999999997</v>
      </c>
      <c r="B1230" s="1">
        <f>DATE(2012,5,16) + TIME(17,21,41)</f>
        <v>41045.723391203705</v>
      </c>
      <c r="C1230">
        <v>80</v>
      </c>
      <c r="D1230">
        <v>79.958732604999994</v>
      </c>
      <c r="E1230">
        <v>50</v>
      </c>
      <c r="F1230">
        <v>48.674533844000003</v>
      </c>
      <c r="G1230">
        <v>1355.7802733999999</v>
      </c>
      <c r="H1230">
        <v>1349.0017089999999</v>
      </c>
      <c r="I1230">
        <v>1313.9935303</v>
      </c>
      <c r="J1230">
        <v>1306.4372559000001</v>
      </c>
      <c r="K1230">
        <v>2400</v>
      </c>
      <c r="L1230">
        <v>0</v>
      </c>
      <c r="M1230">
        <v>0</v>
      </c>
      <c r="N1230">
        <v>2400</v>
      </c>
    </row>
    <row r="1231" spans="1:14" x14ac:dyDescent="0.25">
      <c r="A1231">
        <v>747.09693600000003</v>
      </c>
      <c r="B1231" s="1">
        <f>DATE(2012,5,17) + TIME(2,19,35)</f>
        <v>41046.096932870372</v>
      </c>
      <c r="C1231">
        <v>80</v>
      </c>
      <c r="D1231">
        <v>79.958694457999997</v>
      </c>
      <c r="E1231">
        <v>50</v>
      </c>
      <c r="F1231">
        <v>48.648838042999998</v>
      </c>
      <c r="G1231">
        <v>1355.755249</v>
      </c>
      <c r="H1231">
        <v>1348.9853516000001</v>
      </c>
      <c r="I1231">
        <v>1313.9895019999999</v>
      </c>
      <c r="J1231">
        <v>1306.4321289</v>
      </c>
      <c r="K1231">
        <v>2400</v>
      </c>
      <c r="L1231">
        <v>0</v>
      </c>
      <c r="M1231">
        <v>0</v>
      </c>
      <c r="N1231">
        <v>2400</v>
      </c>
    </row>
    <row r="1232" spans="1:14" x14ac:dyDescent="0.25">
      <c r="A1232">
        <v>747.47595000000001</v>
      </c>
      <c r="B1232" s="1">
        <f>DATE(2012,5,17) + TIME(11,25,22)</f>
        <v>41046.475949074076</v>
      </c>
      <c r="C1232">
        <v>80</v>
      </c>
      <c r="D1232">
        <v>79.958656310999999</v>
      </c>
      <c r="E1232">
        <v>50</v>
      </c>
      <c r="F1232">
        <v>48.622924804999997</v>
      </c>
      <c r="G1232">
        <v>1355.7303466999999</v>
      </c>
      <c r="H1232">
        <v>1348.9689940999999</v>
      </c>
      <c r="I1232">
        <v>1313.9854736</v>
      </c>
      <c r="J1232">
        <v>1306.4268798999999</v>
      </c>
      <c r="K1232">
        <v>2400</v>
      </c>
      <c r="L1232">
        <v>0</v>
      </c>
      <c r="M1232">
        <v>0</v>
      </c>
      <c r="N1232">
        <v>2400</v>
      </c>
    </row>
    <row r="1233" spans="1:14" x14ac:dyDescent="0.25">
      <c r="A1233">
        <v>747.86118399999998</v>
      </c>
      <c r="B1233" s="1">
        <f>DATE(2012,5,17) + TIME(20,40,6)</f>
        <v>41046.861180555556</v>
      </c>
      <c r="C1233">
        <v>80</v>
      </c>
      <c r="D1233">
        <v>79.958610535000005</v>
      </c>
      <c r="E1233">
        <v>50</v>
      </c>
      <c r="F1233">
        <v>48.596752166999998</v>
      </c>
      <c r="G1233">
        <v>1355.7055664</v>
      </c>
      <c r="H1233">
        <v>1348.9527588000001</v>
      </c>
      <c r="I1233">
        <v>1313.9813231999999</v>
      </c>
      <c r="J1233">
        <v>1306.4216309000001</v>
      </c>
      <c r="K1233">
        <v>2400</v>
      </c>
      <c r="L1233">
        <v>0</v>
      </c>
      <c r="M1233">
        <v>0</v>
      </c>
      <c r="N1233">
        <v>2400</v>
      </c>
    </row>
    <row r="1234" spans="1:14" x14ac:dyDescent="0.25">
      <c r="A1234">
        <v>748.25347899999997</v>
      </c>
      <c r="B1234" s="1">
        <f>DATE(2012,5,18) + TIME(6,5,0)</f>
        <v>41047.253472222219</v>
      </c>
      <c r="C1234">
        <v>80</v>
      </c>
      <c r="D1234">
        <v>79.958572387999993</v>
      </c>
      <c r="E1234">
        <v>50</v>
      </c>
      <c r="F1234">
        <v>48.570278168000002</v>
      </c>
      <c r="G1234">
        <v>1355.6809082</v>
      </c>
      <c r="H1234">
        <v>1348.9365233999999</v>
      </c>
      <c r="I1234">
        <v>1313.9770507999999</v>
      </c>
      <c r="J1234">
        <v>1306.4161377</v>
      </c>
      <c r="K1234">
        <v>2400</v>
      </c>
      <c r="L1234">
        <v>0</v>
      </c>
      <c r="M1234">
        <v>0</v>
      </c>
      <c r="N1234">
        <v>2400</v>
      </c>
    </row>
    <row r="1235" spans="1:14" x14ac:dyDescent="0.25">
      <c r="A1235">
        <v>748.65345200000002</v>
      </c>
      <c r="B1235" s="1">
        <f>DATE(2012,5,18) + TIME(15,40,58)</f>
        <v>41047.653449074074</v>
      </c>
      <c r="C1235">
        <v>80</v>
      </c>
      <c r="D1235">
        <v>79.958534240999995</v>
      </c>
      <c r="E1235">
        <v>50</v>
      </c>
      <c r="F1235">
        <v>48.543464661000002</v>
      </c>
      <c r="G1235">
        <v>1355.65625</v>
      </c>
      <c r="H1235">
        <v>1348.9204102000001</v>
      </c>
      <c r="I1235">
        <v>1313.9727783000001</v>
      </c>
      <c r="J1235">
        <v>1306.4106445</v>
      </c>
      <c r="K1235">
        <v>2400</v>
      </c>
      <c r="L1235">
        <v>0</v>
      </c>
      <c r="M1235">
        <v>0</v>
      </c>
      <c r="N1235">
        <v>2400</v>
      </c>
    </row>
    <row r="1236" spans="1:14" x14ac:dyDescent="0.25">
      <c r="A1236">
        <v>749.06079</v>
      </c>
      <c r="B1236" s="1">
        <f>DATE(2012,5,19) + TIME(1,27,32)</f>
        <v>41048.060787037037</v>
      </c>
      <c r="C1236">
        <v>80</v>
      </c>
      <c r="D1236">
        <v>79.958496093999997</v>
      </c>
      <c r="E1236">
        <v>50</v>
      </c>
      <c r="F1236">
        <v>48.516319275000001</v>
      </c>
      <c r="G1236">
        <v>1355.6314697</v>
      </c>
      <c r="H1236">
        <v>1348.9042969</v>
      </c>
      <c r="I1236">
        <v>1313.9683838000001</v>
      </c>
      <c r="J1236">
        <v>1306.4049072</v>
      </c>
      <c r="K1236">
        <v>2400</v>
      </c>
      <c r="L1236">
        <v>0</v>
      </c>
      <c r="M1236">
        <v>0</v>
      </c>
      <c r="N1236">
        <v>2400</v>
      </c>
    </row>
    <row r="1237" spans="1:14" x14ac:dyDescent="0.25">
      <c r="A1237">
        <v>749.47640699999999</v>
      </c>
      <c r="B1237" s="1">
        <f>DATE(2012,5,19) + TIME(11,26,1)</f>
        <v>41048.476400462961</v>
      </c>
      <c r="C1237">
        <v>80</v>
      </c>
      <c r="D1237">
        <v>79.958457946999999</v>
      </c>
      <c r="E1237">
        <v>50</v>
      </c>
      <c r="F1237">
        <v>48.488803863999998</v>
      </c>
      <c r="G1237">
        <v>1355.6068115</v>
      </c>
      <c r="H1237">
        <v>1348.8880615</v>
      </c>
      <c r="I1237">
        <v>1313.9638672000001</v>
      </c>
      <c r="J1237">
        <v>1306.3990478999999</v>
      </c>
      <c r="K1237">
        <v>2400</v>
      </c>
      <c r="L1237">
        <v>0</v>
      </c>
      <c r="M1237">
        <v>0</v>
      </c>
      <c r="N1237">
        <v>2400</v>
      </c>
    </row>
    <row r="1238" spans="1:14" x14ac:dyDescent="0.25">
      <c r="A1238">
        <v>749.90127199999995</v>
      </c>
      <c r="B1238" s="1">
        <f>DATE(2012,5,19) + TIME(21,37,49)</f>
        <v>41048.901261574072</v>
      </c>
      <c r="C1238">
        <v>80</v>
      </c>
      <c r="D1238">
        <v>79.958419800000001</v>
      </c>
      <c r="E1238">
        <v>50</v>
      </c>
      <c r="F1238">
        <v>48.460868834999999</v>
      </c>
      <c r="G1238">
        <v>1355.5820312000001</v>
      </c>
      <c r="H1238">
        <v>1348.8719481999999</v>
      </c>
      <c r="I1238">
        <v>1313.9592285000001</v>
      </c>
      <c r="J1238">
        <v>1306.3930664</v>
      </c>
      <c r="K1238">
        <v>2400</v>
      </c>
      <c r="L1238">
        <v>0</v>
      </c>
      <c r="M1238">
        <v>0</v>
      </c>
      <c r="N1238">
        <v>2400</v>
      </c>
    </row>
    <row r="1239" spans="1:14" x14ac:dyDescent="0.25">
      <c r="A1239">
        <v>750.33644700000002</v>
      </c>
      <c r="B1239" s="1">
        <f>DATE(2012,5,20) + TIME(8,4,28)</f>
        <v>41049.336435185185</v>
      </c>
      <c r="C1239">
        <v>80</v>
      </c>
      <c r="D1239">
        <v>79.958374023000005</v>
      </c>
      <c r="E1239">
        <v>50</v>
      </c>
      <c r="F1239">
        <v>48.432456969999997</v>
      </c>
      <c r="G1239">
        <v>1355.557251</v>
      </c>
      <c r="H1239">
        <v>1348.8557129000001</v>
      </c>
      <c r="I1239">
        <v>1313.9544678</v>
      </c>
      <c r="J1239">
        <v>1306.3869629000001</v>
      </c>
      <c r="K1239">
        <v>2400</v>
      </c>
      <c r="L1239">
        <v>0</v>
      </c>
      <c r="M1239">
        <v>0</v>
      </c>
      <c r="N1239">
        <v>2400</v>
      </c>
    </row>
    <row r="1240" spans="1:14" x14ac:dyDescent="0.25">
      <c r="A1240">
        <v>750.78309999999999</v>
      </c>
      <c r="B1240" s="1">
        <f>DATE(2012,5,20) + TIME(18,47,39)</f>
        <v>41049.783090277779</v>
      </c>
      <c r="C1240">
        <v>80</v>
      </c>
      <c r="D1240">
        <v>79.958335876000007</v>
      </c>
      <c r="E1240">
        <v>50</v>
      </c>
      <c r="F1240">
        <v>48.403514862000002</v>
      </c>
      <c r="G1240">
        <v>1355.5322266000001</v>
      </c>
      <c r="H1240">
        <v>1348.8394774999999</v>
      </c>
      <c r="I1240">
        <v>1313.9494629000001</v>
      </c>
      <c r="J1240">
        <v>1306.3806152</v>
      </c>
      <c r="K1240">
        <v>2400</v>
      </c>
      <c r="L1240">
        <v>0</v>
      </c>
      <c r="M1240">
        <v>0</v>
      </c>
      <c r="N1240">
        <v>2400</v>
      </c>
    </row>
    <row r="1241" spans="1:14" x14ac:dyDescent="0.25">
      <c r="A1241">
        <v>751.23807799999997</v>
      </c>
      <c r="B1241" s="1">
        <f>DATE(2012,5,21) + TIME(5,42,49)</f>
        <v>41050.238067129627</v>
      </c>
      <c r="C1241">
        <v>80</v>
      </c>
      <c r="D1241">
        <v>79.958297728999995</v>
      </c>
      <c r="E1241">
        <v>50</v>
      </c>
      <c r="F1241">
        <v>48.374160766999999</v>
      </c>
      <c r="G1241">
        <v>1355.5070800999999</v>
      </c>
      <c r="H1241">
        <v>1348.8229980000001</v>
      </c>
      <c r="I1241">
        <v>1313.9444579999999</v>
      </c>
      <c r="J1241">
        <v>1306.3741454999999</v>
      </c>
      <c r="K1241">
        <v>2400</v>
      </c>
      <c r="L1241">
        <v>0</v>
      </c>
      <c r="M1241">
        <v>0</v>
      </c>
      <c r="N1241">
        <v>2400</v>
      </c>
    </row>
    <row r="1242" spans="1:14" x14ac:dyDescent="0.25">
      <c r="A1242">
        <v>751.69654400000002</v>
      </c>
      <c r="B1242" s="1">
        <f>DATE(2012,5,21) + TIME(16,43,1)</f>
        <v>41050.696539351855</v>
      </c>
      <c r="C1242">
        <v>80</v>
      </c>
      <c r="D1242">
        <v>79.958259583</v>
      </c>
      <c r="E1242">
        <v>50</v>
      </c>
      <c r="F1242">
        <v>48.344615935999997</v>
      </c>
      <c r="G1242">
        <v>1355.4818115</v>
      </c>
      <c r="H1242">
        <v>1348.8065185999999</v>
      </c>
      <c r="I1242">
        <v>1313.9392089999999</v>
      </c>
      <c r="J1242">
        <v>1306.3674315999999</v>
      </c>
      <c r="K1242">
        <v>2400</v>
      </c>
      <c r="L1242">
        <v>0</v>
      </c>
      <c r="M1242">
        <v>0</v>
      </c>
      <c r="N1242">
        <v>2400</v>
      </c>
    </row>
    <row r="1243" spans="1:14" x14ac:dyDescent="0.25">
      <c r="A1243">
        <v>752.15968699999996</v>
      </c>
      <c r="B1243" s="1">
        <f>DATE(2012,5,22) + TIME(3,49,56)</f>
        <v>41051.159675925926</v>
      </c>
      <c r="C1243">
        <v>80</v>
      </c>
      <c r="D1243">
        <v>79.958221436000002</v>
      </c>
      <c r="E1243">
        <v>50</v>
      </c>
      <c r="F1243">
        <v>48.314876556000002</v>
      </c>
      <c r="G1243">
        <v>1355.4569091999999</v>
      </c>
      <c r="H1243">
        <v>1348.7902832</v>
      </c>
      <c r="I1243">
        <v>1313.9339600000001</v>
      </c>
      <c r="J1243">
        <v>1306.3607178</v>
      </c>
      <c r="K1243">
        <v>2400</v>
      </c>
      <c r="L1243">
        <v>0</v>
      </c>
      <c r="M1243">
        <v>0</v>
      </c>
      <c r="N1243">
        <v>2400</v>
      </c>
    </row>
    <row r="1244" spans="1:14" x14ac:dyDescent="0.25">
      <c r="A1244">
        <v>752.62843399999997</v>
      </c>
      <c r="B1244" s="1">
        <f>DATE(2012,5,22) + TIME(15,4,56)</f>
        <v>41051.628425925926</v>
      </c>
      <c r="C1244">
        <v>80</v>
      </c>
      <c r="D1244">
        <v>79.958183289000004</v>
      </c>
      <c r="E1244">
        <v>50</v>
      </c>
      <c r="F1244">
        <v>48.284931182999998</v>
      </c>
      <c r="G1244">
        <v>1355.432251</v>
      </c>
      <c r="H1244">
        <v>1348.7741699000001</v>
      </c>
      <c r="I1244">
        <v>1313.9285889</v>
      </c>
      <c r="J1244">
        <v>1306.3538818</v>
      </c>
      <c r="K1244">
        <v>2400</v>
      </c>
      <c r="L1244">
        <v>0</v>
      </c>
      <c r="M1244">
        <v>0</v>
      </c>
      <c r="N1244">
        <v>2400</v>
      </c>
    </row>
    <row r="1245" spans="1:14" x14ac:dyDescent="0.25">
      <c r="A1245">
        <v>753.10378500000002</v>
      </c>
      <c r="B1245" s="1">
        <f>DATE(2012,5,23) + TIME(2,29,27)</f>
        <v>41052.103784722225</v>
      </c>
      <c r="C1245">
        <v>80</v>
      </c>
      <c r="D1245">
        <v>79.958145142000006</v>
      </c>
      <c r="E1245">
        <v>50</v>
      </c>
      <c r="F1245">
        <v>48.254749298</v>
      </c>
      <c r="G1245">
        <v>1355.4075928</v>
      </c>
      <c r="H1245">
        <v>1348.7581786999999</v>
      </c>
      <c r="I1245">
        <v>1313.9232178</v>
      </c>
      <c r="J1245">
        <v>1306.3468018000001</v>
      </c>
      <c r="K1245">
        <v>2400</v>
      </c>
      <c r="L1245">
        <v>0</v>
      </c>
      <c r="M1245">
        <v>0</v>
      </c>
      <c r="N1245">
        <v>2400</v>
      </c>
    </row>
    <row r="1246" spans="1:14" x14ac:dyDescent="0.25">
      <c r="A1246">
        <v>753.58684000000005</v>
      </c>
      <c r="B1246" s="1">
        <f>DATE(2012,5,23) + TIME(14,5,2)</f>
        <v>41052.586828703701</v>
      </c>
      <c r="C1246">
        <v>80</v>
      </c>
      <c r="D1246">
        <v>79.958106994999994</v>
      </c>
      <c r="E1246">
        <v>50</v>
      </c>
      <c r="F1246">
        <v>48.224281310999999</v>
      </c>
      <c r="G1246">
        <v>1355.3831786999999</v>
      </c>
      <c r="H1246">
        <v>1348.7423096</v>
      </c>
      <c r="I1246">
        <v>1313.9177245999999</v>
      </c>
      <c r="J1246">
        <v>1306.3395995999999</v>
      </c>
      <c r="K1246">
        <v>2400</v>
      </c>
      <c r="L1246">
        <v>0</v>
      </c>
      <c r="M1246">
        <v>0</v>
      </c>
      <c r="N1246">
        <v>2400</v>
      </c>
    </row>
    <row r="1247" spans="1:14" x14ac:dyDescent="0.25">
      <c r="A1247">
        <v>754.07875899999999</v>
      </c>
      <c r="B1247" s="1">
        <f>DATE(2012,5,24) + TIME(1,53,24)</f>
        <v>41053.078750000001</v>
      </c>
      <c r="C1247">
        <v>80</v>
      </c>
      <c r="D1247">
        <v>79.958068847999996</v>
      </c>
      <c r="E1247">
        <v>50</v>
      </c>
      <c r="F1247">
        <v>48.193481445000003</v>
      </c>
      <c r="G1247">
        <v>1355.3586425999999</v>
      </c>
      <c r="H1247">
        <v>1348.7263184000001</v>
      </c>
      <c r="I1247">
        <v>1313.9119873</v>
      </c>
      <c r="J1247">
        <v>1306.3322754000001</v>
      </c>
      <c r="K1247">
        <v>2400</v>
      </c>
      <c r="L1247">
        <v>0</v>
      </c>
      <c r="M1247">
        <v>0</v>
      </c>
      <c r="N1247">
        <v>2400</v>
      </c>
    </row>
    <row r="1248" spans="1:14" x14ac:dyDescent="0.25">
      <c r="A1248">
        <v>754.57327699999996</v>
      </c>
      <c r="B1248" s="1">
        <f>DATE(2012,5,24) + TIME(13,45,31)</f>
        <v>41053.573275462964</v>
      </c>
      <c r="C1248">
        <v>80</v>
      </c>
      <c r="D1248">
        <v>79.958030700999998</v>
      </c>
      <c r="E1248">
        <v>50</v>
      </c>
      <c r="F1248">
        <v>48.162586212000001</v>
      </c>
      <c r="G1248">
        <v>1355.3341064000001</v>
      </c>
      <c r="H1248">
        <v>1348.7104492000001</v>
      </c>
      <c r="I1248">
        <v>1313.90625</v>
      </c>
      <c r="J1248">
        <v>1306.3248291</v>
      </c>
      <c r="K1248">
        <v>2400</v>
      </c>
      <c r="L1248">
        <v>0</v>
      </c>
      <c r="M1248">
        <v>0</v>
      </c>
      <c r="N1248">
        <v>2400</v>
      </c>
    </row>
    <row r="1249" spans="1:14" x14ac:dyDescent="0.25">
      <c r="A1249">
        <v>755.07101499999999</v>
      </c>
      <c r="B1249" s="1">
        <f>DATE(2012,5,25) + TIME(1,42,15)</f>
        <v>41054.071006944447</v>
      </c>
      <c r="C1249">
        <v>80</v>
      </c>
      <c r="D1249">
        <v>79.957992554</v>
      </c>
      <c r="E1249">
        <v>50</v>
      </c>
      <c r="F1249">
        <v>48.131614685000002</v>
      </c>
      <c r="G1249">
        <v>1355.3099365</v>
      </c>
      <c r="H1249">
        <v>1348.6947021000001</v>
      </c>
      <c r="I1249">
        <v>1313.9002685999999</v>
      </c>
      <c r="J1249">
        <v>1306.3172606999999</v>
      </c>
      <c r="K1249">
        <v>2400</v>
      </c>
      <c r="L1249">
        <v>0</v>
      </c>
      <c r="M1249">
        <v>0</v>
      </c>
      <c r="N1249">
        <v>2400</v>
      </c>
    </row>
    <row r="1250" spans="1:14" x14ac:dyDescent="0.25">
      <c r="A1250">
        <v>755.57312300000001</v>
      </c>
      <c r="B1250" s="1">
        <f>DATE(2012,5,25) + TIME(13,45,17)</f>
        <v>41054.573113425926</v>
      </c>
      <c r="C1250">
        <v>80</v>
      </c>
      <c r="D1250">
        <v>79.957954407000003</v>
      </c>
      <c r="E1250">
        <v>50</v>
      </c>
      <c r="F1250">
        <v>48.100540160999998</v>
      </c>
      <c r="G1250">
        <v>1355.2860106999999</v>
      </c>
      <c r="H1250">
        <v>1348.6790771000001</v>
      </c>
      <c r="I1250">
        <v>1313.8944091999999</v>
      </c>
      <c r="J1250">
        <v>1306.3094481999999</v>
      </c>
      <c r="K1250">
        <v>2400</v>
      </c>
      <c r="L1250">
        <v>0</v>
      </c>
      <c r="M1250">
        <v>0</v>
      </c>
      <c r="N1250">
        <v>2400</v>
      </c>
    </row>
    <row r="1251" spans="1:14" x14ac:dyDescent="0.25">
      <c r="A1251">
        <v>756.08058600000004</v>
      </c>
      <c r="B1251" s="1">
        <f>DATE(2012,5,26) + TIME(1,56,2)</f>
        <v>41055.080578703702</v>
      </c>
      <c r="C1251">
        <v>80</v>
      </c>
      <c r="D1251">
        <v>79.957916260000005</v>
      </c>
      <c r="E1251">
        <v>50</v>
      </c>
      <c r="F1251">
        <v>48.069335938000002</v>
      </c>
      <c r="G1251">
        <v>1355.262207</v>
      </c>
      <c r="H1251">
        <v>1348.6635742000001</v>
      </c>
      <c r="I1251">
        <v>1313.8883057</v>
      </c>
      <c r="J1251">
        <v>1306.3016356999999</v>
      </c>
      <c r="K1251">
        <v>2400</v>
      </c>
      <c r="L1251">
        <v>0</v>
      </c>
      <c r="M1251">
        <v>0</v>
      </c>
      <c r="N1251">
        <v>2400</v>
      </c>
    </row>
    <row r="1252" spans="1:14" x14ac:dyDescent="0.25">
      <c r="A1252">
        <v>756.59461499999998</v>
      </c>
      <c r="B1252" s="1">
        <f>DATE(2012,5,26) + TIME(14,16,14)</f>
        <v>41055.594606481478</v>
      </c>
      <c r="C1252">
        <v>80</v>
      </c>
      <c r="D1252">
        <v>79.957885742000002</v>
      </c>
      <c r="E1252">
        <v>50</v>
      </c>
      <c r="F1252">
        <v>48.037952423</v>
      </c>
      <c r="G1252">
        <v>1355.2386475000001</v>
      </c>
      <c r="H1252">
        <v>1348.6481934000001</v>
      </c>
      <c r="I1252">
        <v>1313.8822021000001</v>
      </c>
      <c r="J1252">
        <v>1306.2937012</v>
      </c>
      <c r="K1252">
        <v>2400</v>
      </c>
      <c r="L1252">
        <v>0</v>
      </c>
      <c r="M1252">
        <v>0</v>
      </c>
      <c r="N1252">
        <v>2400</v>
      </c>
    </row>
    <row r="1253" spans="1:14" x14ac:dyDescent="0.25">
      <c r="A1253">
        <v>757.11617999999999</v>
      </c>
      <c r="B1253" s="1">
        <f>DATE(2012,5,27) + TIME(2,47,17)</f>
        <v>41056.116168981483</v>
      </c>
      <c r="C1253">
        <v>80</v>
      </c>
      <c r="D1253">
        <v>79.957847595000004</v>
      </c>
      <c r="E1253">
        <v>50</v>
      </c>
      <c r="F1253">
        <v>48.006340027</v>
      </c>
      <c r="G1253">
        <v>1355.2150879000001</v>
      </c>
      <c r="H1253">
        <v>1348.6329346</v>
      </c>
      <c r="I1253">
        <v>1313.8758545000001</v>
      </c>
      <c r="J1253">
        <v>1306.2855225000001</v>
      </c>
      <c r="K1253">
        <v>2400</v>
      </c>
      <c r="L1253">
        <v>0</v>
      </c>
      <c r="M1253">
        <v>0</v>
      </c>
      <c r="N1253">
        <v>2400</v>
      </c>
    </row>
    <row r="1254" spans="1:14" x14ac:dyDescent="0.25">
      <c r="A1254">
        <v>757.64634799999999</v>
      </c>
      <c r="B1254" s="1">
        <f>DATE(2012,5,27) + TIME(15,30,44)</f>
        <v>41056.64634259259</v>
      </c>
      <c r="C1254">
        <v>80</v>
      </c>
      <c r="D1254">
        <v>79.957809448000006</v>
      </c>
      <c r="E1254">
        <v>50</v>
      </c>
      <c r="F1254">
        <v>47.974449157999999</v>
      </c>
      <c r="G1254">
        <v>1355.1916504000001</v>
      </c>
      <c r="H1254">
        <v>1348.6176757999999</v>
      </c>
      <c r="I1254">
        <v>1313.8695068</v>
      </c>
      <c r="J1254">
        <v>1306.2770995999999</v>
      </c>
      <c r="K1254">
        <v>2400</v>
      </c>
      <c r="L1254">
        <v>0</v>
      </c>
      <c r="M1254">
        <v>0</v>
      </c>
      <c r="N1254">
        <v>2400</v>
      </c>
    </row>
    <row r="1255" spans="1:14" x14ac:dyDescent="0.25">
      <c r="A1255">
        <v>758.18632200000002</v>
      </c>
      <c r="B1255" s="1">
        <f>DATE(2012,5,28) + TIME(4,28,18)</f>
        <v>41057.186319444445</v>
      </c>
      <c r="C1255">
        <v>80</v>
      </c>
      <c r="D1255">
        <v>79.957778931000007</v>
      </c>
      <c r="E1255">
        <v>50</v>
      </c>
      <c r="F1255">
        <v>47.942222594999997</v>
      </c>
      <c r="G1255">
        <v>1355.1680908000001</v>
      </c>
      <c r="H1255">
        <v>1348.6022949000001</v>
      </c>
      <c r="I1255">
        <v>1313.8629149999999</v>
      </c>
      <c r="J1255">
        <v>1306.2685547000001</v>
      </c>
      <c r="K1255">
        <v>2400</v>
      </c>
      <c r="L1255">
        <v>0</v>
      </c>
      <c r="M1255">
        <v>0</v>
      </c>
      <c r="N1255">
        <v>2400</v>
      </c>
    </row>
    <row r="1256" spans="1:14" x14ac:dyDescent="0.25">
      <c r="A1256">
        <v>758.73741399999994</v>
      </c>
      <c r="B1256" s="1">
        <f>DATE(2012,5,28) + TIME(17,41,52)</f>
        <v>41057.737407407411</v>
      </c>
      <c r="C1256">
        <v>80</v>
      </c>
      <c r="D1256">
        <v>79.957740783999995</v>
      </c>
      <c r="E1256">
        <v>50</v>
      </c>
      <c r="F1256">
        <v>47.909591675000001</v>
      </c>
      <c r="G1256">
        <v>1355.1445312000001</v>
      </c>
      <c r="H1256">
        <v>1348.5870361</v>
      </c>
      <c r="I1256">
        <v>1313.8562012</v>
      </c>
      <c r="J1256">
        <v>1306.2597656</v>
      </c>
      <c r="K1256">
        <v>2400</v>
      </c>
      <c r="L1256">
        <v>0</v>
      </c>
      <c r="M1256">
        <v>0</v>
      </c>
      <c r="N1256">
        <v>2400</v>
      </c>
    </row>
    <row r="1257" spans="1:14" x14ac:dyDescent="0.25">
      <c r="A1257">
        <v>759.30103299999996</v>
      </c>
      <c r="B1257" s="1">
        <f>DATE(2012,5,29) + TIME(7,13,29)</f>
        <v>41058.301030092596</v>
      </c>
      <c r="C1257">
        <v>80</v>
      </c>
      <c r="D1257">
        <v>79.957710266000007</v>
      </c>
      <c r="E1257">
        <v>50</v>
      </c>
      <c r="F1257">
        <v>47.876495361000003</v>
      </c>
      <c r="G1257">
        <v>1355.1208495999999</v>
      </c>
      <c r="H1257">
        <v>1348.5716553</v>
      </c>
      <c r="I1257">
        <v>1313.8492432</v>
      </c>
      <c r="J1257">
        <v>1306.2507324000001</v>
      </c>
      <c r="K1257">
        <v>2400</v>
      </c>
      <c r="L1257">
        <v>0</v>
      </c>
      <c r="M1257">
        <v>0</v>
      </c>
      <c r="N1257">
        <v>2400</v>
      </c>
    </row>
    <row r="1258" spans="1:14" x14ac:dyDescent="0.25">
      <c r="A1258">
        <v>759.87872200000004</v>
      </c>
      <c r="B1258" s="1">
        <f>DATE(2012,5,29) + TIME(21,5,21)</f>
        <v>41058.87871527778</v>
      </c>
      <c r="C1258">
        <v>80</v>
      </c>
      <c r="D1258">
        <v>79.957672118999994</v>
      </c>
      <c r="E1258">
        <v>50</v>
      </c>
      <c r="F1258">
        <v>47.842849731000001</v>
      </c>
      <c r="G1258">
        <v>1355.0970459</v>
      </c>
      <c r="H1258">
        <v>1348.5561522999999</v>
      </c>
      <c r="I1258">
        <v>1313.8421631000001</v>
      </c>
      <c r="J1258">
        <v>1306.2413329999999</v>
      </c>
      <c r="K1258">
        <v>2400</v>
      </c>
      <c r="L1258">
        <v>0</v>
      </c>
      <c r="M1258">
        <v>0</v>
      </c>
      <c r="N1258">
        <v>2400</v>
      </c>
    </row>
    <row r="1259" spans="1:14" x14ac:dyDescent="0.25">
      <c r="A1259">
        <v>760.47040000000004</v>
      </c>
      <c r="B1259" s="1">
        <f>DATE(2012,5,30) + TIME(11,17,22)</f>
        <v>41059.470393518517</v>
      </c>
      <c r="C1259">
        <v>80</v>
      </c>
      <c r="D1259">
        <v>79.957641601999995</v>
      </c>
      <c r="E1259">
        <v>50</v>
      </c>
      <c r="F1259">
        <v>47.808647155999999</v>
      </c>
      <c r="G1259">
        <v>1355.0729980000001</v>
      </c>
      <c r="H1259">
        <v>1348.5404053</v>
      </c>
      <c r="I1259">
        <v>1313.8347168</v>
      </c>
      <c r="J1259">
        <v>1306.2316894999999</v>
      </c>
      <c r="K1259">
        <v>2400</v>
      </c>
      <c r="L1259">
        <v>0</v>
      </c>
      <c r="M1259">
        <v>0</v>
      </c>
      <c r="N1259">
        <v>2400</v>
      </c>
    </row>
    <row r="1260" spans="1:14" x14ac:dyDescent="0.25">
      <c r="A1260">
        <v>761.06819700000005</v>
      </c>
      <c r="B1260" s="1">
        <f>DATE(2012,5,31) + TIME(1,38,12)</f>
        <v>41060.068194444444</v>
      </c>
      <c r="C1260">
        <v>80</v>
      </c>
      <c r="D1260">
        <v>79.957603454999997</v>
      </c>
      <c r="E1260">
        <v>50</v>
      </c>
      <c r="F1260">
        <v>47.774139404000003</v>
      </c>
      <c r="G1260">
        <v>1355.0488281</v>
      </c>
      <c r="H1260">
        <v>1348.5246582</v>
      </c>
      <c r="I1260">
        <v>1313.8271483999999</v>
      </c>
      <c r="J1260">
        <v>1306.2216797000001</v>
      </c>
      <c r="K1260">
        <v>2400</v>
      </c>
      <c r="L1260">
        <v>0</v>
      </c>
      <c r="M1260">
        <v>0</v>
      </c>
      <c r="N1260">
        <v>2400</v>
      </c>
    </row>
    <row r="1261" spans="1:14" x14ac:dyDescent="0.25">
      <c r="A1261">
        <v>761.673452</v>
      </c>
      <c r="B1261" s="1">
        <f>DATE(2012,5,31) + TIME(16,9,46)</f>
        <v>41060.673449074071</v>
      </c>
      <c r="C1261">
        <v>80</v>
      </c>
      <c r="D1261">
        <v>79.957572936999995</v>
      </c>
      <c r="E1261">
        <v>50</v>
      </c>
      <c r="F1261">
        <v>47.739356995000001</v>
      </c>
      <c r="G1261">
        <v>1355.0247803</v>
      </c>
      <c r="H1261">
        <v>1348.5090332</v>
      </c>
      <c r="I1261">
        <v>1313.8193358999999</v>
      </c>
      <c r="J1261">
        <v>1306.2114257999999</v>
      </c>
      <c r="K1261">
        <v>2400</v>
      </c>
      <c r="L1261">
        <v>0</v>
      </c>
      <c r="M1261">
        <v>0</v>
      </c>
      <c r="N1261">
        <v>2400</v>
      </c>
    </row>
    <row r="1262" spans="1:14" x14ac:dyDescent="0.25">
      <c r="A1262">
        <v>762</v>
      </c>
      <c r="B1262" s="1">
        <f>DATE(2012,6,1) + TIME(0,0,0)</f>
        <v>41061</v>
      </c>
      <c r="C1262">
        <v>80</v>
      </c>
      <c r="D1262">
        <v>79.957542419000006</v>
      </c>
      <c r="E1262">
        <v>50</v>
      </c>
      <c r="F1262">
        <v>47.716247559000003</v>
      </c>
      <c r="G1262">
        <v>1355.0007324000001</v>
      </c>
      <c r="H1262">
        <v>1348.4932861</v>
      </c>
      <c r="I1262">
        <v>1313.8110352000001</v>
      </c>
      <c r="J1262">
        <v>1306.2015381000001</v>
      </c>
      <c r="K1262">
        <v>2400</v>
      </c>
      <c r="L1262">
        <v>0</v>
      </c>
      <c r="M1262">
        <v>0</v>
      </c>
      <c r="N1262">
        <v>2400</v>
      </c>
    </row>
    <row r="1263" spans="1:14" x14ac:dyDescent="0.25">
      <c r="A1263">
        <v>762.61415899999997</v>
      </c>
      <c r="B1263" s="1">
        <f>DATE(2012,6,1) + TIME(14,44,23)</f>
        <v>41061.614155092589</v>
      </c>
      <c r="C1263">
        <v>80</v>
      </c>
      <c r="D1263">
        <v>79.957511901999993</v>
      </c>
      <c r="E1263">
        <v>50</v>
      </c>
      <c r="F1263">
        <v>47.683002471999998</v>
      </c>
      <c r="G1263">
        <v>1354.9880370999999</v>
      </c>
      <c r="H1263">
        <v>1348.4849853999999</v>
      </c>
      <c r="I1263">
        <v>1313.8070068</v>
      </c>
      <c r="J1263">
        <v>1306.1949463000001</v>
      </c>
      <c r="K1263">
        <v>2400</v>
      </c>
      <c r="L1263">
        <v>0</v>
      </c>
      <c r="M1263">
        <v>0</v>
      </c>
      <c r="N1263">
        <v>2400</v>
      </c>
    </row>
    <row r="1264" spans="1:14" x14ac:dyDescent="0.25">
      <c r="A1264">
        <v>763.24505399999998</v>
      </c>
      <c r="B1264" s="1">
        <f>DATE(2012,6,2) + TIME(5,52,52)</f>
        <v>41062.245046296295</v>
      </c>
      <c r="C1264">
        <v>80</v>
      </c>
      <c r="D1264">
        <v>79.957481384000005</v>
      </c>
      <c r="E1264">
        <v>50</v>
      </c>
      <c r="F1264">
        <v>47.648517609000002</v>
      </c>
      <c r="G1264">
        <v>1354.9642334</v>
      </c>
      <c r="H1264">
        <v>1348.4694824000001</v>
      </c>
      <c r="I1264">
        <v>1313.7988281</v>
      </c>
      <c r="J1264">
        <v>1306.1842041</v>
      </c>
      <c r="K1264">
        <v>2400</v>
      </c>
      <c r="L1264">
        <v>0</v>
      </c>
      <c r="M1264">
        <v>0</v>
      </c>
      <c r="N1264">
        <v>2400</v>
      </c>
    </row>
    <row r="1265" spans="1:14" x14ac:dyDescent="0.25">
      <c r="A1265">
        <v>763.88199699999996</v>
      </c>
      <c r="B1265" s="1">
        <f>DATE(2012,6,2) + TIME(21,10,4)</f>
        <v>41062.881990740738</v>
      </c>
      <c r="C1265">
        <v>80</v>
      </c>
      <c r="D1265">
        <v>79.957450867000006</v>
      </c>
      <c r="E1265">
        <v>50</v>
      </c>
      <c r="F1265">
        <v>47.613346100000001</v>
      </c>
      <c r="G1265">
        <v>1354.9401855000001</v>
      </c>
      <c r="H1265">
        <v>1348.4537353999999</v>
      </c>
      <c r="I1265">
        <v>1313.7904053</v>
      </c>
      <c r="J1265">
        <v>1306.1730957</v>
      </c>
      <c r="K1265">
        <v>2400</v>
      </c>
      <c r="L1265">
        <v>0</v>
      </c>
      <c r="M1265">
        <v>0</v>
      </c>
      <c r="N1265">
        <v>2400</v>
      </c>
    </row>
    <row r="1266" spans="1:14" x14ac:dyDescent="0.25">
      <c r="A1266">
        <v>764.52106400000002</v>
      </c>
      <c r="B1266" s="1">
        <f>DATE(2012,6,3) + TIME(12,30,19)</f>
        <v>41063.521053240744</v>
      </c>
      <c r="C1266">
        <v>80</v>
      </c>
      <c r="D1266">
        <v>79.957420349000003</v>
      </c>
      <c r="E1266">
        <v>50</v>
      </c>
      <c r="F1266">
        <v>47.577854156000001</v>
      </c>
      <c r="G1266">
        <v>1354.9163818</v>
      </c>
      <c r="H1266">
        <v>1348.4382324000001</v>
      </c>
      <c r="I1266">
        <v>1313.7817382999999</v>
      </c>
      <c r="J1266">
        <v>1306.1616211</v>
      </c>
      <c r="K1266">
        <v>2400</v>
      </c>
      <c r="L1266">
        <v>0</v>
      </c>
      <c r="M1266">
        <v>0</v>
      </c>
      <c r="N1266">
        <v>2400</v>
      </c>
    </row>
    <row r="1267" spans="1:14" x14ac:dyDescent="0.25">
      <c r="A1267">
        <v>765.16403700000001</v>
      </c>
      <c r="B1267" s="1">
        <f>DATE(2012,6,4) + TIME(3,56,12)</f>
        <v>41064.164027777777</v>
      </c>
      <c r="C1267">
        <v>80</v>
      </c>
      <c r="D1267">
        <v>79.957389832000004</v>
      </c>
      <c r="E1267">
        <v>50</v>
      </c>
      <c r="F1267">
        <v>47.542167663999997</v>
      </c>
      <c r="G1267">
        <v>1354.8927002</v>
      </c>
      <c r="H1267">
        <v>1348.4227295000001</v>
      </c>
      <c r="I1267">
        <v>1313.7729492000001</v>
      </c>
      <c r="J1267">
        <v>1306.1500243999999</v>
      </c>
      <c r="K1267">
        <v>2400</v>
      </c>
      <c r="L1267">
        <v>0</v>
      </c>
      <c r="M1267">
        <v>0</v>
      </c>
      <c r="N1267">
        <v>2400</v>
      </c>
    </row>
    <row r="1268" spans="1:14" x14ac:dyDescent="0.25">
      <c r="A1268">
        <v>765.81272300000001</v>
      </c>
      <c r="B1268" s="1">
        <f>DATE(2012,6,4) + TIME(19,30,19)</f>
        <v>41064.812719907408</v>
      </c>
      <c r="C1268">
        <v>80</v>
      </c>
      <c r="D1268">
        <v>79.957359314000001</v>
      </c>
      <c r="E1268">
        <v>50</v>
      </c>
      <c r="F1268">
        <v>47.506313323999997</v>
      </c>
      <c r="G1268">
        <v>1354.8693848</v>
      </c>
      <c r="H1268">
        <v>1348.4074707</v>
      </c>
      <c r="I1268">
        <v>1313.7640381000001</v>
      </c>
      <c r="J1268">
        <v>1306.1380615</v>
      </c>
      <c r="K1268">
        <v>2400</v>
      </c>
      <c r="L1268">
        <v>0</v>
      </c>
      <c r="M1268">
        <v>0</v>
      </c>
      <c r="N1268">
        <v>2400</v>
      </c>
    </row>
    <row r="1269" spans="1:14" x14ac:dyDescent="0.25">
      <c r="A1269">
        <v>766.46855000000005</v>
      </c>
      <c r="B1269" s="1">
        <f>DATE(2012,6,5) + TIME(11,14,42)</f>
        <v>41065.468541666669</v>
      </c>
      <c r="C1269">
        <v>80</v>
      </c>
      <c r="D1269">
        <v>79.957328795999999</v>
      </c>
      <c r="E1269">
        <v>50</v>
      </c>
      <c r="F1269">
        <v>47.470287323000001</v>
      </c>
      <c r="G1269">
        <v>1354.8460693</v>
      </c>
      <c r="H1269">
        <v>1348.3922118999999</v>
      </c>
      <c r="I1269">
        <v>1313.7548827999999</v>
      </c>
      <c r="J1269">
        <v>1306.1259766000001</v>
      </c>
      <c r="K1269">
        <v>2400</v>
      </c>
      <c r="L1269">
        <v>0</v>
      </c>
      <c r="M1269">
        <v>0</v>
      </c>
      <c r="N1269">
        <v>2400</v>
      </c>
    </row>
    <row r="1270" spans="1:14" x14ac:dyDescent="0.25">
      <c r="A1270">
        <v>767.13313800000003</v>
      </c>
      <c r="B1270" s="1">
        <f>DATE(2012,6,6) + TIME(3,11,43)</f>
        <v>41066.133136574077</v>
      </c>
      <c r="C1270">
        <v>80</v>
      </c>
      <c r="D1270">
        <v>79.957298279</v>
      </c>
      <c r="E1270">
        <v>50</v>
      </c>
      <c r="F1270">
        <v>47.434040070000002</v>
      </c>
      <c r="G1270">
        <v>1354.8229980000001</v>
      </c>
      <c r="H1270">
        <v>1348.3770752</v>
      </c>
      <c r="I1270">
        <v>1313.7456055</v>
      </c>
      <c r="J1270">
        <v>1306.1135254000001</v>
      </c>
      <c r="K1270">
        <v>2400</v>
      </c>
      <c r="L1270">
        <v>0</v>
      </c>
      <c r="M1270">
        <v>0</v>
      </c>
      <c r="N1270">
        <v>2400</v>
      </c>
    </row>
    <row r="1271" spans="1:14" x14ac:dyDescent="0.25">
      <c r="A1271">
        <v>767.80774799999995</v>
      </c>
      <c r="B1271" s="1">
        <f>DATE(2012,6,6) + TIME(19,23,9)</f>
        <v>41066.807743055557</v>
      </c>
      <c r="C1271">
        <v>80</v>
      </c>
      <c r="D1271">
        <v>79.957267760999997</v>
      </c>
      <c r="E1271">
        <v>50</v>
      </c>
      <c r="F1271">
        <v>47.397525786999999</v>
      </c>
      <c r="G1271">
        <v>1354.7999268000001</v>
      </c>
      <c r="H1271">
        <v>1348.3619385</v>
      </c>
      <c r="I1271">
        <v>1313.7360839999999</v>
      </c>
      <c r="J1271">
        <v>1306.1007079999999</v>
      </c>
      <c r="K1271">
        <v>2400</v>
      </c>
      <c r="L1271">
        <v>0</v>
      </c>
      <c r="M1271">
        <v>0</v>
      </c>
      <c r="N1271">
        <v>2400</v>
      </c>
    </row>
    <row r="1272" spans="1:14" x14ac:dyDescent="0.25">
      <c r="A1272">
        <v>768.49400500000002</v>
      </c>
      <c r="B1272" s="1">
        <f>DATE(2012,6,7) + TIME(11,51,21)</f>
        <v>41067.493993055556</v>
      </c>
      <c r="C1272">
        <v>80</v>
      </c>
      <c r="D1272">
        <v>79.957237243999998</v>
      </c>
      <c r="E1272">
        <v>50</v>
      </c>
      <c r="F1272">
        <v>47.360679626</v>
      </c>
      <c r="G1272">
        <v>1354.7767334</v>
      </c>
      <c r="H1272">
        <v>1348.3466797000001</v>
      </c>
      <c r="I1272">
        <v>1313.7261963000001</v>
      </c>
      <c r="J1272">
        <v>1306.0876464999999</v>
      </c>
      <c r="K1272">
        <v>2400</v>
      </c>
      <c r="L1272">
        <v>0</v>
      </c>
      <c r="M1272">
        <v>0</v>
      </c>
      <c r="N1272">
        <v>2400</v>
      </c>
    </row>
    <row r="1273" spans="1:14" x14ac:dyDescent="0.25">
      <c r="A1273">
        <v>769.19360900000004</v>
      </c>
      <c r="B1273" s="1">
        <f>DATE(2012,6,8) + TIME(4,38,47)</f>
        <v>41068.193599537037</v>
      </c>
      <c r="C1273">
        <v>80</v>
      </c>
      <c r="D1273">
        <v>79.957206725999995</v>
      </c>
      <c r="E1273">
        <v>50</v>
      </c>
      <c r="F1273">
        <v>47.323429107999999</v>
      </c>
      <c r="G1273">
        <v>1354.7535399999999</v>
      </c>
      <c r="H1273">
        <v>1348.331543</v>
      </c>
      <c r="I1273">
        <v>1313.7161865</v>
      </c>
      <c r="J1273">
        <v>1306.0740966999999</v>
      </c>
      <c r="K1273">
        <v>2400</v>
      </c>
      <c r="L1273">
        <v>0</v>
      </c>
      <c r="M1273">
        <v>0</v>
      </c>
      <c r="N1273">
        <v>2400</v>
      </c>
    </row>
    <row r="1274" spans="1:14" x14ac:dyDescent="0.25">
      <c r="A1274">
        <v>769.90839400000004</v>
      </c>
      <c r="B1274" s="1">
        <f>DATE(2012,6,8) + TIME(21,48,5)</f>
        <v>41068.908391203702</v>
      </c>
      <c r="C1274">
        <v>80</v>
      </c>
      <c r="D1274">
        <v>79.957176208000007</v>
      </c>
      <c r="E1274">
        <v>50</v>
      </c>
      <c r="F1274">
        <v>47.285697937000002</v>
      </c>
      <c r="G1274">
        <v>1354.7302245999999</v>
      </c>
      <c r="H1274">
        <v>1348.3161620999999</v>
      </c>
      <c r="I1274">
        <v>1313.7058105000001</v>
      </c>
      <c r="J1274">
        <v>1306.0600586</v>
      </c>
      <c r="K1274">
        <v>2400</v>
      </c>
      <c r="L1274">
        <v>0</v>
      </c>
      <c r="M1274">
        <v>0</v>
      </c>
      <c r="N1274">
        <v>2400</v>
      </c>
    </row>
    <row r="1275" spans="1:14" x14ac:dyDescent="0.25">
      <c r="A1275">
        <v>770.64036499999997</v>
      </c>
      <c r="B1275" s="1">
        <f>DATE(2012,6,9) + TIME(15,22,7)</f>
        <v>41069.6403587963</v>
      </c>
      <c r="C1275">
        <v>80</v>
      </c>
      <c r="D1275">
        <v>79.957153320000003</v>
      </c>
      <c r="E1275">
        <v>50</v>
      </c>
      <c r="F1275">
        <v>47.247394561999997</v>
      </c>
      <c r="G1275">
        <v>1354.7067870999999</v>
      </c>
      <c r="H1275">
        <v>1348.3007812000001</v>
      </c>
      <c r="I1275">
        <v>1313.6950684000001</v>
      </c>
      <c r="J1275">
        <v>1306.0455322</v>
      </c>
      <c r="K1275">
        <v>2400</v>
      </c>
      <c r="L1275">
        <v>0</v>
      </c>
      <c r="M1275">
        <v>0</v>
      </c>
      <c r="N1275">
        <v>2400</v>
      </c>
    </row>
    <row r="1276" spans="1:14" x14ac:dyDescent="0.25">
      <c r="A1276">
        <v>771.38539600000001</v>
      </c>
      <c r="B1276" s="1">
        <f>DATE(2012,6,10) + TIME(9,14,58)</f>
        <v>41070.385393518518</v>
      </c>
      <c r="C1276">
        <v>80</v>
      </c>
      <c r="D1276">
        <v>79.957122803000004</v>
      </c>
      <c r="E1276">
        <v>50</v>
      </c>
      <c r="F1276">
        <v>47.208602904999999</v>
      </c>
      <c r="G1276">
        <v>1354.6831055</v>
      </c>
      <c r="H1276">
        <v>1348.2851562000001</v>
      </c>
      <c r="I1276">
        <v>1313.6839600000001</v>
      </c>
      <c r="J1276">
        <v>1306.0305175999999</v>
      </c>
      <c r="K1276">
        <v>2400</v>
      </c>
      <c r="L1276">
        <v>0</v>
      </c>
      <c r="M1276">
        <v>0</v>
      </c>
      <c r="N1276">
        <v>2400</v>
      </c>
    </row>
    <row r="1277" spans="1:14" x14ac:dyDescent="0.25">
      <c r="A1277">
        <v>772.13666999999998</v>
      </c>
      <c r="B1277" s="1">
        <f>DATE(2012,6,11) + TIME(3,16,48)</f>
        <v>41071.136666666665</v>
      </c>
      <c r="C1277">
        <v>80</v>
      </c>
      <c r="D1277">
        <v>79.957092285000002</v>
      </c>
      <c r="E1277">
        <v>50</v>
      </c>
      <c r="F1277">
        <v>47.169544219999999</v>
      </c>
      <c r="G1277">
        <v>1354.6594238</v>
      </c>
      <c r="H1277">
        <v>1348.2695312000001</v>
      </c>
      <c r="I1277">
        <v>1313.6724853999999</v>
      </c>
      <c r="J1277">
        <v>1306.0150146000001</v>
      </c>
      <c r="K1277">
        <v>2400</v>
      </c>
      <c r="L1277">
        <v>0</v>
      </c>
      <c r="M1277">
        <v>0</v>
      </c>
      <c r="N1277">
        <v>2400</v>
      </c>
    </row>
    <row r="1278" spans="1:14" x14ac:dyDescent="0.25">
      <c r="A1278">
        <v>772.89631099999997</v>
      </c>
      <c r="B1278" s="1">
        <f>DATE(2012,6,11) + TIME(21,30,41)</f>
        <v>41071.896307870367</v>
      </c>
      <c r="C1278">
        <v>80</v>
      </c>
      <c r="D1278">
        <v>79.957069396999998</v>
      </c>
      <c r="E1278">
        <v>50</v>
      </c>
      <c r="F1278">
        <v>47.130249022999998</v>
      </c>
      <c r="G1278">
        <v>1354.6358643000001</v>
      </c>
      <c r="H1278">
        <v>1348.2539062000001</v>
      </c>
      <c r="I1278">
        <v>1313.6606445</v>
      </c>
      <c r="J1278">
        <v>1305.9990233999999</v>
      </c>
      <c r="K1278">
        <v>2400</v>
      </c>
      <c r="L1278">
        <v>0</v>
      </c>
      <c r="M1278">
        <v>0</v>
      </c>
      <c r="N1278">
        <v>2400</v>
      </c>
    </row>
    <row r="1279" spans="1:14" x14ac:dyDescent="0.25">
      <c r="A1279">
        <v>773.66578600000003</v>
      </c>
      <c r="B1279" s="1">
        <f>DATE(2012,6,12) + TIME(15,58,43)</f>
        <v>41072.665775462963</v>
      </c>
      <c r="C1279">
        <v>80</v>
      </c>
      <c r="D1279">
        <v>79.957038878999995</v>
      </c>
      <c r="E1279">
        <v>50</v>
      </c>
      <c r="F1279">
        <v>47.090705872000001</v>
      </c>
      <c r="G1279">
        <v>1354.6123047000001</v>
      </c>
      <c r="H1279">
        <v>1348.2384033000001</v>
      </c>
      <c r="I1279">
        <v>1313.6486815999999</v>
      </c>
      <c r="J1279">
        <v>1305.9826660000001</v>
      </c>
      <c r="K1279">
        <v>2400</v>
      </c>
      <c r="L1279">
        <v>0</v>
      </c>
      <c r="M1279">
        <v>0</v>
      </c>
      <c r="N1279">
        <v>2400</v>
      </c>
    </row>
    <row r="1280" spans="1:14" x14ac:dyDescent="0.25">
      <c r="A1280">
        <v>774.446958</v>
      </c>
      <c r="B1280" s="1">
        <f>DATE(2012,6,13) + TIME(10,43,37)</f>
        <v>41073.446956018517</v>
      </c>
      <c r="C1280">
        <v>80</v>
      </c>
      <c r="D1280">
        <v>79.957008361999996</v>
      </c>
      <c r="E1280">
        <v>50</v>
      </c>
      <c r="F1280">
        <v>47.050868987999998</v>
      </c>
      <c r="G1280">
        <v>1354.5888672000001</v>
      </c>
      <c r="H1280">
        <v>1348.2227783000001</v>
      </c>
      <c r="I1280">
        <v>1313.6363524999999</v>
      </c>
      <c r="J1280">
        <v>1305.9658202999999</v>
      </c>
      <c r="K1280">
        <v>2400</v>
      </c>
      <c r="L1280">
        <v>0</v>
      </c>
      <c r="M1280">
        <v>0</v>
      </c>
      <c r="N1280">
        <v>2400</v>
      </c>
    </row>
    <row r="1281" spans="1:14" x14ac:dyDescent="0.25">
      <c r="A1281">
        <v>775.24180100000001</v>
      </c>
      <c r="B1281" s="1">
        <f>DATE(2012,6,14) + TIME(5,48,11)</f>
        <v>41074.241793981484</v>
      </c>
      <c r="C1281">
        <v>80</v>
      </c>
      <c r="D1281">
        <v>79.956985474000007</v>
      </c>
      <c r="E1281">
        <v>50</v>
      </c>
      <c r="F1281">
        <v>47.010662078999999</v>
      </c>
      <c r="G1281">
        <v>1354.5653076000001</v>
      </c>
      <c r="H1281">
        <v>1348.2072754000001</v>
      </c>
      <c r="I1281">
        <v>1313.6236572</v>
      </c>
      <c r="J1281">
        <v>1305.9484863</v>
      </c>
      <c r="K1281">
        <v>2400</v>
      </c>
      <c r="L1281">
        <v>0</v>
      </c>
      <c r="M1281">
        <v>0</v>
      </c>
      <c r="N1281">
        <v>2400</v>
      </c>
    </row>
    <row r="1282" spans="1:14" x14ac:dyDescent="0.25">
      <c r="A1282">
        <v>776.05192699999998</v>
      </c>
      <c r="B1282" s="1">
        <f>DATE(2012,6,15) + TIME(1,14,46)</f>
        <v>41075.051921296297</v>
      </c>
      <c r="C1282">
        <v>80</v>
      </c>
      <c r="D1282">
        <v>79.956962584999999</v>
      </c>
      <c r="E1282">
        <v>50</v>
      </c>
      <c r="F1282">
        <v>46.970016479000002</v>
      </c>
      <c r="G1282">
        <v>1354.5417480000001</v>
      </c>
      <c r="H1282">
        <v>1348.1916504000001</v>
      </c>
      <c r="I1282">
        <v>1313.6105957</v>
      </c>
      <c r="J1282">
        <v>1305.9305420000001</v>
      </c>
      <c r="K1282">
        <v>2400</v>
      </c>
      <c r="L1282">
        <v>0</v>
      </c>
      <c r="M1282">
        <v>0</v>
      </c>
      <c r="N1282">
        <v>2400</v>
      </c>
    </row>
    <row r="1283" spans="1:14" x14ac:dyDescent="0.25">
      <c r="A1283">
        <v>776.86563799999999</v>
      </c>
      <c r="B1283" s="1">
        <f>DATE(2012,6,15) + TIME(20,46,31)</f>
        <v>41075.865636574075</v>
      </c>
      <c r="C1283">
        <v>80</v>
      </c>
      <c r="D1283">
        <v>79.956932068</v>
      </c>
      <c r="E1283">
        <v>50</v>
      </c>
      <c r="F1283">
        <v>46.929206848</v>
      </c>
      <c r="G1283">
        <v>1354.5180664</v>
      </c>
      <c r="H1283">
        <v>1348.1759033000001</v>
      </c>
      <c r="I1283">
        <v>1313.597168</v>
      </c>
      <c r="J1283">
        <v>1305.9119873</v>
      </c>
      <c r="K1283">
        <v>2400</v>
      </c>
      <c r="L1283">
        <v>0</v>
      </c>
      <c r="M1283">
        <v>0</v>
      </c>
      <c r="N1283">
        <v>2400</v>
      </c>
    </row>
    <row r="1284" spans="1:14" x14ac:dyDescent="0.25">
      <c r="A1284">
        <v>777.68606899999997</v>
      </c>
      <c r="B1284" s="1">
        <f>DATE(2012,6,16) + TIME(16,27,56)</f>
        <v>41076.686064814814</v>
      </c>
      <c r="C1284">
        <v>80</v>
      </c>
      <c r="D1284">
        <v>79.956909179999997</v>
      </c>
      <c r="E1284">
        <v>50</v>
      </c>
      <c r="F1284">
        <v>46.888267517000003</v>
      </c>
      <c r="G1284">
        <v>1354.4946289</v>
      </c>
      <c r="H1284">
        <v>1348.1602783000001</v>
      </c>
      <c r="I1284">
        <v>1313.583374</v>
      </c>
      <c r="J1284">
        <v>1305.8929443</v>
      </c>
      <c r="K1284">
        <v>2400</v>
      </c>
      <c r="L1284">
        <v>0</v>
      </c>
      <c r="M1284">
        <v>0</v>
      </c>
      <c r="N1284">
        <v>2400</v>
      </c>
    </row>
    <row r="1285" spans="1:14" x14ac:dyDescent="0.25">
      <c r="A1285">
        <v>778.51543400000003</v>
      </c>
      <c r="B1285" s="1">
        <f>DATE(2012,6,17) + TIME(12,22,13)</f>
        <v>41077.515428240738</v>
      </c>
      <c r="C1285">
        <v>80</v>
      </c>
      <c r="D1285">
        <v>79.956886291999993</v>
      </c>
      <c r="E1285">
        <v>50</v>
      </c>
      <c r="F1285">
        <v>46.847171783</v>
      </c>
      <c r="G1285">
        <v>1354.4713135</v>
      </c>
      <c r="H1285">
        <v>1348.1447754000001</v>
      </c>
      <c r="I1285">
        <v>1313.5693358999999</v>
      </c>
      <c r="J1285">
        <v>1305.8735352000001</v>
      </c>
      <c r="K1285">
        <v>2400</v>
      </c>
      <c r="L1285">
        <v>0</v>
      </c>
      <c r="M1285">
        <v>0</v>
      </c>
      <c r="N1285">
        <v>2400</v>
      </c>
    </row>
    <row r="1286" spans="1:14" x14ac:dyDescent="0.25">
      <c r="A1286">
        <v>779.35599999999999</v>
      </c>
      <c r="B1286" s="1">
        <f>DATE(2012,6,18) + TIME(8,32,38)</f>
        <v>41078.355995370373</v>
      </c>
      <c r="C1286">
        <v>80</v>
      </c>
      <c r="D1286">
        <v>79.956855774000005</v>
      </c>
      <c r="E1286">
        <v>50</v>
      </c>
      <c r="F1286">
        <v>46.805843353</v>
      </c>
      <c r="G1286">
        <v>1354.4479980000001</v>
      </c>
      <c r="H1286">
        <v>1348.1292725000001</v>
      </c>
      <c r="I1286">
        <v>1313.5549315999999</v>
      </c>
      <c r="J1286">
        <v>1305.8535156</v>
      </c>
      <c r="K1286">
        <v>2400</v>
      </c>
      <c r="L1286">
        <v>0</v>
      </c>
      <c r="M1286">
        <v>0</v>
      </c>
      <c r="N1286">
        <v>2400</v>
      </c>
    </row>
    <row r="1287" spans="1:14" x14ac:dyDescent="0.25">
      <c r="A1287">
        <v>780.20830100000001</v>
      </c>
      <c r="B1287" s="1">
        <f>DATE(2012,6,19) + TIME(4,59,57)</f>
        <v>41079.208298611113</v>
      </c>
      <c r="C1287">
        <v>80</v>
      </c>
      <c r="D1287">
        <v>79.956832886000001</v>
      </c>
      <c r="E1287">
        <v>50</v>
      </c>
      <c r="F1287">
        <v>46.764247894</v>
      </c>
      <c r="G1287">
        <v>1354.4248047000001</v>
      </c>
      <c r="H1287">
        <v>1348.1136475000001</v>
      </c>
      <c r="I1287">
        <v>1313.5400391000001</v>
      </c>
      <c r="J1287">
        <v>1305.8330077999999</v>
      </c>
      <c r="K1287">
        <v>2400</v>
      </c>
      <c r="L1287">
        <v>0</v>
      </c>
      <c r="M1287">
        <v>0</v>
      </c>
      <c r="N1287">
        <v>2400</v>
      </c>
    </row>
    <row r="1288" spans="1:14" x14ac:dyDescent="0.25">
      <c r="A1288">
        <v>781.07053199999996</v>
      </c>
      <c r="B1288" s="1">
        <f>DATE(2012,6,20) + TIME(1,41,33)</f>
        <v>41080.070520833331</v>
      </c>
      <c r="C1288">
        <v>80</v>
      </c>
      <c r="D1288">
        <v>79.956809997999997</v>
      </c>
      <c r="E1288">
        <v>50</v>
      </c>
      <c r="F1288">
        <v>46.722400665000002</v>
      </c>
      <c r="G1288">
        <v>1354.4014893000001</v>
      </c>
      <c r="H1288">
        <v>1348.0981445</v>
      </c>
      <c r="I1288">
        <v>1313.5247803</v>
      </c>
      <c r="J1288">
        <v>1305.8117675999999</v>
      </c>
      <c r="K1288">
        <v>2400</v>
      </c>
      <c r="L1288">
        <v>0</v>
      </c>
      <c r="M1288">
        <v>0</v>
      </c>
      <c r="N1288">
        <v>2400</v>
      </c>
    </row>
    <row r="1289" spans="1:14" x14ac:dyDescent="0.25">
      <c r="A1289">
        <v>781.94544699999994</v>
      </c>
      <c r="B1289" s="1">
        <f>DATE(2012,6,20) + TIME(22,41,26)</f>
        <v>41080.945439814815</v>
      </c>
      <c r="C1289">
        <v>80</v>
      </c>
      <c r="D1289">
        <v>79.956787109000004</v>
      </c>
      <c r="E1289">
        <v>50</v>
      </c>
      <c r="F1289">
        <v>46.680252074999999</v>
      </c>
      <c r="G1289">
        <v>1354.3782959</v>
      </c>
      <c r="H1289">
        <v>1348.0826416</v>
      </c>
      <c r="I1289">
        <v>1313.5091553</v>
      </c>
      <c r="J1289">
        <v>1305.7899170000001</v>
      </c>
      <c r="K1289">
        <v>2400</v>
      </c>
      <c r="L1289">
        <v>0</v>
      </c>
      <c r="M1289">
        <v>0</v>
      </c>
      <c r="N1289">
        <v>2400</v>
      </c>
    </row>
    <row r="1290" spans="1:14" x14ac:dyDescent="0.25">
      <c r="A1290">
        <v>782.83490800000004</v>
      </c>
      <c r="B1290" s="1">
        <f>DATE(2012,6,21) + TIME(20,2,16)</f>
        <v>41081.834907407407</v>
      </c>
      <c r="C1290">
        <v>80</v>
      </c>
      <c r="D1290">
        <v>79.956764221</v>
      </c>
      <c r="E1290">
        <v>50</v>
      </c>
      <c r="F1290">
        <v>46.637729645</v>
      </c>
      <c r="G1290">
        <v>1354.3551024999999</v>
      </c>
      <c r="H1290">
        <v>1348.0670166</v>
      </c>
      <c r="I1290">
        <v>1313.4931641000001</v>
      </c>
      <c r="J1290">
        <v>1305.7674560999999</v>
      </c>
      <c r="K1290">
        <v>2400</v>
      </c>
      <c r="L1290">
        <v>0</v>
      </c>
      <c r="M1290">
        <v>0</v>
      </c>
      <c r="N1290">
        <v>2400</v>
      </c>
    </row>
    <row r="1291" spans="1:14" x14ac:dyDescent="0.25">
      <c r="A1291">
        <v>783.73431900000003</v>
      </c>
      <c r="B1291" s="1">
        <f>DATE(2012,6,22) + TIME(17,37,25)</f>
        <v>41082.734317129631</v>
      </c>
      <c r="C1291">
        <v>80</v>
      </c>
      <c r="D1291">
        <v>79.956748962000006</v>
      </c>
      <c r="E1291">
        <v>50</v>
      </c>
      <c r="F1291">
        <v>46.594909668</v>
      </c>
      <c r="G1291">
        <v>1354.3317870999999</v>
      </c>
      <c r="H1291">
        <v>1348.0513916</v>
      </c>
      <c r="I1291">
        <v>1313.4765625</v>
      </c>
      <c r="J1291">
        <v>1305.7441406</v>
      </c>
      <c r="K1291">
        <v>2400</v>
      </c>
      <c r="L1291">
        <v>0</v>
      </c>
      <c r="M1291">
        <v>0</v>
      </c>
      <c r="N1291">
        <v>2400</v>
      </c>
    </row>
    <row r="1292" spans="1:14" x14ac:dyDescent="0.25">
      <c r="A1292">
        <v>784.64407000000006</v>
      </c>
      <c r="B1292" s="1">
        <f>DATE(2012,6,23) + TIME(15,27,27)</f>
        <v>41083.644062500003</v>
      </c>
      <c r="C1292">
        <v>80</v>
      </c>
      <c r="D1292">
        <v>79.956726074000002</v>
      </c>
      <c r="E1292">
        <v>50</v>
      </c>
      <c r="F1292">
        <v>46.551822661999999</v>
      </c>
      <c r="G1292">
        <v>1354.3084716999999</v>
      </c>
      <c r="H1292">
        <v>1348.0356445</v>
      </c>
      <c r="I1292">
        <v>1313.4595947</v>
      </c>
      <c r="J1292">
        <v>1305.7202147999999</v>
      </c>
      <c r="K1292">
        <v>2400</v>
      </c>
      <c r="L1292">
        <v>0</v>
      </c>
      <c r="M1292">
        <v>0</v>
      </c>
      <c r="N1292">
        <v>2400</v>
      </c>
    </row>
    <row r="1293" spans="1:14" x14ac:dyDescent="0.25">
      <c r="A1293">
        <v>785.56611899999996</v>
      </c>
      <c r="B1293" s="1">
        <f>DATE(2012,6,24) + TIME(13,35,12)</f>
        <v>41084.566111111111</v>
      </c>
      <c r="C1293">
        <v>80</v>
      </c>
      <c r="D1293">
        <v>79.956703185999999</v>
      </c>
      <c r="E1293">
        <v>50</v>
      </c>
      <c r="F1293">
        <v>46.508441925</v>
      </c>
      <c r="G1293">
        <v>1354.2852783000001</v>
      </c>
      <c r="H1293">
        <v>1348.0200195</v>
      </c>
      <c r="I1293">
        <v>1313.4421387</v>
      </c>
      <c r="J1293">
        <v>1305.6955565999999</v>
      </c>
      <c r="K1293">
        <v>2400</v>
      </c>
      <c r="L1293">
        <v>0</v>
      </c>
      <c r="M1293">
        <v>0</v>
      </c>
      <c r="N1293">
        <v>2400</v>
      </c>
    </row>
    <row r="1294" spans="1:14" x14ac:dyDescent="0.25">
      <c r="A1294">
        <v>786.50282500000003</v>
      </c>
      <c r="B1294" s="1">
        <f>DATE(2012,6,25) + TIME(12,4,4)</f>
        <v>41085.502824074072</v>
      </c>
      <c r="C1294">
        <v>80</v>
      </c>
      <c r="D1294">
        <v>79.956680297999995</v>
      </c>
      <c r="E1294">
        <v>50</v>
      </c>
      <c r="F1294">
        <v>46.464694977000001</v>
      </c>
      <c r="G1294">
        <v>1354.2620850000001</v>
      </c>
      <c r="H1294">
        <v>1348.0043945</v>
      </c>
      <c r="I1294">
        <v>1313.4241943</v>
      </c>
      <c r="J1294">
        <v>1305.6701660000001</v>
      </c>
      <c r="K1294">
        <v>2400</v>
      </c>
      <c r="L1294">
        <v>0</v>
      </c>
      <c r="M1294">
        <v>0</v>
      </c>
      <c r="N1294">
        <v>2400</v>
      </c>
    </row>
    <row r="1295" spans="1:14" x14ac:dyDescent="0.25">
      <c r="A1295">
        <v>787.45670500000006</v>
      </c>
      <c r="B1295" s="1">
        <f>DATE(2012,6,26) + TIME(10,57,39)</f>
        <v>41086.456701388888</v>
      </c>
      <c r="C1295">
        <v>80</v>
      </c>
      <c r="D1295">
        <v>79.956665039000001</v>
      </c>
      <c r="E1295">
        <v>50</v>
      </c>
      <c r="F1295">
        <v>46.420490264999998</v>
      </c>
      <c r="G1295">
        <v>1354.2387695</v>
      </c>
      <c r="H1295">
        <v>1347.9886475000001</v>
      </c>
      <c r="I1295">
        <v>1313.4056396000001</v>
      </c>
      <c r="J1295">
        <v>1305.6439209</v>
      </c>
      <c r="K1295">
        <v>2400</v>
      </c>
      <c r="L1295">
        <v>0</v>
      </c>
      <c r="M1295">
        <v>0</v>
      </c>
      <c r="N1295">
        <v>2400</v>
      </c>
    </row>
    <row r="1296" spans="1:14" x14ac:dyDescent="0.25">
      <c r="A1296">
        <v>788.43045500000005</v>
      </c>
      <c r="B1296" s="1">
        <f>DATE(2012,6,27) + TIME(10,19,51)</f>
        <v>41087.430451388886</v>
      </c>
      <c r="C1296">
        <v>80</v>
      </c>
      <c r="D1296">
        <v>79.956642150999997</v>
      </c>
      <c r="E1296">
        <v>50</v>
      </c>
      <c r="F1296">
        <v>46.375728606999999</v>
      </c>
      <c r="G1296">
        <v>1354.215332</v>
      </c>
      <c r="H1296">
        <v>1347.9727783000001</v>
      </c>
      <c r="I1296">
        <v>1313.3865966999999</v>
      </c>
      <c r="J1296">
        <v>1305.6168213000001</v>
      </c>
      <c r="K1296">
        <v>2400</v>
      </c>
      <c r="L1296">
        <v>0</v>
      </c>
      <c r="M1296">
        <v>0</v>
      </c>
      <c r="N1296">
        <v>2400</v>
      </c>
    </row>
    <row r="1297" spans="1:14" x14ac:dyDescent="0.25">
      <c r="A1297">
        <v>789.42700200000002</v>
      </c>
      <c r="B1297" s="1">
        <f>DATE(2012,6,28) + TIME(10,14,52)</f>
        <v>41088.426990740743</v>
      </c>
      <c r="C1297">
        <v>80</v>
      </c>
      <c r="D1297">
        <v>79.956626892000003</v>
      </c>
      <c r="E1297">
        <v>50</v>
      </c>
      <c r="F1297">
        <v>46.330291748</v>
      </c>
      <c r="G1297">
        <v>1354.1917725000001</v>
      </c>
      <c r="H1297">
        <v>1347.9567870999999</v>
      </c>
      <c r="I1297">
        <v>1313.3668213000001</v>
      </c>
      <c r="J1297">
        <v>1305.5886230000001</v>
      </c>
      <c r="K1297">
        <v>2400</v>
      </c>
      <c r="L1297">
        <v>0</v>
      </c>
      <c r="M1297">
        <v>0</v>
      </c>
      <c r="N1297">
        <v>2400</v>
      </c>
    </row>
    <row r="1298" spans="1:14" x14ac:dyDescent="0.25">
      <c r="A1298">
        <v>790.44482100000005</v>
      </c>
      <c r="B1298" s="1">
        <f>DATE(2012,6,29) + TIME(10,40,32)</f>
        <v>41089.444814814815</v>
      </c>
      <c r="C1298">
        <v>80</v>
      </c>
      <c r="D1298">
        <v>79.956604003999999</v>
      </c>
      <c r="E1298">
        <v>50</v>
      </c>
      <c r="F1298">
        <v>46.284156799000002</v>
      </c>
      <c r="G1298">
        <v>1354.1679687999999</v>
      </c>
      <c r="H1298">
        <v>1347.9406738</v>
      </c>
      <c r="I1298">
        <v>1313.3463135</v>
      </c>
      <c r="J1298">
        <v>1305.5592041</v>
      </c>
      <c r="K1298">
        <v>2400</v>
      </c>
      <c r="L1298">
        <v>0</v>
      </c>
      <c r="M1298">
        <v>0</v>
      </c>
      <c r="N1298">
        <v>2400</v>
      </c>
    </row>
    <row r="1299" spans="1:14" x14ac:dyDescent="0.25">
      <c r="A1299">
        <v>791.46862499999997</v>
      </c>
      <c r="B1299" s="1">
        <f>DATE(2012,6,30) + TIME(11,14,49)</f>
        <v>41090.468622685185</v>
      </c>
      <c r="C1299">
        <v>80</v>
      </c>
      <c r="D1299">
        <v>79.956588745000005</v>
      </c>
      <c r="E1299">
        <v>50</v>
      </c>
      <c r="F1299">
        <v>46.237632751</v>
      </c>
      <c r="G1299">
        <v>1354.144043</v>
      </c>
      <c r="H1299">
        <v>1347.9243164</v>
      </c>
      <c r="I1299">
        <v>1313.3249512</v>
      </c>
      <c r="J1299">
        <v>1305.5288086</v>
      </c>
      <c r="K1299">
        <v>2400</v>
      </c>
      <c r="L1299">
        <v>0</v>
      </c>
      <c r="M1299">
        <v>0</v>
      </c>
      <c r="N1299">
        <v>2400</v>
      </c>
    </row>
    <row r="1300" spans="1:14" x14ac:dyDescent="0.25">
      <c r="A1300">
        <v>792</v>
      </c>
      <c r="B1300" s="1">
        <f>DATE(2012,7,1) + TIME(0,0,0)</f>
        <v>41091</v>
      </c>
      <c r="C1300">
        <v>80</v>
      </c>
      <c r="D1300">
        <v>79.956565857000001</v>
      </c>
      <c r="E1300">
        <v>50</v>
      </c>
      <c r="F1300">
        <v>46.205013274999999</v>
      </c>
      <c r="G1300">
        <v>1354.1201172000001</v>
      </c>
      <c r="H1300">
        <v>1347.9079589999999</v>
      </c>
      <c r="I1300">
        <v>1313.3037108999999</v>
      </c>
      <c r="J1300">
        <v>1305.5</v>
      </c>
      <c r="K1300">
        <v>2400</v>
      </c>
      <c r="L1300">
        <v>0</v>
      </c>
      <c r="M1300">
        <v>0</v>
      </c>
      <c r="N1300">
        <v>2400</v>
      </c>
    </row>
    <row r="1301" spans="1:14" x14ac:dyDescent="0.25">
      <c r="A1301">
        <v>793.02791500000001</v>
      </c>
      <c r="B1301" s="1">
        <f>DATE(2012,7,2) + TIME(0,40,11)</f>
        <v>41092.027905092589</v>
      </c>
      <c r="C1301">
        <v>80</v>
      </c>
      <c r="D1301">
        <v>79.956558228000006</v>
      </c>
      <c r="E1301">
        <v>50</v>
      </c>
      <c r="F1301">
        <v>46.162929535000004</v>
      </c>
      <c r="G1301">
        <v>1354.1079102000001</v>
      </c>
      <c r="H1301">
        <v>1347.8996582</v>
      </c>
      <c r="I1301">
        <v>1313.2912598</v>
      </c>
      <c r="J1301">
        <v>1305.4797363</v>
      </c>
      <c r="K1301">
        <v>2400</v>
      </c>
      <c r="L1301">
        <v>0</v>
      </c>
      <c r="M1301">
        <v>0</v>
      </c>
      <c r="N1301">
        <v>2400</v>
      </c>
    </row>
    <row r="1302" spans="1:14" x14ac:dyDescent="0.25">
      <c r="A1302">
        <v>794.06572800000004</v>
      </c>
      <c r="B1302" s="1">
        <f>DATE(2012,7,3) + TIME(1,34,38)</f>
        <v>41093.065717592595</v>
      </c>
      <c r="C1302">
        <v>80</v>
      </c>
      <c r="D1302">
        <v>79.956542968999997</v>
      </c>
      <c r="E1302">
        <v>50</v>
      </c>
      <c r="F1302">
        <v>46.118286132999998</v>
      </c>
      <c r="G1302">
        <v>1354.0845947</v>
      </c>
      <c r="H1302">
        <v>1347.8836670000001</v>
      </c>
      <c r="I1302">
        <v>1313.2692870999999</v>
      </c>
      <c r="J1302">
        <v>1305.4483643000001</v>
      </c>
      <c r="K1302">
        <v>2400</v>
      </c>
      <c r="L1302">
        <v>0</v>
      </c>
      <c r="M1302">
        <v>0</v>
      </c>
      <c r="N1302">
        <v>2400</v>
      </c>
    </row>
    <row r="1303" spans="1:14" x14ac:dyDescent="0.25">
      <c r="A1303">
        <v>795.11272599999995</v>
      </c>
      <c r="B1303" s="1">
        <f>DATE(2012,7,4) + TIME(2,42,19)</f>
        <v>41094.112719907411</v>
      </c>
      <c r="C1303">
        <v>80</v>
      </c>
      <c r="D1303">
        <v>79.956527710000003</v>
      </c>
      <c r="E1303">
        <v>50</v>
      </c>
      <c r="F1303">
        <v>46.072368621999999</v>
      </c>
      <c r="G1303">
        <v>1354.0611572</v>
      </c>
      <c r="H1303">
        <v>1347.8676757999999</v>
      </c>
      <c r="I1303">
        <v>1313.246582</v>
      </c>
      <c r="J1303">
        <v>1305.4156493999999</v>
      </c>
      <c r="K1303">
        <v>2400</v>
      </c>
      <c r="L1303">
        <v>0</v>
      </c>
      <c r="M1303">
        <v>0</v>
      </c>
      <c r="N1303">
        <v>2400</v>
      </c>
    </row>
    <row r="1304" spans="1:14" x14ac:dyDescent="0.25">
      <c r="A1304">
        <v>796.17282599999999</v>
      </c>
      <c r="B1304" s="1">
        <f>DATE(2012,7,5) + TIME(4,8,52)</f>
        <v>41095.172824074078</v>
      </c>
      <c r="C1304">
        <v>80</v>
      </c>
      <c r="D1304">
        <v>79.956512450999995</v>
      </c>
      <c r="E1304">
        <v>50</v>
      </c>
      <c r="F1304">
        <v>46.025691985999998</v>
      </c>
      <c r="G1304">
        <v>1354.0379639</v>
      </c>
      <c r="H1304">
        <v>1347.8516846</v>
      </c>
      <c r="I1304">
        <v>1313.2232666</v>
      </c>
      <c r="J1304">
        <v>1305.3818358999999</v>
      </c>
      <c r="K1304">
        <v>2400</v>
      </c>
      <c r="L1304">
        <v>0</v>
      </c>
      <c r="M1304">
        <v>0</v>
      </c>
      <c r="N1304">
        <v>2400</v>
      </c>
    </row>
    <row r="1305" spans="1:14" x14ac:dyDescent="0.25">
      <c r="A1305">
        <v>797.245003</v>
      </c>
      <c r="B1305" s="1">
        <f>DATE(2012,7,6) + TIME(5,52,48)</f>
        <v>41096.245000000003</v>
      </c>
      <c r="C1305">
        <v>80</v>
      </c>
      <c r="D1305">
        <v>79.956497192</v>
      </c>
      <c r="E1305">
        <v>50</v>
      </c>
      <c r="F1305">
        <v>45.978500365999999</v>
      </c>
      <c r="G1305">
        <v>1354.0146483999999</v>
      </c>
      <c r="H1305">
        <v>1347.8355713000001</v>
      </c>
      <c r="I1305">
        <v>1313.1993408000001</v>
      </c>
      <c r="J1305">
        <v>1305.3470459</v>
      </c>
      <c r="K1305">
        <v>2400</v>
      </c>
      <c r="L1305">
        <v>0</v>
      </c>
      <c r="M1305">
        <v>0</v>
      </c>
      <c r="N1305">
        <v>2400</v>
      </c>
    </row>
    <row r="1306" spans="1:14" x14ac:dyDescent="0.25">
      <c r="A1306">
        <v>798.33088899999996</v>
      </c>
      <c r="B1306" s="1">
        <f>DATE(2012,7,7) + TIME(7,56,28)</f>
        <v>41097.330879629626</v>
      </c>
      <c r="C1306">
        <v>80</v>
      </c>
      <c r="D1306">
        <v>79.956489563000005</v>
      </c>
      <c r="E1306">
        <v>50</v>
      </c>
      <c r="F1306">
        <v>45.930885314999998</v>
      </c>
      <c r="G1306">
        <v>1353.9914550999999</v>
      </c>
      <c r="H1306">
        <v>1347.8195800999999</v>
      </c>
      <c r="I1306">
        <v>1313.1748047000001</v>
      </c>
      <c r="J1306">
        <v>1305.3112793</v>
      </c>
      <c r="K1306">
        <v>2400</v>
      </c>
      <c r="L1306">
        <v>0</v>
      </c>
      <c r="M1306">
        <v>0</v>
      </c>
      <c r="N1306">
        <v>2400</v>
      </c>
    </row>
    <row r="1307" spans="1:14" x14ac:dyDescent="0.25">
      <c r="A1307">
        <v>799.43311400000005</v>
      </c>
      <c r="B1307" s="1">
        <f>DATE(2012,7,8) + TIME(10,23,41)</f>
        <v>41098.433113425926</v>
      </c>
      <c r="C1307">
        <v>80</v>
      </c>
      <c r="D1307">
        <v>79.956474303999997</v>
      </c>
      <c r="E1307">
        <v>50</v>
      </c>
      <c r="F1307">
        <v>45.882827759000001</v>
      </c>
      <c r="G1307">
        <v>1353.9682617000001</v>
      </c>
      <c r="H1307">
        <v>1347.8035889</v>
      </c>
      <c r="I1307">
        <v>1313.1496582</v>
      </c>
      <c r="J1307">
        <v>1305.2742920000001</v>
      </c>
      <c r="K1307">
        <v>2400</v>
      </c>
      <c r="L1307">
        <v>0</v>
      </c>
      <c r="M1307">
        <v>0</v>
      </c>
      <c r="N1307">
        <v>2400</v>
      </c>
    </row>
    <row r="1308" spans="1:14" x14ac:dyDescent="0.25">
      <c r="A1308">
        <v>800.55398300000002</v>
      </c>
      <c r="B1308" s="1">
        <f>DATE(2012,7,9) + TIME(13,17,44)</f>
        <v>41099.553981481484</v>
      </c>
      <c r="C1308">
        <v>80</v>
      </c>
      <c r="D1308">
        <v>79.956459045000003</v>
      </c>
      <c r="E1308">
        <v>50</v>
      </c>
      <c r="F1308">
        <v>45.834266663000001</v>
      </c>
      <c r="G1308">
        <v>1353.9449463000001</v>
      </c>
      <c r="H1308">
        <v>1347.7873535000001</v>
      </c>
      <c r="I1308">
        <v>1313.1236572</v>
      </c>
      <c r="J1308">
        <v>1305.2363281</v>
      </c>
      <c r="K1308">
        <v>2400</v>
      </c>
      <c r="L1308">
        <v>0</v>
      </c>
      <c r="M1308">
        <v>0</v>
      </c>
      <c r="N1308">
        <v>2400</v>
      </c>
    </row>
    <row r="1309" spans="1:14" x14ac:dyDescent="0.25">
      <c r="A1309">
        <v>801.689213</v>
      </c>
      <c r="B1309" s="1">
        <f>DATE(2012,7,10) + TIME(16,32,28)</f>
        <v>41100.689212962963</v>
      </c>
      <c r="C1309">
        <v>80</v>
      </c>
      <c r="D1309">
        <v>79.956443786999998</v>
      </c>
      <c r="E1309">
        <v>50</v>
      </c>
      <c r="F1309">
        <v>45.785247802999997</v>
      </c>
      <c r="G1309">
        <v>1353.9215088000001</v>
      </c>
      <c r="H1309">
        <v>1347.7711182</v>
      </c>
      <c r="I1309">
        <v>1313.0970459</v>
      </c>
      <c r="J1309">
        <v>1305.1970214999999</v>
      </c>
      <c r="K1309">
        <v>2400</v>
      </c>
      <c r="L1309">
        <v>0</v>
      </c>
      <c r="M1309">
        <v>0</v>
      </c>
      <c r="N1309">
        <v>2400</v>
      </c>
    </row>
    <row r="1310" spans="1:14" x14ac:dyDescent="0.25">
      <c r="A1310">
        <v>802.84175800000003</v>
      </c>
      <c r="B1310" s="1">
        <f>DATE(2012,7,11) + TIME(20,12,7)</f>
        <v>41101.841747685183</v>
      </c>
      <c r="C1310">
        <v>80</v>
      </c>
      <c r="D1310">
        <v>79.956436156999999</v>
      </c>
      <c r="E1310">
        <v>50</v>
      </c>
      <c r="F1310">
        <v>45.735759735000002</v>
      </c>
      <c r="G1310">
        <v>1353.8980713000001</v>
      </c>
      <c r="H1310">
        <v>1347.7548827999999</v>
      </c>
      <c r="I1310">
        <v>1313.0695800999999</v>
      </c>
      <c r="J1310">
        <v>1305.1566161999999</v>
      </c>
      <c r="K1310">
        <v>2400</v>
      </c>
      <c r="L1310">
        <v>0</v>
      </c>
      <c r="M1310">
        <v>0</v>
      </c>
      <c r="N1310">
        <v>2400</v>
      </c>
    </row>
    <row r="1311" spans="1:14" x14ac:dyDescent="0.25">
      <c r="A1311">
        <v>804.01464099999998</v>
      </c>
      <c r="B1311" s="1">
        <f>DATE(2012,7,13) + TIME(0,21,4)</f>
        <v>41103.01462962963</v>
      </c>
      <c r="C1311">
        <v>80</v>
      </c>
      <c r="D1311">
        <v>79.956428528000004</v>
      </c>
      <c r="E1311">
        <v>50</v>
      </c>
      <c r="F1311">
        <v>45.685737609999997</v>
      </c>
      <c r="G1311">
        <v>1353.8746338000001</v>
      </c>
      <c r="H1311">
        <v>1347.7385254000001</v>
      </c>
      <c r="I1311">
        <v>1313.0415039</v>
      </c>
      <c r="J1311">
        <v>1305.1149902</v>
      </c>
      <c r="K1311">
        <v>2400</v>
      </c>
      <c r="L1311">
        <v>0</v>
      </c>
      <c r="M1311">
        <v>0</v>
      </c>
      <c r="N1311">
        <v>2400</v>
      </c>
    </row>
    <row r="1312" spans="1:14" x14ac:dyDescent="0.25">
      <c r="A1312">
        <v>805.21122300000002</v>
      </c>
      <c r="B1312" s="1">
        <f>DATE(2012,7,14) + TIME(5,4,9)</f>
        <v>41104.211215277777</v>
      </c>
      <c r="C1312">
        <v>80</v>
      </c>
      <c r="D1312">
        <v>79.956413268999995</v>
      </c>
      <c r="E1312">
        <v>50</v>
      </c>
      <c r="F1312">
        <v>45.635070800999998</v>
      </c>
      <c r="G1312">
        <v>1353.8510742000001</v>
      </c>
      <c r="H1312">
        <v>1347.7220459</v>
      </c>
      <c r="I1312">
        <v>1313.0124512</v>
      </c>
      <c r="J1312">
        <v>1305.0718993999999</v>
      </c>
      <c r="K1312">
        <v>2400</v>
      </c>
      <c r="L1312">
        <v>0</v>
      </c>
      <c r="M1312">
        <v>0</v>
      </c>
      <c r="N1312">
        <v>2400</v>
      </c>
    </row>
    <row r="1313" spans="1:14" x14ac:dyDescent="0.25">
      <c r="A1313">
        <v>806.43518900000004</v>
      </c>
      <c r="B1313" s="1">
        <f>DATE(2012,7,15) + TIME(10,26,40)</f>
        <v>41105.435185185182</v>
      </c>
      <c r="C1313">
        <v>80</v>
      </c>
      <c r="D1313">
        <v>79.95640564</v>
      </c>
      <c r="E1313">
        <v>50</v>
      </c>
      <c r="F1313">
        <v>45.583641051999997</v>
      </c>
      <c r="G1313">
        <v>1353.8272704999999</v>
      </c>
      <c r="H1313">
        <v>1347.7054443</v>
      </c>
      <c r="I1313">
        <v>1312.9825439000001</v>
      </c>
      <c r="J1313">
        <v>1305.0273437999999</v>
      </c>
      <c r="K1313">
        <v>2400</v>
      </c>
      <c r="L1313">
        <v>0</v>
      </c>
      <c r="M1313">
        <v>0</v>
      </c>
      <c r="N1313">
        <v>2400</v>
      </c>
    </row>
    <row r="1314" spans="1:14" x14ac:dyDescent="0.25">
      <c r="A1314">
        <v>807.67338400000006</v>
      </c>
      <c r="B1314" s="1">
        <f>DATE(2012,7,16) + TIME(16,9,40)</f>
        <v>41106.673379629632</v>
      </c>
      <c r="C1314">
        <v>80</v>
      </c>
      <c r="D1314">
        <v>79.956398010000001</v>
      </c>
      <c r="E1314">
        <v>50</v>
      </c>
      <c r="F1314">
        <v>45.531604766999997</v>
      </c>
      <c r="G1314">
        <v>1353.8032227000001</v>
      </c>
      <c r="H1314">
        <v>1347.6885986</v>
      </c>
      <c r="I1314">
        <v>1312.9515381000001</v>
      </c>
      <c r="J1314">
        <v>1304.9812012</v>
      </c>
      <c r="K1314">
        <v>2400</v>
      </c>
      <c r="L1314">
        <v>0</v>
      </c>
      <c r="M1314">
        <v>0</v>
      </c>
      <c r="N1314">
        <v>2400</v>
      </c>
    </row>
    <row r="1315" spans="1:14" x14ac:dyDescent="0.25">
      <c r="A1315">
        <v>808.91206199999999</v>
      </c>
      <c r="B1315" s="1">
        <f>DATE(2012,7,17) + TIME(21,53,22)</f>
        <v>41107.912060185183</v>
      </c>
      <c r="C1315">
        <v>80</v>
      </c>
      <c r="D1315">
        <v>79.956382751000007</v>
      </c>
      <c r="E1315">
        <v>50</v>
      </c>
      <c r="F1315">
        <v>45.479373932000001</v>
      </c>
      <c r="G1315">
        <v>1353.7792969</v>
      </c>
      <c r="H1315">
        <v>1347.6716309000001</v>
      </c>
      <c r="I1315">
        <v>1312.9197998</v>
      </c>
      <c r="J1315">
        <v>1304.9337158000001</v>
      </c>
      <c r="K1315">
        <v>2400</v>
      </c>
      <c r="L1315">
        <v>0</v>
      </c>
      <c r="M1315">
        <v>0</v>
      </c>
      <c r="N1315">
        <v>2400</v>
      </c>
    </row>
    <row r="1316" spans="1:14" x14ac:dyDescent="0.25">
      <c r="A1316">
        <v>810.15668500000004</v>
      </c>
      <c r="B1316" s="1">
        <f>DATE(2012,7,19) + TIME(3,45,37)</f>
        <v>41109.156678240739</v>
      </c>
      <c r="C1316">
        <v>80</v>
      </c>
      <c r="D1316">
        <v>79.956375121999997</v>
      </c>
      <c r="E1316">
        <v>50</v>
      </c>
      <c r="F1316">
        <v>45.427124022999998</v>
      </c>
      <c r="G1316">
        <v>1353.7554932</v>
      </c>
      <c r="H1316">
        <v>1347.6549072</v>
      </c>
      <c r="I1316">
        <v>1312.8876952999999</v>
      </c>
      <c r="J1316">
        <v>1304.8854980000001</v>
      </c>
      <c r="K1316">
        <v>2400</v>
      </c>
      <c r="L1316">
        <v>0</v>
      </c>
      <c r="M1316">
        <v>0</v>
      </c>
      <c r="N1316">
        <v>2400</v>
      </c>
    </row>
    <row r="1317" spans="1:14" x14ac:dyDescent="0.25">
      <c r="A1317">
        <v>811.41279699999996</v>
      </c>
      <c r="B1317" s="1">
        <f>DATE(2012,7,20) + TIME(9,54,25)</f>
        <v>41110.412789351853</v>
      </c>
      <c r="C1317">
        <v>80</v>
      </c>
      <c r="D1317">
        <v>79.956367493000002</v>
      </c>
      <c r="E1317">
        <v>50</v>
      </c>
      <c r="F1317">
        <v>45.374801636000001</v>
      </c>
      <c r="G1317">
        <v>1353.7319336</v>
      </c>
      <c r="H1317">
        <v>1347.6383057</v>
      </c>
      <c r="I1317">
        <v>1312.8549805</v>
      </c>
      <c r="J1317">
        <v>1304.8363036999999</v>
      </c>
      <c r="K1317">
        <v>2400</v>
      </c>
      <c r="L1317">
        <v>0</v>
      </c>
      <c r="M1317">
        <v>0</v>
      </c>
      <c r="N1317">
        <v>2400</v>
      </c>
    </row>
    <row r="1318" spans="1:14" x14ac:dyDescent="0.25">
      <c r="A1318">
        <v>812.68414600000006</v>
      </c>
      <c r="B1318" s="1">
        <f>DATE(2012,7,21) + TIME(16,25,10)</f>
        <v>41111.68414351852</v>
      </c>
      <c r="C1318">
        <v>80</v>
      </c>
      <c r="D1318">
        <v>79.956359863000003</v>
      </c>
      <c r="E1318">
        <v>50</v>
      </c>
      <c r="F1318">
        <v>45.322288512999997</v>
      </c>
      <c r="G1318">
        <v>1353.7084961</v>
      </c>
      <c r="H1318">
        <v>1347.6217041</v>
      </c>
      <c r="I1318">
        <v>1312.8217772999999</v>
      </c>
      <c r="J1318">
        <v>1304.7860106999999</v>
      </c>
      <c r="K1318">
        <v>2400</v>
      </c>
      <c r="L1318">
        <v>0</v>
      </c>
      <c r="M1318">
        <v>0</v>
      </c>
      <c r="N1318">
        <v>2400</v>
      </c>
    </row>
    <row r="1319" spans="1:14" x14ac:dyDescent="0.25">
      <c r="A1319">
        <v>813.963348</v>
      </c>
      <c r="B1319" s="1">
        <f>DATE(2012,7,22) + TIME(23,7,13)</f>
        <v>41112.96334490741</v>
      </c>
      <c r="C1319">
        <v>80</v>
      </c>
      <c r="D1319">
        <v>79.956359863000003</v>
      </c>
      <c r="E1319">
        <v>50</v>
      </c>
      <c r="F1319">
        <v>45.269645691000001</v>
      </c>
      <c r="G1319">
        <v>1353.6849365</v>
      </c>
      <c r="H1319">
        <v>1347.6049805</v>
      </c>
      <c r="I1319">
        <v>1312.7877197</v>
      </c>
      <c r="J1319">
        <v>1304.7344971</v>
      </c>
      <c r="K1319">
        <v>2400</v>
      </c>
      <c r="L1319">
        <v>0</v>
      </c>
      <c r="M1319">
        <v>0</v>
      </c>
      <c r="N1319">
        <v>2400</v>
      </c>
    </row>
    <row r="1320" spans="1:14" x14ac:dyDescent="0.25">
      <c r="A1320">
        <v>815.25195199999996</v>
      </c>
      <c r="B1320" s="1">
        <f>DATE(2012,7,24) + TIME(6,2,48)</f>
        <v>41114.251944444448</v>
      </c>
      <c r="C1320">
        <v>80</v>
      </c>
      <c r="D1320">
        <v>79.956352233999993</v>
      </c>
      <c r="E1320">
        <v>50</v>
      </c>
      <c r="F1320">
        <v>45.216938018999997</v>
      </c>
      <c r="G1320">
        <v>1353.6616211</v>
      </c>
      <c r="H1320">
        <v>1347.5883789</v>
      </c>
      <c r="I1320">
        <v>1312.7530518000001</v>
      </c>
      <c r="J1320">
        <v>1304.6818848</v>
      </c>
      <c r="K1320">
        <v>2400</v>
      </c>
      <c r="L1320">
        <v>0</v>
      </c>
      <c r="M1320">
        <v>0</v>
      </c>
      <c r="N1320">
        <v>2400</v>
      </c>
    </row>
    <row r="1321" spans="1:14" x14ac:dyDescent="0.25">
      <c r="A1321">
        <v>816.55720599999995</v>
      </c>
      <c r="B1321" s="1">
        <f>DATE(2012,7,25) + TIME(13,22,22)</f>
        <v>41115.557199074072</v>
      </c>
      <c r="C1321">
        <v>80</v>
      </c>
      <c r="D1321">
        <v>79.956344603999995</v>
      </c>
      <c r="E1321">
        <v>50</v>
      </c>
      <c r="F1321">
        <v>45.164073944000002</v>
      </c>
      <c r="G1321">
        <v>1353.6383057</v>
      </c>
      <c r="H1321">
        <v>1347.5717772999999</v>
      </c>
      <c r="I1321">
        <v>1312.7178954999999</v>
      </c>
      <c r="J1321">
        <v>1304.6282959</v>
      </c>
      <c r="K1321">
        <v>2400</v>
      </c>
      <c r="L1321">
        <v>0</v>
      </c>
      <c r="M1321">
        <v>0</v>
      </c>
      <c r="N1321">
        <v>2400</v>
      </c>
    </row>
    <row r="1322" spans="1:14" x14ac:dyDescent="0.25">
      <c r="A1322">
        <v>817.88290800000004</v>
      </c>
      <c r="B1322" s="1">
        <f>DATE(2012,7,26) + TIME(21,11,23)</f>
        <v>41116.882905092592</v>
      </c>
      <c r="C1322">
        <v>80</v>
      </c>
      <c r="D1322">
        <v>79.956344603999995</v>
      </c>
      <c r="E1322">
        <v>50</v>
      </c>
      <c r="F1322">
        <v>45.110919952000003</v>
      </c>
      <c r="G1322">
        <v>1353.6149902</v>
      </c>
      <c r="H1322">
        <v>1347.5551757999999</v>
      </c>
      <c r="I1322">
        <v>1312.6820068</v>
      </c>
      <c r="J1322">
        <v>1304.5733643000001</v>
      </c>
      <c r="K1322">
        <v>2400</v>
      </c>
      <c r="L1322">
        <v>0</v>
      </c>
      <c r="M1322">
        <v>0</v>
      </c>
      <c r="N1322">
        <v>2400</v>
      </c>
    </row>
    <row r="1323" spans="1:14" x14ac:dyDescent="0.25">
      <c r="A1323">
        <v>819.23264300000005</v>
      </c>
      <c r="B1323" s="1">
        <f>DATE(2012,7,28) + TIME(5,35,0)</f>
        <v>41118.232638888891</v>
      </c>
      <c r="C1323">
        <v>80</v>
      </c>
      <c r="D1323">
        <v>79.956336974999999</v>
      </c>
      <c r="E1323">
        <v>50</v>
      </c>
      <c r="F1323">
        <v>45.057357787999997</v>
      </c>
      <c r="G1323">
        <v>1353.5916748</v>
      </c>
      <c r="H1323">
        <v>1347.5384521000001</v>
      </c>
      <c r="I1323">
        <v>1312.6451416</v>
      </c>
      <c r="J1323">
        <v>1304.5169678</v>
      </c>
      <c r="K1323">
        <v>2400</v>
      </c>
      <c r="L1323">
        <v>0</v>
      </c>
      <c r="M1323">
        <v>0</v>
      </c>
      <c r="N1323">
        <v>2400</v>
      </c>
    </row>
    <row r="1324" spans="1:14" x14ac:dyDescent="0.25">
      <c r="A1324">
        <v>820.61054300000001</v>
      </c>
      <c r="B1324" s="1">
        <f>DATE(2012,7,29) + TIME(14,39,10)</f>
        <v>41119.610532407409</v>
      </c>
      <c r="C1324">
        <v>80</v>
      </c>
      <c r="D1324">
        <v>79.956336974999999</v>
      </c>
      <c r="E1324">
        <v>50</v>
      </c>
      <c r="F1324">
        <v>45.00328064</v>
      </c>
      <c r="G1324">
        <v>1353.5681152</v>
      </c>
      <c r="H1324">
        <v>1347.5214844</v>
      </c>
      <c r="I1324">
        <v>1312.6074219</v>
      </c>
      <c r="J1324">
        <v>1304.4588623</v>
      </c>
      <c r="K1324">
        <v>2400</v>
      </c>
      <c r="L1324">
        <v>0</v>
      </c>
      <c r="M1324">
        <v>0</v>
      </c>
      <c r="N1324">
        <v>2400</v>
      </c>
    </row>
    <row r="1325" spans="1:14" x14ac:dyDescent="0.25">
      <c r="A1325">
        <v>822.02107599999999</v>
      </c>
      <c r="B1325" s="1">
        <f>DATE(2012,7,31) + TIME(0,30,20)</f>
        <v>41121.021064814813</v>
      </c>
      <c r="C1325">
        <v>80</v>
      </c>
      <c r="D1325">
        <v>79.956336974999999</v>
      </c>
      <c r="E1325">
        <v>50</v>
      </c>
      <c r="F1325">
        <v>44.948574065999999</v>
      </c>
      <c r="G1325">
        <v>1353.5443115</v>
      </c>
      <c r="H1325">
        <v>1347.5043945</v>
      </c>
      <c r="I1325">
        <v>1312.5686035000001</v>
      </c>
      <c r="J1325">
        <v>1304.3990478999999</v>
      </c>
      <c r="K1325">
        <v>2400</v>
      </c>
      <c r="L1325">
        <v>0</v>
      </c>
      <c r="M1325">
        <v>0</v>
      </c>
      <c r="N1325">
        <v>2400</v>
      </c>
    </row>
    <row r="1326" spans="1:14" x14ac:dyDescent="0.25">
      <c r="A1326">
        <v>823</v>
      </c>
      <c r="B1326" s="1">
        <f>DATE(2012,8,1) + TIME(0,0,0)</f>
        <v>41122</v>
      </c>
      <c r="C1326">
        <v>80</v>
      </c>
      <c r="D1326">
        <v>79.956321716000005</v>
      </c>
      <c r="E1326">
        <v>50</v>
      </c>
      <c r="F1326">
        <v>44.901531218999999</v>
      </c>
      <c r="G1326">
        <v>1353.5202637</v>
      </c>
      <c r="H1326">
        <v>1347.4869385</v>
      </c>
      <c r="I1326">
        <v>1312.5296631000001</v>
      </c>
      <c r="J1326">
        <v>1304.3399658000001</v>
      </c>
      <c r="K1326">
        <v>2400</v>
      </c>
      <c r="L1326">
        <v>0</v>
      </c>
      <c r="M1326">
        <v>0</v>
      </c>
      <c r="N1326">
        <v>2400</v>
      </c>
    </row>
    <row r="1327" spans="1:14" x14ac:dyDescent="0.25">
      <c r="A1327">
        <v>824.44814299999996</v>
      </c>
      <c r="B1327" s="1">
        <f>DATE(2012,8,2) + TIME(10,45,19)</f>
        <v>41123.448136574072</v>
      </c>
      <c r="C1327">
        <v>80</v>
      </c>
      <c r="D1327">
        <v>79.956329346000004</v>
      </c>
      <c r="E1327">
        <v>50</v>
      </c>
      <c r="F1327">
        <v>44.851898192999997</v>
      </c>
      <c r="G1327">
        <v>1353.5037841999999</v>
      </c>
      <c r="H1327">
        <v>1347.4749756000001</v>
      </c>
      <c r="I1327">
        <v>1312.4993896000001</v>
      </c>
      <c r="J1327">
        <v>1304.2910156</v>
      </c>
      <c r="K1327">
        <v>2400</v>
      </c>
      <c r="L1327">
        <v>0</v>
      </c>
      <c r="M1327">
        <v>0</v>
      </c>
      <c r="N1327">
        <v>2400</v>
      </c>
    </row>
    <row r="1328" spans="1:14" x14ac:dyDescent="0.25">
      <c r="A1328">
        <v>825.90768500000001</v>
      </c>
      <c r="B1328" s="1">
        <f>DATE(2012,8,3) + TIME(21,47,4)</f>
        <v>41124.907685185186</v>
      </c>
      <c r="C1328">
        <v>80</v>
      </c>
      <c r="D1328">
        <v>79.956329346000004</v>
      </c>
      <c r="E1328">
        <v>50</v>
      </c>
      <c r="F1328">
        <v>44.798503875999998</v>
      </c>
      <c r="G1328">
        <v>1353.4794922000001</v>
      </c>
      <c r="H1328">
        <v>1347.4575195</v>
      </c>
      <c r="I1328">
        <v>1312.4587402</v>
      </c>
      <c r="J1328">
        <v>1304.2282714999999</v>
      </c>
      <c r="K1328">
        <v>2400</v>
      </c>
      <c r="L1328">
        <v>0</v>
      </c>
      <c r="M1328">
        <v>0</v>
      </c>
      <c r="N1328">
        <v>2400</v>
      </c>
    </row>
    <row r="1329" spans="1:14" x14ac:dyDescent="0.25">
      <c r="A1329">
        <v>827.37449000000004</v>
      </c>
      <c r="B1329" s="1">
        <f>DATE(2012,8,5) + TIME(8,59,15)</f>
        <v>41126.374479166669</v>
      </c>
      <c r="C1329">
        <v>80</v>
      </c>
      <c r="D1329">
        <v>79.956329346000004</v>
      </c>
      <c r="E1329">
        <v>50</v>
      </c>
      <c r="F1329">
        <v>44.743968963999997</v>
      </c>
      <c r="G1329">
        <v>1353.4553223</v>
      </c>
      <c r="H1329">
        <v>1347.4399414</v>
      </c>
      <c r="I1329">
        <v>1312.4169922000001</v>
      </c>
      <c r="J1329">
        <v>1304.1632079999999</v>
      </c>
      <c r="K1329">
        <v>2400</v>
      </c>
      <c r="L1329">
        <v>0</v>
      </c>
      <c r="M1329">
        <v>0</v>
      </c>
      <c r="N1329">
        <v>2400</v>
      </c>
    </row>
    <row r="1330" spans="1:14" x14ac:dyDescent="0.25">
      <c r="A1330">
        <v>828.85350100000005</v>
      </c>
      <c r="B1330" s="1">
        <f>DATE(2012,8,6) + TIME(20,29,2)</f>
        <v>41127.853495370371</v>
      </c>
      <c r="C1330">
        <v>80</v>
      </c>
      <c r="D1330">
        <v>79.956329346000004</v>
      </c>
      <c r="E1330">
        <v>50</v>
      </c>
      <c r="F1330">
        <v>44.689292907999999</v>
      </c>
      <c r="G1330">
        <v>1353.4313964999999</v>
      </c>
      <c r="H1330">
        <v>1347.4223632999999</v>
      </c>
      <c r="I1330">
        <v>1312.3745117000001</v>
      </c>
      <c r="J1330">
        <v>1304.0966797000001</v>
      </c>
      <c r="K1330">
        <v>2400</v>
      </c>
      <c r="L1330">
        <v>0</v>
      </c>
      <c r="M1330">
        <v>0</v>
      </c>
      <c r="N1330">
        <v>2400</v>
      </c>
    </row>
    <row r="1331" spans="1:14" x14ac:dyDescent="0.25">
      <c r="A1331">
        <v>830.33674499999995</v>
      </c>
      <c r="B1331" s="1">
        <f>DATE(2012,8,8) + TIME(8,4,54)</f>
        <v>41129.336736111109</v>
      </c>
      <c r="C1331">
        <v>80</v>
      </c>
      <c r="D1331">
        <v>79.956336974999999</v>
      </c>
      <c r="E1331">
        <v>50</v>
      </c>
      <c r="F1331">
        <v>44.634960175000003</v>
      </c>
      <c r="G1331">
        <v>1353.4074707</v>
      </c>
      <c r="H1331">
        <v>1347.4049072</v>
      </c>
      <c r="I1331">
        <v>1312.331543</v>
      </c>
      <c r="J1331">
        <v>1304.0290527</v>
      </c>
      <c r="K1331">
        <v>2400</v>
      </c>
      <c r="L1331">
        <v>0</v>
      </c>
      <c r="M1331">
        <v>0</v>
      </c>
      <c r="N1331">
        <v>2400</v>
      </c>
    </row>
    <row r="1332" spans="1:14" x14ac:dyDescent="0.25">
      <c r="A1332">
        <v>831.82814699999994</v>
      </c>
      <c r="B1332" s="1">
        <f>DATE(2012,8,9) + TIME(19,52,31)</f>
        <v>41130.828136574077</v>
      </c>
      <c r="C1332">
        <v>80</v>
      </c>
      <c r="D1332">
        <v>79.956336974999999</v>
      </c>
      <c r="E1332">
        <v>50</v>
      </c>
      <c r="F1332">
        <v>44.581245422000002</v>
      </c>
      <c r="G1332">
        <v>1353.3836670000001</v>
      </c>
      <c r="H1332">
        <v>1347.3875731999999</v>
      </c>
      <c r="I1332">
        <v>1312.2882079999999</v>
      </c>
      <c r="J1332">
        <v>1303.9606934000001</v>
      </c>
      <c r="K1332">
        <v>2400</v>
      </c>
      <c r="L1332">
        <v>0</v>
      </c>
      <c r="M1332">
        <v>0</v>
      </c>
      <c r="N1332">
        <v>2400</v>
      </c>
    </row>
    <row r="1333" spans="1:14" x14ac:dyDescent="0.25">
      <c r="A1333">
        <v>833.33155599999998</v>
      </c>
      <c r="B1333" s="1">
        <f>DATE(2012,8,11) + TIME(7,57,26)</f>
        <v>41132.331550925926</v>
      </c>
      <c r="C1333">
        <v>80</v>
      </c>
      <c r="D1333">
        <v>79.956336974999999</v>
      </c>
      <c r="E1333">
        <v>50</v>
      </c>
      <c r="F1333">
        <v>44.528221129999999</v>
      </c>
      <c r="G1333">
        <v>1353.3601074000001</v>
      </c>
      <c r="H1333">
        <v>1347.3701172000001</v>
      </c>
      <c r="I1333">
        <v>1312.2445068</v>
      </c>
      <c r="J1333">
        <v>1303.8913574000001</v>
      </c>
      <c r="K1333">
        <v>2400</v>
      </c>
      <c r="L1333">
        <v>0</v>
      </c>
      <c r="M1333">
        <v>0</v>
      </c>
      <c r="N1333">
        <v>2400</v>
      </c>
    </row>
    <row r="1334" spans="1:14" x14ac:dyDescent="0.25">
      <c r="A1334">
        <v>834.85787900000003</v>
      </c>
      <c r="B1334" s="1">
        <f>DATE(2012,8,12) + TIME(20,35,20)</f>
        <v>41133.857870370368</v>
      </c>
      <c r="C1334">
        <v>80</v>
      </c>
      <c r="D1334">
        <v>79.956344603999995</v>
      </c>
      <c r="E1334">
        <v>50</v>
      </c>
      <c r="F1334">
        <v>44.475818633999999</v>
      </c>
      <c r="G1334">
        <v>1353.3365478999999</v>
      </c>
      <c r="H1334">
        <v>1347.3527832</v>
      </c>
      <c r="I1334">
        <v>1312.2003173999999</v>
      </c>
      <c r="J1334">
        <v>1303.8211670000001</v>
      </c>
      <c r="K1334">
        <v>2400</v>
      </c>
      <c r="L1334">
        <v>0</v>
      </c>
      <c r="M1334">
        <v>0</v>
      </c>
      <c r="N1334">
        <v>2400</v>
      </c>
    </row>
    <row r="1335" spans="1:14" x14ac:dyDescent="0.25">
      <c r="A1335">
        <v>836.41307900000004</v>
      </c>
      <c r="B1335" s="1">
        <f>DATE(2012,8,14) + TIME(9,54,50)</f>
        <v>41135.413078703707</v>
      </c>
      <c r="C1335">
        <v>80</v>
      </c>
      <c r="D1335">
        <v>79.956344603999995</v>
      </c>
      <c r="E1335">
        <v>50</v>
      </c>
      <c r="F1335">
        <v>44.423954010000003</v>
      </c>
      <c r="G1335">
        <v>1353.3128661999999</v>
      </c>
      <c r="H1335">
        <v>1347.3353271000001</v>
      </c>
      <c r="I1335">
        <v>1312.1555175999999</v>
      </c>
      <c r="J1335">
        <v>1303.7495117000001</v>
      </c>
      <c r="K1335">
        <v>2400</v>
      </c>
      <c r="L1335">
        <v>0</v>
      </c>
      <c r="M1335">
        <v>0</v>
      </c>
      <c r="N1335">
        <v>2400</v>
      </c>
    </row>
    <row r="1336" spans="1:14" x14ac:dyDescent="0.25">
      <c r="A1336">
        <v>838.00221699999997</v>
      </c>
      <c r="B1336" s="1">
        <f>DATE(2012,8,16) + TIME(0,3,11)</f>
        <v>41137.002210648148</v>
      </c>
      <c r="C1336">
        <v>80</v>
      </c>
      <c r="D1336">
        <v>79.956352233999993</v>
      </c>
      <c r="E1336">
        <v>50</v>
      </c>
      <c r="F1336">
        <v>44.372611999999997</v>
      </c>
      <c r="G1336">
        <v>1353.2889404</v>
      </c>
      <c r="H1336">
        <v>1347.3176269999999</v>
      </c>
      <c r="I1336">
        <v>1312.1098632999999</v>
      </c>
      <c r="J1336">
        <v>1303.6762695</v>
      </c>
      <c r="K1336">
        <v>2400</v>
      </c>
      <c r="L1336">
        <v>0</v>
      </c>
      <c r="M1336">
        <v>0</v>
      </c>
      <c r="N1336">
        <v>2400</v>
      </c>
    </row>
    <row r="1337" spans="1:14" x14ac:dyDescent="0.25">
      <c r="A1337">
        <v>839.62429699999996</v>
      </c>
      <c r="B1337" s="1">
        <f>DATE(2012,8,17) + TIME(14,58,59)</f>
        <v>41138.624293981484</v>
      </c>
      <c r="C1337">
        <v>80</v>
      </c>
      <c r="D1337">
        <v>79.956359863000003</v>
      </c>
      <c r="E1337">
        <v>50</v>
      </c>
      <c r="F1337">
        <v>44.321903229</v>
      </c>
      <c r="G1337">
        <v>1353.2648925999999</v>
      </c>
      <c r="H1337">
        <v>1347.2996826000001</v>
      </c>
      <c r="I1337">
        <v>1312.0632324000001</v>
      </c>
      <c r="J1337">
        <v>1303.6013184000001</v>
      </c>
      <c r="K1337">
        <v>2400</v>
      </c>
      <c r="L1337">
        <v>0</v>
      </c>
      <c r="M1337">
        <v>0</v>
      </c>
      <c r="N1337">
        <v>2400</v>
      </c>
    </row>
    <row r="1338" spans="1:14" x14ac:dyDescent="0.25">
      <c r="A1338">
        <v>841.27065500000003</v>
      </c>
      <c r="B1338" s="1">
        <f>DATE(2012,8,19) + TIME(6,29,44)</f>
        <v>41140.270648148151</v>
      </c>
      <c r="C1338">
        <v>80</v>
      </c>
      <c r="D1338">
        <v>79.956367493000002</v>
      </c>
      <c r="E1338">
        <v>50</v>
      </c>
      <c r="F1338">
        <v>44.272140503000003</v>
      </c>
      <c r="G1338">
        <v>1353.2404785000001</v>
      </c>
      <c r="H1338">
        <v>1347.2814940999999</v>
      </c>
      <c r="I1338">
        <v>1312.0157471</v>
      </c>
      <c r="J1338">
        <v>1303.5245361</v>
      </c>
      <c r="K1338">
        <v>2400</v>
      </c>
      <c r="L1338">
        <v>0</v>
      </c>
      <c r="M1338">
        <v>0</v>
      </c>
      <c r="N1338">
        <v>2400</v>
      </c>
    </row>
    <row r="1339" spans="1:14" x14ac:dyDescent="0.25">
      <c r="A1339">
        <v>842.94103800000005</v>
      </c>
      <c r="B1339" s="1">
        <f>DATE(2012,8,20) + TIME(22,35,5)</f>
        <v>41141.941030092596</v>
      </c>
      <c r="C1339">
        <v>80</v>
      </c>
      <c r="D1339">
        <v>79.956375121999997</v>
      </c>
      <c r="E1339">
        <v>50</v>
      </c>
      <c r="F1339">
        <v>44.223743439000003</v>
      </c>
      <c r="G1339">
        <v>1353.2159423999999</v>
      </c>
      <c r="H1339">
        <v>1347.2633057</v>
      </c>
      <c r="I1339">
        <v>1311.9677733999999</v>
      </c>
      <c r="J1339">
        <v>1303.4465332</v>
      </c>
      <c r="K1339">
        <v>2400</v>
      </c>
      <c r="L1339">
        <v>0</v>
      </c>
      <c r="M1339">
        <v>0</v>
      </c>
      <c r="N1339">
        <v>2400</v>
      </c>
    </row>
    <row r="1340" spans="1:14" x14ac:dyDescent="0.25">
      <c r="A1340">
        <v>844.63708199999996</v>
      </c>
      <c r="B1340" s="1">
        <f>DATE(2012,8,22) + TIME(15,17,23)</f>
        <v>41143.637071759258</v>
      </c>
      <c r="C1340">
        <v>80</v>
      </c>
      <c r="D1340">
        <v>79.956382751000007</v>
      </c>
      <c r="E1340">
        <v>50</v>
      </c>
      <c r="F1340">
        <v>44.177078246999997</v>
      </c>
      <c r="G1340">
        <v>1353.1914062000001</v>
      </c>
      <c r="H1340">
        <v>1347.2448730000001</v>
      </c>
      <c r="I1340">
        <v>1311.9190673999999</v>
      </c>
      <c r="J1340">
        <v>1303.3673096</v>
      </c>
      <c r="K1340">
        <v>2400</v>
      </c>
      <c r="L1340">
        <v>0</v>
      </c>
      <c r="M1340">
        <v>0</v>
      </c>
      <c r="N1340">
        <v>2400</v>
      </c>
    </row>
    <row r="1341" spans="1:14" x14ac:dyDescent="0.25">
      <c r="A1341">
        <v>846.34178299999996</v>
      </c>
      <c r="B1341" s="1">
        <f>DATE(2012,8,24) + TIME(8,12,10)</f>
        <v>41145.341782407406</v>
      </c>
      <c r="C1341">
        <v>80</v>
      </c>
      <c r="D1341">
        <v>79.956390381000006</v>
      </c>
      <c r="E1341">
        <v>50</v>
      </c>
      <c r="F1341">
        <v>44.132625580000003</v>
      </c>
      <c r="G1341">
        <v>1353.166626</v>
      </c>
      <c r="H1341">
        <v>1347.2261963000001</v>
      </c>
      <c r="I1341">
        <v>1311.8699951000001</v>
      </c>
      <c r="J1341">
        <v>1303.2868652</v>
      </c>
      <c r="K1341">
        <v>2400</v>
      </c>
      <c r="L1341">
        <v>0</v>
      </c>
      <c r="M1341">
        <v>0</v>
      </c>
      <c r="N1341">
        <v>2400</v>
      </c>
    </row>
    <row r="1342" spans="1:14" x14ac:dyDescent="0.25">
      <c r="A1342">
        <v>848.05897400000003</v>
      </c>
      <c r="B1342" s="1">
        <f>DATE(2012,8,26) + TIME(1,24,55)</f>
        <v>41147.058969907404</v>
      </c>
      <c r="C1342">
        <v>80</v>
      </c>
      <c r="D1342">
        <v>79.956398010000001</v>
      </c>
      <c r="E1342">
        <v>50</v>
      </c>
      <c r="F1342">
        <v>44.090892791999998</v>
      </c>
      <c r="G1342">
        <v>1353.1419678</v>
      </c>
      <c r="H1342">
        <v>1347.2076416</v>
      </c>
      <c r="I1342">
        <v>1311.8209228999999</v>
      </c>
      <c r="J1342">
        <v>1303.2061768000001</v>
      </c>
      <c r="K1342">
        <v>2400</v>
      </c>
      <c r="L1342">
        <v>0</v>
      </c>
      <c r="M1342">
        <v>0</v>
      </c>
      <c r="N1342">
        <v>2400</v>
      </c>
    </row>
    <row r="1343" spans="1:14" x14ac:dyDescent="0.25">
      <c r="A1343">
        <v>849.78646000000003</v>
      </c>
      <c r="B1343" s="1">
        <f>DATE(2012,8,27) + TIME(18,52,30)</f>
        <v>41148.786458333336</v>
      </c>
      <c r="C1343">
        <v>80</v>
      </c>
      <c r="D1343">
        <v>79.956413268999995</v>
      </c>
      <c r="E1343">
        <v>50</v>
      </c>
      <c r="F1343">
        <v>44.052288054999998</v>
      </c>
      <c r="G1343">
        <v>1353.1174315999999</v>
      </c>
      <c r="H1343">
        <v>1347.1892089999999</v>
      </c>
      <c r="I1343">
        <v>1311.7718506000001</v>
      </c>
      <c r="J1343">
        <v>1303.125</v>
      </c>
      <c r="K1343">
        <v>2400</v>
      </c>
      <c r="L1343">
        <v>0</v>
      </c>
      <c r="M1343">
        <v>0</v>
      </c>
      <c r="N1343">
        <v>2400</v>
      </c>
    </row>
    <row r="1344" spans="1:14" x14ac:dyDescent="0.25">
      <c r="A1344">
        <v>851.52567899999997</v>
      </c>
      <c r="B1344" s="1">
        <f>DATE(2012,8,29) + TIME(12,36,58)</f>
        <v>41150.525671296295</v>
      </c>
      <c r="C1344">
        <v>80</v>
      </c>
      <c r="D1344">
        <v>79.956420898000005</v>
      </c>
      <c r="E1344">
        <v>50</v>
      </c>
      <c r="F1344">
        <v>44.017227173000002</v>
      </c>
      <c r="G1344">
        <v>1353.0930175999999</v>
      </c>
      <c r="H1344">
        <v>1347.1706543</v>
      </c>
      <c r="I1344">
        <v>1311.7229004000001</v>
      </c>
      <c r="J1344">
        <v>1303.0437012</v>
      </c>
      <c r="K1344">
        <v>2400</v>
      </c>
      <c r="L1344">
        <v>0</v>
      </c>
      <c r="M1344">
        <v>0</v>
      </c>
      <c r="N1344">
        <v>2400</v>
      </c>
    </row>
    <row r="1345" spans="1:14" x14ac:dyDescent="0.25">
      <c r="A1345">
        <v>853.28150500000004</v>
      </c>
      <c r="B1345" s="1">
        <f>DATE(2012,8,31) + TIME(6,45,22)</f>
        <v>41152.281504629631</v>
      </c>
      <c r="C1345">
        <v>80</v>
      </c>
      <c r="D1345">
        <v>79.956436156999999</v>
      </c>
      <c r="E1345">
        <v>50</v>
      </c>
      <c r="F1345">
        <v>43.986114502</v>
      </c>
      <c r="G1345">
        <v>1353.0686035000001</v>
      </c>
      <c r="H1345">
        <v>1347.1520995999999</v>
      </c>
      <c r="I1345">
        <v>1311.6740723</v>
      </c>
      <c r="J1345">
        <v>1302.9622803</v>
      </c>
      <c r="K1345">
        <v>2400</v>
      </c>
      <c r="L1345">
        <v>0</v>
      </c>
      <c r="M1345">
        <v>0</v>
      </c>
      <c r="N1345">
        <v>2400</v>
      </c>
    </row>
    <row r="1346" spans="1:14" x14ac:dyDescent="0.25">
      <c r="A1346">
        <v>854</v>
      </c>
      <c r="B1346" s="1">
        <f>DATE(2012,9,1) + TIME(0,0,0)</f>
        <v>41153</v>
      </c>
      <c r="C1346">
        <v>80</v>
      </c>
      <c r="D1346">
        <v>79.956428528000004</v>
      </c>
      <c r="E1346">
        <v>50</v>
      </c>
      <c r="F1346">
        <v>43.967880248999997</v>
      </c>
      <c r="G1346">
        <v>1353.0441894999999</v>
      </c>
      <c r="H1346">
        <v>1347.1334228999999</v>
      </c>
      <c r="I1346">
        <v>1311.6300048999999</v>
      </c>
      <c r="J1346">
        <v>1302.8898925999999</v>
      </c>
      <c r="K1346">
        <v>2400</v>
      </c>
      <c r="L1346">
        <v>0</v>
      </c>
      <c r="M1346">
        <v>0</v>
      </c>
      <c r="N1346">
        <v>2400</v>
      </c>
    </row>
    <row r="1347" spans="1:14" x14ac:dyDescent="0.25">
      <c r="A1347">
        <v>855.77549599999998</v>
      </c>
      <c r="B1347" s="1">
        <f>DATE(2012,9,2) + TIME(18,36,42)</f>
        <v>41154.77548611111</v>
      </c>
      <c r="C1347">
        <v>80</v>
      </c>
      <c r="D1347">
        <v>79.956451415999993</v>
      </c>
      <c r="E1347">
        <v>50</v>
      </c>
      <c r="F1347">
        <v>43.948249816999997</v>
      </c>
      <c r="G1347">
        <v>1353.0343018000001</v>
      </c>
      <c r="H1347">
        <v>1347.1258545000001</v>
      </c>
      <c r="I1347">
        <v>1311.6024170000001</v>
      </c>
      <c r="J1347">
        <v>1302.8417969</v>
      </c>
      <c r="K1347">
        <v>2400</v>
      </c>
      <c r="L1347">
        <v>0</v>
      </c>
      <c r="M1347">
        <v>0</v>
      </c>
      <c r="N1347">
        <v>2400</v>
      </c>
    </row>
    <row r="1348" spans="1:14" x14ac:dyDescent="0.25">
      <c r="A1348">
        <v>857.59262100000001</v>
      </c>
      <c r="B1348" s="1">
        <f>DATE(2012,9,4) + TIME(14,13,22)</f>
        <v>41156.592615740738</v>
      </c>
      <c r="C1348">
        <v>80</v>
      </c>
      <c r="D1348">
        <v>79.956466675000001</v>
      </c>
      <c r="E1348">
        <v>50</v>
      </c>
      <c r="F1348">
        <v>43.93031311</v>
      </c>
      <c r="G1348">
        <v>1353.0100098</v>
      </c>
      <c r="H1348">
        <v>1347.1072998</v>
      </c>
      <c r="I1348">
        <v>1311.5563964999999</v>
      </c>
      <c r="J1348">
        <v>1302.7641602000001</v>
      </c>
      <c r="K1348">
        <v>2400</v>
      </c>
      <c r="L1348">
        <v>0</v>
      </c>
      <c r="M1348">
        <v>0</v>
      </c>
      <c r="N1348">
        <v>2400</v>
      </c>
    </row>
    <row r="1349" spans="1:14" x14ac:dyDescent="0.25">
      <c r="A1349">
        <v>859.44768899999997</v>
      </c>
      <c r="B1349" s="1">
        <f>DATE(2012,9,6) + TIME(10,44,40)</f>
        <v>41158.447685185187</v>
      </c>
      <c r="C1349">
        <v>80</v>
      </c>
      <c r="D1349">
        <v>79.956481933999996</v>
      </c>
      <c r="E1349">
        <v>50</v>
      </c>
      <c r="F1349">
        <v>43.917068481000001</v>
      </c>
      <c r="G1349">
        <v>1352.9852295000001</v>
      </c>
      <c r="H1349">
        <v>1347.0882568</v>
      </c>
      <c r="I1349">
        <v>1311.5085449000001</v>
      </c>
      <c r="J1349">
        <v>1302.6832274999999</v>
      </c>
      <c r="K1349">
        <v>2400</v>
      </c>
      <c r="L1349">
        <v>0</v>
      </c>
      <c r="M1349">
        <v>0</v>
      </c>
      <c r="N1349">
        <v>2400</v>
      </c>
    </row>
    <row r="1350" spans="1:14" x14ac:dyDescent="0.25">
      <c r="A1350">
        <v>861.33280600000001</v>
      </c>
      <c r="B1350" s="1">
        <f>DATE(2012,9,8) + TIME(7,59,14)</f>
        <v>41160.332800925928</v>
      </c>
      <c r="C1350">
        <v>80</v>
      </c>
      <c r="D1350">
        <v>79.956497192</v>
      </c>
      <c r="E1350">
        <v>50</v>
      </c>
      <c r="F1350">
        <v>43.910190581999998</v>
      </c>
      <c r="G1350">
        <v>1352.9603271000001</v>
      </c>
      <c r="H1350">
        <v>1347.0690918</v>
      </c>
      <c r="I1350">
        <v>1311.4600829999999</v>
      </c>
      <c r="J1350">
        <v>1302.6008300999999</v>
      </c>
      <c r="K1350">
        <v>2400</v>
      </c>
      <c r="L1350">
        <v>0</v>
      </c>
      <c r="M1350">
        <v>0</v>
      </c>
      <c r="N1350">
        <v>2400</v>
      </c>
    </row>
    <row r="1351" spans="1:14" x14ac:dyDescent="0.25">
      <c r="A1351">
        <v>863.24325299999998</v>
      </c>
      <c r="B1351" s="1">
        <f>DATE(2012,9,10) + TIME(5,50,17)</f>
        <v>41162.243252314816</v>
      </c>
      <c r="C1351">
        <v>80</v>
      </c>
      <c r="D1351">
        <v>79.956512450999995</v>
      </c>
      <c r="E1351">
        <v>50</v>
      </c>
      <c r="F1351">
        <v>43.910934447999999</v>
      </c>
      <c r="G1351">
        <v>1352.9351807</v>
      </c>
      <c r="H1351">
        <v>1347.0496826000001</v>
      </c>
      <c r="I1351">
        <v>1311.4116211</v>
      </c>
      <c r="J1351">
        <v>1302.5180664</v>
      </c>
      <c r="K1351">
        <v>2400</v>
      </c>
      <c r="L1351">
        <v>0</v>
      </c>
      <c r="M1351">
        <v>0</v>
      </c>
      <c r="N1351">
        <v>2400</v>
      </c>
    </row>
    <row r="1352" spans="1:14" x14ac:dyDescent="0.25">
      <c r="A1352">
        <v>865.18333700000005</v>
      </c>
      <c r="B1352" s="1">
        <f>DATE(2012,9,12) + TIME(4,24,0)</f>
        <v>41164.183333333334</v>
      </c>
      <c r="C1352">
        <v>80</v>
      </c>
      <c r="D1352">
        <v>79.956527710000003</v>
      </c>
      <c r="E1352">
        <v>50</v>
      </c>
      <c r="F1352">
        <v>43.920433043999999</v>
      </c>
      <c r="G1352">
        <v>1352.9099120999999</v>
      </c>
      <c r="H1352">
        <v>1347.0300293</v>
      </c>
      <c r="I1352">
        <v>1311.3635254000001</v>
      </c>
      <c r="J1352">
        <v>1302.4355469</v>
      </c>
      <c r="K1352">
        <v>2400</v>
      </c>
      <c r="L1352">
        <v>0</v>
      </c>
      <c r="M1352">
        <v>0</v>
      </c>
      <c r="N1352">
        <v>2400</v>
      </c>
    </row>
    <row r="1353" spans="1:14" x14ac:dyDescent="0.25">
      <c r="A1353">
        <v>867.13354700000002</v>
      </c>
      <c r="B1353" s="1">
        <f>DATE(2012,9,14) + TIME(3,12,18)</f>
        <v>41166.13354166667</v>
      </c>
      <c r="C1353">
        <v>80</v>
      </c>
      <c r="D1353">
        <v>79.956550598000007</v>
      </c>
      <c r="E1353">
        <v>50</v>
      </c>
      <c r="F1353">
        <v>43.939777374000002</v>
      </c>
      <c r="G1353">
        <v>1352.8845214999999</v>
      </c>
      <c r="H1353">
        <v>1347.0102539</v>
      </c>
      <c r="I1353">
        <v>1311.315918</v>
      </c>
      <c r="J1353">
        <v>1302.3536377</v>
      </c>
      <c r="K1353">
        <v>2400</v>
      </c>
      <c r="L1353">
        <v>0</v>
      </c>
      <c r="M1353">
        <v>0</v>
      </c>
      <c r="N1353">
        <v>2400</v>
      </c>
    </row>
    <row r="1354" spans="1:14" x14ac:dyDescent="0.25">
      <c r="A1354">
        <v>869.10637599999995</v>
      </c>
      <c r="B1354" s="1">
        <f>DATE(2012,9,16) + TIME(2,33,10)</f>
        <v>41168.106365740743</v>
      </c>
      <c r="C1354">
        <v>80</v>
      </c>
      <c r="D1354">
        <v>79.956565857000001</v>
      </c>
      <c r="E1354">
        <v>50</v>
      </c>
      <c r="F1354">
        <v>43.969978333</v>
      </c>
      <c r="G1354">
        <v>1352.8591309000001</v>
      </c>
      <c r="H1354">
        <v>1346.9906006000001</v>
      </c>
      <c r="I1354">
        <v>1311.2691649999999</v>
      </c>
      <c r="J1354">
        <v>1302.2729492000001</v>
      </c>
      <c r="K1354">
        <v>2400</v>
      </c>
      <c r="L1354">
        <v>0</v>
      </c>
      <c r="M1354">
        <v>0</v>
      </c>
      <c r="N1354">
        <v>2400</v>
      </c>
    </row>
    <row r="1355" spans="1:14" x14ac:dyDescent="0.25">
      <c r="A1355">
        <v>871.08333600000003</v>
      </c>
      <c r="B1355" s="1">
        <f>DATE(2012,9,18) + TIME(2,0,0)</f>
        <v>41170.083333333336</v>
      </c>
      <c r="C1355">
        <v>80</v>
      </c>
      <c r="D1355">
        <v>79.956588745000005</v>
      </c>
      <c r="E1355">
        <v>50</v>
      </c>
      <c r="F1355">
        <v>44.012062073000003</v>
      </c>
      <c r="G1355">
        <v>1352.8337402</v>
      </c>
      <c r="H1355">
        <v>1346.9707031</v>
      </c>
      <c r="I1355">
        <v>1311.2233887</v>
      </c>
      <c r="J1355">
        <v>1302.1936035000001</v>
      </c>
      <c r="K1355">
        <v>2400</v>
      </c>
      <c r="L1355">
        <v>0</v>
      </c>
      <c r="M1355">
        <v>0</v>
      </c>
      <c r="N1355">
        <v>2400</v>
      </c>
    </row>
    <row r="1356" spans="1:14" x14ac:dyDescent="0.25">
      <c r="A1356">
        <v>873.07086400000003</v>
      </c>
      <c r="B1356" s="1">
        <f>DATE(2012,9,20) + TIME(1,42,2)</f>
        <v>41172.070856481485</v>
      </c>
      <c r="C1356">
        <v>80</v>
      </c>
      <c r="D1356">
        <v>79.956604003999999</v>
      </c>
      <c r="E1356">
        <v>50</v>
      </c>
      <c r="F1356">
        <v>44.066837311</v>
      </c>
      <c r="G1356">
        <v>1352.8084716999999</v>
      </c>
      <c r="H1356">
        <v>1346.9509277</v>
      </c>
      <c r="I1356">
        <v>1311.1788329999999</v>
      </c>
      <c r="J1356">
        <v>1302.1164550999999</v>
      </c>
      <c r="K1356">
        <v>2400</v>
      </c>
      <c r="L1356">
        <v>0</v>
      </c>
      <c r="M1356">
        <v>0</v>
      </c>
      <c r="N1356">
        <v>2400</v>
      </c>
    </row>
    <row r="1357" spans="1:14" x14ac:dyDescent="0.25">
      <c r="A1357">
        <v>875.076322</v>
      </c>
      <c r="B1357" s="1">
        <f>DATE(2012,9,22) + TIME(1,49,54)</f>
        <v>41174.076319444444</v>
      </c>
      <c r="C1357">
        <v>80</v>
      </c>
      <c r="D1357">
        <v>79.956626892000003</v>
      </c>
      <c r="E1357">
        <v>50</v>
      </c>
      <c r="F1357">
        <v>44.135295868</v>
      </c>
      <c r="G1357">
        <v>1352.7833252</v>
      </c>
      <c r="H1357">
        <v>1346.9311522999999</v>
      </c>
      <c r="I1357">
        <v>1311.1354980000001</v>
      </c>
      <c r="J1357">
        <v>1302.0412598</v>
      </c>
      <c r="K1357">
        <v>2400</v>
      </c>
      <c r="L1357">
        <v>0</v>
      </c>
      <c r="M1357">
        <v>0</v>
      </c>
      <c r="N1357">
        <v>2400</v>
      </c>
    </row>
    <row r="1358" spans="1:14" x14ac:dyDescent="0.25">
      <c r="A1358">
        <v>877.108836</v>
      </c>
      <c r="B1358" s="1">
        <f>DATE(2012,9,24) + TIME(2,36,43)</f>
        <v>41176.108831018515</v>
      </c>
      <c r="C1358">
        <v>80</v>
      </c>
      <c r="D1358">
        <v>79.956649780000006</v>
      </c>
      <c r="E1358">
        <v>50</v>
      </c>
      <c r="F1358">
        <v>44.218624114999997</v>
      </c>
      <c r="G1358">
        <v>1352.7581786999999</v>
      </c>
      <c r="H1358">
        <v>1346.9112548999999</v>
      </c>
      <c r="I1358">
        <v>1311.0932617000001</v>
      </c>
      <c r="J1358">
        <v>1301.9682617000001</v>
      </c>
      <c r="K1358">
        <v>2400</v>
      </c>
      <c r="L1358">
        <v>0</v>
      </c>
      <c r="M1358">
        <v>0</v>
      </c>
      <c r="N1358">
        <v>2400</v>
      </c>
    </row>
    <row r="1359" spans="1:14" x14ac:dyDescent="0.25">
      <c r="A1359">
        <v>879.18873499999995</v>
      </c>
      <c r="B1359" s="1">
        <f>DATE(2012,9,26) + TIME(4,31,46)</f>
        <v>41178.188726851855</v>
      </c>
      <c r="C1359">
        <v>80</v>
      </c>
      <c r="D1359">
        <v>79.956672667999996</v>
      </c>
      <c r="E1359">
        <v>50</v>
      </c>
      <c r="F1359">
        <v>44.318378447999997</v>
      </c>
      <c r="G1359">
        <v>1352.7330322</v>
      </c>
      <c r="H1359">
        <v>1346.8912353999999</v>
      </c>
      <c r="I1359">
        <v>1311.052124</v>
      </c>
      <c r="J1359">
        <v>1301.8972168</v>
      </c>
      <c r="K1359">
        <v>2400</v>
      </c>
      <c r="L1359">
        <v>0</v>
      </c>
      <c r="M1359">
        <v>0</v>
      </c>
      <c r="N1359">
        <v>2400</v>
      </c>
    </row>
    <row r="1360" spans="1:14" x14ac:dyDescent="0.25">
      <c r="A1360">
        <v>881.31055900000001</v>
      </c>
      <c r="B1360" s="1">
        <f>DATE(2012,9,28) + TIME(7,27,12)</f>
        <v>41180.310555555552</v>
      </c>
      <c r="C1360">
        <v>80</v>
      </c>
      <c r="D1360">
        <v>79.956695557000003</v>
      </c>
      <c r="E1360">
        <v>50</v>
      </c>
      <c r="F1360">
        <v>44.436321259000003</v>
      </c>
      <c r="G1360">
        <v>1352.7073975000001</v>
      </c>
      <c r="H1360">
        <v>1346.8709716999999</v>
      </c>
      <c r="I1360">
        <v>1311.0119629000001</v>
      </c>
      <c r="J1360">
        <v>1301.8280029</v>
      </c>
      <c r="K1360">
        <v>2400</v>
      </c>
      <c r="L1360">
        <v>0</v>
      </c>
      <c r="M1360">
        <v>0</v>
      </c>
      <c r="N1360">
        <v>2400</v>
      </c>
    </row>
    <row r="1361" spans="1:14" x14ac:dyDescent="0.25">
      <c r="A1361">
        <v>883.44969100000003</v>
      </c>
      <c r="B1361" s="1">
        <f>DATE(2012,9,30) + TIME(10,47,33)</f>
        <v>41182.449687499997</v>
      </c>
      <c r="C1361">
        <v>80</v>
      </c>
      <c r="D1361">
        <v>79.956718445000007</v>
      </c>
      <c r="E1361">
        <v>50</v>
      </c>
      <c r="F1361">
        <v>44.573329926</v>
      </c>
      <c r="G1361">
        <v>1352.6815185999999</v>
      </c>
      <c r="H1361">
        <v>1346.8503418</v>
      </c>
      <c r="I1361">
        <v>1310.9727783000001</v>
      </c>
      <c r="J1361">
        <v>1301.7609863</v>
      </c>
      <c r="K1361">
        <v>2400</v>
      </c>
      <c r="L1361">
        <v>0</v>
      </c>
      <c r="M1361">
        <v>0</v>
      </c>
      <c r="N1361">
        <v>2400</v>
      </c>
    </row>
    <row r="1362" spans="1:14" x14ac:dyDescent="0.25">
      <c r="A1362">
        <v>884</v>
      </c>
      <c r="B1362" s="1">
        <f>DATE(2012,10,1) + TIME(0,0,0)</f>
        <v>41183</v>
      </c>
      <c r="C1362">
        <v>80</v>
      </c>
      <c r="D1362">
        <v>79.956710814999994</v>
      </c>
      <c r="E1362">
        <v>50</v>
      </c>
      <c r="F1362">
        <v>44.661933898999997</v>
      </c>
      <c r="G1362">
        <v>1352.6556396000001</v>
      </c>
      <c r="H1362">
        <v>1346.8297118999999</v>
      </c>
      <c r="I1362">
        <v>1310.9477539</v>
      </c>
      <c r="J1362">
        <v>1301.7086182</v>
      </c>
      <c r="K1362">
        <v>2400</v>
      </c>
      <c r="L1362">
        <v>0</v>
      </c>
      <c r="M1362">
        <v>0</v>
      </c>
      <c r="N1362">
        <v>2400</v>
      </c>
    </row>
    <row r="1363" spans="1:14" x14ac:dyDescent="0.25">
      <c r="A1363">
        <v>886.16463599999997</v>
      </c>
      <c r="B1363" s="1">
        <f>DATE(2012,10,3) + TIME(3,57,4)</f>
        <v>41185.164629629631</v>
      </c>
      <c r="C1363">
        <v>80</v>
      </c>
      <c r="D1363">
        <v>79.956748962000006</v>
      </c>
      <c r="E1363">
        <v>50</v>
      </c>
      <c r="F1363">
        <v>44.786788940000001</v>
      </c>
      <c r="G1363">
        <v>1352.6489257999999</v>
      </c>
      <c r="H1363">
        <v>1346.8243408000001</v>
      </c>
      <c r="I1363">
        <v>1310.9221190999999</v>
      </c>
      <c r="J1363">
        <v>1301.6774902</v>
      </c>
      <c r="K1363">
        <v>2400</v>
      </c>
      <c r="L1363">
        <v>0</v>
      </c>
      <c r="M1363">
        <v>0</v>
      </c>
      <c r="N1363">
        <v>2400</v>
      </c>
    </row>
    <row r="1364" spans="1:14" x14ac:dyDescent="0.25">
      <c r="A1364">
        <v>888.37159199999996</v>
      </c>
      <c r="B1364" s="1">
        <f>DATE(2012,10,5) + TIME(8,55,5)</f>
        <v>41187.37158564815</v>
      </c>
      <c r="C1364">
        <v>80</v>
      </c>
      <c r="D1364">
        <v>79.956779479999994</v>
      </c>
      <c r="E1364">
        <v>50</v>
      </c>
      <c r="F1364">
        <v>44.958251953000001</v>
      </c>
      <c r="G1364">
        <v>1352.6231689000001</v>
      </c>
      <c r="H1364">
        <v>1346.8035889</v>
      </c>
      <c r="I1364">
        <v>1310.8887939000001</v>
      </c>
      <c r="J1364">
        <v>1301.6202393000001</v>
      </c>
      <c r="K1364">
        <v>2400</v>
      </c>
      <c r="L1364">
        <v>0</v>
      </c>
      <c r="M1364">
        <v>0</v>
      </c>
      <c r="N1364">
        <v>2400</v>
      </c>
    </row>
    <row r="1365" spans="1:14" x14ac:dyDescent="0.25">
      <c r="A1365">
        <v>890.59123099999999</v>
      </c>
      <c r="B1365" s="1">
        <f>DATE(2012,10,7) + TIME(14,11,22)</f>
        <v>41189.591226851851</v>
      </c>
      <c r="C1365">
        <v>80</v>
      </c>
      <c r="D1365">
        <v>79.956802367999998</v>
      </c>
      <c r="E1365">
        <v>50</v>
      </c>
      <c r="F1365">
        <v>45.157402038999997</v>
      </c>
      <c r="G1365">
        <v>1352.5970459</v>
      </c>
      <c r="H1365">
        <v>1346.7827147999999</v>
      </c>
      <c r="I1365">
        <v>1310.8549805</v>
      </c>
      <c r="J1365">
        <v>1301.5640868999999</v>
      </c>
      <c r="K1365">
        <v>2400</v>
      </c>
      <c r="L1365">
        <v>0</v>
      </c>
      <c r="M1365">
        <v>0</v>
      </c>
      <c r="N1365">
        <v>2400</v>
      </c>
    </row>
    <row r="1366" spans="1:14" x14ac:dyDescent="0.25">
      <c r="A1366">
        <v>892.826142</v>
      </c>
      <c r="B1366" s="1">
        <f>DATE(2012,10,9) + TIME(19,49,38)</f>
        <v>41191.82613425926</v>
      </c>
      <c r="C1366">
        <v>80</v>
      </c>
      <c r="D1366">
        <v>79.956832886000001</v>
      </c>
      <c r="E1366">
        <v>50</v>
      </c>
      <c r="F1366">
        <v>45.377502440999997</v>
      </c>
      <c r="G1366">
        <v>1352.5710449000001</v>
      </c>
      <c r="H1366">
        <v>1346.7617187999999</v>
      </c>
      <c r="I1366">
        <v>1310.8223877</v>
      </c>
      <c r="J1366">
        <v>1301.5111084</v>
      </c>
      <c r="K1366">
        <v>2400</v>
      </c>
      <c r="L1366">
        <v>0</v>
      </c>
      <c r="M1366">
        <v>0</v>
      </c>
      <c r="N1366">
        <v>2400</v>
      </c>
    </row>
    <row r="1367" spans="1:14" x14ac:dyDescent="0.25">
      <c r="A1367">
        <v>895.08496400000001</v>
      </c>
      <c r="B1367" s="1">
        <f>DATE(2012,10,12) + TIME(2,2,20)</f>
        <v>41194.084953703707</v>
      </c>
      <c r="C1367">
        <v>80</v>
      </c>
      <c r="D1367">
        <v>79.956863403</v>
      </c>
      <c r="E1367">
        <v>50</v>
      </c>
      <c r="F1367">
        <v>45.616592406999999</v>
      </c>
      <c r="G1367">
        <v>1352.5451660000001</v>
      </c>
      <c r="H1367">
        <v>1346.7408447</v>
      </c>
      <c r="I1367">
        <v>1310.7912598</v>
      </c>
      <c r="J1367">
        <v>1301.4616699000001</v>
      </c>
      <c r="K1367">
        <v>2400</v>
      </c>
      <c r="L1367">
        <v>0</v>
      </c>
      <c r="M1367">
        <v>0</v>
      </c>
      <c r="N1367">
        <v>2400</v>
      </c>
    </row>
    <row r="1368" spans="1:14" x14ac:dyDescent="0.25">
      <c r="A1368">
        <v>897.37714300000005</v>
      </c>
      <c r="B1368" s="1">
        <f>DATE(2012,10,14) + TIME(9,3,5)</f>
        <v>41196.377141203702</v>
      </c>
      <c r="C1368">
        <v>80</v>
      </c>
      <c r="D1368">
        <v>79.956886291999993</v>
      </c>
      <c r="E1368">
        <v>50</v>
      </c>
      <c r="F1368">
        <v>45.874134064000003</v>
      </c>
      <c r="G1368">
        <v>1352.5192870999999</v>
      </c>
      <c r="H1368">
        <v>1346.7199707</v>
      </c>
      <c r="I1368">
        <v>1310.7617187999999</v>
      </c>
      <c r="J1368">
        <v>1301.4160156</v>
      </c>
      <c r="K1368">
        <v>2400</v>
      </c>
      <c r="L1368">
        <v>0</v>
      </c>
      <c r="M1368">
        <v>0</v>
      </c>
      <c r="N1368">
        <v>2400</v>
      </c>
    </row>
    <row r="1369" spans="1:14" x14ac:dyDescent="0.25">
      <c r="A1369">
        <v>899.71273399999995</v>
      </c>
      <c r="B1369" s="1">
        <f>DATE(2012,10,16) + TIME(17,6,20)</f>
        <v>41198.712731481479</v>
      </c>
      <c r="C1369">
        <v>80</v>
      </c>
      <c r="D1369">
        <v>79.956916809000006</v>
      </c>
      <c r="E1369">
        <v>50</v>
      </c>
      <c r="F1369">
        <v>46.149921417000002</v>
      </c>
      <c r="G1369">
        <v>1352.4932861</v>
      </c>
      <c r="H1369">
        <v>1346.6988524999999</v>
      </c>
      <c r="I1369">
        <v>1310.7336425999999</v>
      </c>
      <c r="J1369">
        <v>1301.3737793</v>
      </c>
      <c r="K1369">
        <v>2400</v>
      </c>
      <c r="L1369">
        <v>0</v>
      </c>
      <c r="M1369">
        <v>0</v>
      </c>
      <c r="N1369">
        <v>2400</v>
      </c>
    </row>
    <row r="1370" spans="1:14" x14ac:dyDescent="0.25">
      <c r="A1370">
        <v>902.07806200000005</v>
      </c>
      <c r="B1370" s="1">
        <f>DATE(2012,10,19) + TIME(1,52,24)</f>
        <v>41201.078055555554</v>
      </c>
      <c r="C1370">
        <v>80</v>
      </c>
      <c r="D1370">
        <v>79.956954956000004</v>
      </c>
      <c r="E1370">
        <v>50</v>
      </c>
      <c r="F1370">
        <v>46.443233489999997</v>
      </c>
      <c r="G1370">
        <v>1352.4671631000001</v>
      </c>
      <c r="H1370">
        <v>1346.6776123</v>
      </c>
      <c r="I1370">
        <v>1310.7071533000001</v>
      </c>
      <c r="J1370">
        <v>1301.3349608999999</v>
      </c>
      <c r="K1370">
        <v>2400</v>
      </c>
      <c r="L1370">
        <v>0</v>
      </c>
      <c r="M1370">
        <v>0</v>
      </c>
      <c r="N1370">
        <v>2400</v>
      </c>
    </row>
    <row r="1371" spans="1:14" x14ac:dyDescent="0.25">
      <c r="A1371">
        <v>904.45864500000005</v>
      </c>
      <c r="B1371" s="1">
        <f>DATE(2012,10,21) + TIME(11,0,26)</f>
        <v>41203.458634259259</v>
      </c>
      <c r="C1371">
        <v>80</v>
      </c>
      <c r="D1371">
        <v>79.956985474000007</v>
      </c>
      <c r="E1371">
        <v>50</v>
      </c>
      <c r="F1371">
        <v>46.751411437999998</v>
      </c>
      <c r="G1371">
        <v>1352.440918</v>
      </c>
      <c r="H1371">
        <v>1346.65625</v>
      </c>
      <c r="I1371">
        <v>1310.682251</v>
      </c>
      <c r="J1371">
        <v>1301.2998047000001</v>
      </c>
      <c r="K1371">
        <v>2400</v>
      </c>
      <c r="L1371">
        <v>0</v>
      </c>
      <c r="M1371">
        <v>0</v>
      </c>
      <c r="N1371">
        <v>2400</v>
      </c>
    </row>
    <row r="1372" spans="1:14" x14ac:dyDescent="0.25">
      <c r="A1372">
        <v>906.86358700000005</v>
      </c>
      <c r="B1372" s="1">
        <f>DATE(2012,10,23) + TIME(20,43,33)</f>
        <v>41205.863576388889</v>
      </c>
      <c r="C1372">
        <v>80</v>
      </c>
      <c r="D1372">
        <v>79.957015991000006</v>
      </c>
      <c r="E1372">
        <v>50</v>
      </c>
      <c r="F1372">
        <v>47.071556090999998</v>
      </c>
      <c r="G1372">
        <v>1352.4149170000001</v>
      </c>
      <c r="H1372">
        <v>1346.6351318</v>
      </c>
      <c r="I1372">
        <v>1310.6590576000001</v>
      </c>
      <c r="J1372">
        <v>1301.2683105000001</v>
      </c>
      <c r="K1372">
        <v>2400</v>
      </c>
      <c r="L1372">
        <v>0</v>
      </c>
      <c r="M1372">
        <v>0</v>
      </c>
      <c r="N1372">
        <v>2400</v>
      </c>
    </row>
    <row r="1373" spans="1:14" x14ac:dyDescent="0.25">
      <c r="A1373">
        <v>909.30278399999997</v>
      </c>
      <c r="B1373" s="1">
        <f>DATE(2012,10,26) + TIME(7,16,0)</f>
        <v>41208.302777777775</v>
      </c>
      <c r="C1373">
        <v>80</v>
      </c>
      <c r="D1373">
        <v>79.957046508999994</v>
      </c>
      <c r="E1373">
        <v>50</v>
      </c>
      <c r="F1373">
        <v>47.402172088999997</v>
      </c>
      <c r="G1373">
        <v>1352.3890381000001</v>
      </c>
      <c r="H1373">
        <v>1346.6138916</v>
      </c>
      <c r="I1373">
        <v>1310.6375731999999</v>
      </c>
      <c r="J1373">
        <v>1301.2404785000001</v>
      </c>
      <c r="K1373">
        <v>2400</v>
      </c>
      <c r="L1373">
        <v>0</v>
      </c>
      <c r="M1373">
        <v>0</v>
      </c>
      <c r="N1373">
        <v>2400</v>
      </c>
    </row>
    <row r="1374" spans="1:14" x14ac:dyDescent="0.25">
      <c r="A1374">
        <v>911.78513099999998</v>
      </c>
      <c r="B1374" s="1">
        <f>DATE(2012,10,28) + TIME(18,50,35)</f>
        <v>41210.785127314812</v>
      </c>
      <c r="C1374">
        <v>80</v>
      </c>
      <c r="D1374">
        <v>79.957084656000006</v>
      </c>
      <c r="E1374">
        <v>50</v>
      </c>
      <c r="F1374">
        <v>47.742282867</v>
      </c>
      <c r="G1374">
        <v>1352.3631591999999</v>
      </c>
      <c r="H1374">
        <v>1346.5927733999999</v>
      </c>
      <c r="I1374">
        <v>1310.6175536999999</v>
      </c>
      <c r="J1374">
        <v>1301.2158202999999</v>
      </c>
      <c r="K1374">
        <v>2400</v>
      </c>
      <c r="L1374">
        <v>0</v>
      </c>
      <c r="M1374">
        <v>0</v>
      </c>
      <c r="N1374">
        <v>2400</v>
      </c>
    </row>
    <row r="1375" spans="1:14" x14ac:dyDescent="0.25">
      <c r="A1375">
        <v>914.32979399999999</v>
      </c>
      <c r="B1375" s="1">
        <f>DATE(2012,10,31) + TIME(7,54,54)</f>
        <v>41213.329791666663</v>
      </c>
      <c r="C1375">
        <v>80</v>
      </c>
      <c r="D1375">
        <v>79.957122803000004</v>
      </c>
      <c r="E1375">
        <v>50</v>
      </c>
      <c r="F1375">
        <v>48.091060638000002</v>
      </c>
      <c r="G1375">
        <v>1352.3371582</v>
      </c>
      <c r="H1375">
        <v>1346.5714111</v>
      </c>
      <c r="I1375">
        <v>1310.598999</v>
      </c>
      <c r="J1375">
        <v>1301.1942139</v>
      </c>
      <c r="K1375">
        <v>2400</v>
      </c>
      <c r="L1375">
        <v>0</v>
      </c>
      <c r="M1375">
        <v>0</v>
      </c>
      <c r="N1375">
        <v>2400</v>
      </c>
    </row>
    <row r="1376" spans="1:14" x14ac:dyDescent="0.25">
      <c r="A1376">
        <v>915</v>
      </c>
      <c r="B1376" s="1">
        <f>DATE(2012,11,1) + TIME(0,0,0)</f>
        <v>41214</v>
      </c>
      <c r="C1376">
        <v>80</v>
      </c>
      <c r="D1376">
        <v>79.957115173000005</v>
      </c>
      <c r="E1376">
        <v>50</v>
      </c>
      <c r="F1376">
        <v>48.312858581999997</v>
      </c>
      <c r="G1376">
        <v>1352.3109131000001</v>
      </c>
      <c r="H1376">
        <v>1346.5500488</v>
      </c>
      <c r="I1376">
        <v>1310.5969238</v>
      </c>
      <c r="J1376">
        <v>1301.1806641000001</v>
      </c>
      <c r="K1376">
        <v>2400</v>
      </c>
      <c r="L1376">
        <v>0</v>
      </c>
      <c r="M1376">
        <v>0</v>
      </c>
      <c r="N1376">
        <v>2400</v>
      </c>
    </row>
    <row r="1377" spans="1:14" x14ac:dyDescent="0.25">
      <c r="A1377">
        <v>915.000001</v>
      </c>
      <c r="B1377" s="1">
        <f>DATE(2012,11,1) + TIME(0,0,0)</f>
        <v>41214</v>
      </c>
      <c r="C1377">
        <v>80</v>
      </c>
      <c r="D1377">
        <v>79.957000731999997</v>
      </c>
      <c r="E1377">
        <v>50</v>
      </c>
      <c r="F1377">
        <v>48.312984467</v>
      </c>
      <c r="G1377">
        <v>1345.7492675999999</v>
      </c>
      <c r="H1377">
        <v>1341.3839111</v>
      </c>
      <c r="I1377">
        <v>1320.9238281</v>
      </c>
      <c r="J1377">
        <v>1311.5827637</v>
      </c>
      <c r="K1377">
        <v>0</v>
      </c>
      <c r="L1377">
        <v>2400</v>
      </c>
      <c r="M1377">
        <v>2400</v>
      </c>
      <c r="N1377">
        <v>0</v>
      </c>
    </row>
    <row r="1378" spans="1:14" x14ac:dyDescent="0.25">
      <c r="A1378">
        <v>915.00000399999999</v>
      </c>
      <c r="B1378" s="1">
        <f>DATE(2012,11,1) + TIME(0,0,0)</f>
        <v>41214</v>
      </c>
      <c r="C1378">
        <v>80</v>
      </c>
      <c r="D1378">
        <v>79.956764221</v>
      </c>
      <c r="E1378">
        <v>50</v>
      </c>
      <c r="F1378">
        <v>48.313278197999999</v>
      </c>
      <c r="G1378">
        <v>1344.0655518000001</v>
      </c>
      <c r="H1378">
        <v>1339.6999512</v>
      </c>
      <c r="I1378">
        <v>1322.9763184000001</v>
      </c>
      <c r="J1378">
        <v>1313.8651123</v>
      </c>
      <c r="K1378">
        <v>0</v>
      </c>
      <c r="L1378">
        <v>2400</v>
      </c>
      <c r="M1378">
        <v>2400</v>
      </c>
      <c r="N1378">
        <v>0</v>
      </c>
    </row>
    <row r="1379" spans="1:14" x14ac:dyDescent="0.25">
      <c r="A1379">
        <v>915.00001299999997</v>
      </c>
      <c r="B1379" s="1">
        <f>DATE(2012,11,1) + TIME(0,0,1)</f>
        <v>41214.000011574077</v>
      </c>
      <c r="C1379">
        <v>80</v>
      </c>
      <c r="D1379">
        <v>79.956398010000001</v>
      </c>
      <c r="E1379">
        <v>50</v>
      </c>
      <c r="F1379">
        <v>48.313796996999997</v>
      </c>
      <c r="G1379">
        <v>1341.4918213000001</v>
      </c>
      <c r="H1379">
        <v>1337.1265868999999</v>
      </c>
      <c r="I1379">
        <v>1326.7860106999999</v>
      </c>
      <c r="J1379">
        <v>1317.8537598</v>
      </c>
      <c r="K1379">
        <v>0</v>
      </c>
      <c r="L1379">
        <v>2400</v>
      </c>
      <c r="M1379">
        <v>2400</v>
      </c>
      <c r="N1379">
        <v>0</v>
      </c>
    </row>
    <row r="1380" spans="1:14" x14ac:dyDescent="0.25">
      <c r="A1380">
        <v>915.00004000000001</v>
      </c>
      <c r="B1380" s="1">
        <f>DATE(2012,11,1) + TIME(0,0,3)</f>
        <v>41214.000034722223</v>
      </c>
      <c r="C1380">
        <v>80</v>
      </c>
      <c r="D1380">
        <v>79.955978393999999</v>
      </c>
      <c r="E1380">
        <v>50</v>
      </c>
      <c r="F1380">
        <v>48.314498901</v>
      </c>
      <c r="G1380">
        <v>1338.5668945</v>
      </c>
      <c r="H1380">
        <v>1334.2030029</v>
      </c>
      <c r="I1380">
        <v>1331.9086914</v>
      </c>
      <c r="J1380">
        <v>1322.9732666</v>
      </c>
      <c r="K1380">
        <v>0</v>
      </c>
      <c r="L1380">
        <v>2400</v>
      </c>
      <c r="M1380">
        <v>2400</v>
      </c>
      <c r="N1380">
        <v>0</v>
      </c>
    </row>
    <row r="1381" spans="1:14" x14ac:dyDescent="0.25">
      <c r="A1381">
        <v>915.00012100000004</v>
      </c>
      <c r="B1381" s="1">
        <f>DATE(2012,11,1) + TIME(0,0,10)</f>
        <v>41214.000115740739</v>
      </c>
      <c r="C1381">
        <v>80</v>
      </c>
      <c r="D1381">
        <v>79.955543517999999</v>
      </c>
      <c r="E1381">
        <v>50</v>
      </c>
      <c r="F1381">
        <v>48.315361023000001</v>
      </c>
      <c r="G1381">
        <v>1335.6340332</v>
      </c>
      <c r="H1381">
        <v>1331.2681885</v>
      </c>
      <c r="I1381">
        <v>1337.4080810999999</v>
      </c>
      <c r="J1381">
        <v>1328.4029541</v>
      </c>
      <c r="K1381">
        <v>0</v>
      </c>
      <c r="L1381">
        <v>2400</v>
      </c>
      <c r="M1381">
        <v>2400</v>
      </c>
      <c r="N1381">
        <v>0</v>
      </c>
    </row>
    <row r="1382" spans="1:14" x14ac:dyDescent="0.25">
      <c r="A1382">
        <v>915.00036399999999</v>
      </c>
      <c r="B1382" s="1">
        <f>DATE(2012,11,1) + TIME(0,0,31)</f>
        <v>41214.000358796293</v>
      </c>
      <c r="C1382">
        <v>80</v>
      </c>
      <c r="D1382">
        <v>79.955078125</v>
      </c>
      <c r="E1382">
        <v>50</v>
      </c>
      <c r="F1382">
        <v>48.316600800000003</v>
      </c>
      <c r="G1382">
        <v>1332.6782227000001</v>
      </c>
      <c r="H1382">
        <v>1328.2813721</v>
      </c>
      <c r="I1382">
        <v>1342.9725341999999</v>
      </c>
      <c r="J1382">
        <v>1333.8951416</v>
      </c>
      <c r="K1382">
        <v>0</v>
      </c>
      <c r="L1382">
        <v>2400</v>
      </c>
      <c r="M1382">
        <v>2400</v>
      </c>
      <c r="N1382">
        <v>0</v>
      </c>
    </row>
    <row r="1383" spans="1:14" x14ac:dyDescent="0.25">
      <c r="A1383">
        <v>915.00109299999997</v>
      </c>
      <c r="B1383" s="1">
        <f>DATE(2012,11,1) + TIME(0,1,34)</f>
        <v>41214.001087962963</v>
      </c>
      <c r="C1383">
        <v>80</v>
      </c>
      <c r="D1383">
        <v>79.954490661999998</v>
      </c>
      <c r="E1383">
        <v>50</v>
      </c>
      <c r="F1383">
        <v>48.318973540999998</v>
      </c>
      <c r="G1383">
        <v>1329.5550536999999</v>
      </c>
      <c r="H1383">
        <v>1325.0592041</v>
      </c>
      <c r="I1383">
        <v>1348.6218262</v>
      </c>
      <c r="J1383">
        <v>1339.4389647999999</v>
      </c>
      <c r="K1383">
        <v>0</v>
      </c>
      <c r="L1383">
        <v>2400</v>
      </c>
      <c r="M1383">
        <v>2400</v>
      </c>
      <c r="N1383">
        <v>0</v>
      </c>
    </row>
    <row r="1384" spans="1:14" x14ac:dyDescent="0.25">
      <c r="A1384">
        <v>915.00328000000002</v>
      </c>
      <c r="B1384" s="1">
        <f>DATE(2012,11,1) + TIME(0,4,43)</f>
        <v>41214.003275462965</v>
      </c>
      <c r="C1384">
        <v>80</v>
      </c>
      <c r="D1384">
        <v>79.953590392999999</v>
      </c>
      <c r="E1384">
        <v>50</v>
      </c>
      <c r="F1384">
        <v>48.324737548999998</v>
      </c>
      <c r="G1384">
        <v>1326.2958983999999</v>
      </c>
      <c r="H1384">
        <v>1321.6706543</v>
      </c>
      <c r="I1384">
        <v>1354.0363769999999</v>
      </c>
      <c r="J1384">
        <v>1344.7109375</v>
      </c>
      <c r="K1384">
        <v>0</v>
      </c>
      <c r="L1384">
        <v>2400</v>
      </c>
      <c r="M1384">
        <v>2400</v>
      </c>
      <c r="N1384">
        <v>0</v>
      </c>
    </row>
    <row r="1385" spans="1:14" x14ac:dyDescent="0.25">
      <c r="A1385">
        <v>915.00984100000005</v>
      </c>
      <c r="B1385" s="1">
        <f>DATE(2012,11,1) + TIME(0,14,10)</f>
        <v>41214.009837962964</v>
      </c>
      <c r="C1385">
        <v>80</v>
      </c>
      <c r="D1385">
        <v>79.951873778999996</v>
      </c>
      <c r="E1385">
        <v>50</v>
      </c>
      <c r="F1385">
        <v>48.340610503999997</v>
      </c>
      <c r="G1385">
        <v>1323.4962158000001</v>
      </c>
      <c r="H1385">
        <v>1318.7930908000001</v>
      </c>
      <c r="I1385">
        <v>1358.2045897999999</v>
      </c>
      <c r="J1385">
        <v>1348.7591553</v>
      </c>
      <c r="K1385">
        <v>0</v>
      </c>
      <c r="L1385">
        <v>2400</v>
      </c>
      <c r="M1385">
        <v>2400</v>
      </c>
      <c r="N1385">
        <v>0</v>
      </c>
    </row>
    <row r="1386" spans="1:14" x14ac:dyDescent="0.25">
      <c r="A1386">
        <v>915.02952400000004</v>
      </c>
      <c r="B1386" s="1">
        <f>DATE(2012,11,1) + TIME(0,42,30)</f>
        <v>41214.029513888891</v>
      </c>
      <c r="C1386">
        <v>80</v>
      </c>
      <c r="D1386">
        <v>79.947731017999999</v>
      </c>
      <c r="E1386">
        <v>50</v>
      </c>
      <c r="F1386">
        <v>48.385898589999996</v>
      </c>
      <c r="G1386">
        <v>1321.9289550999999</v>
      </c>
      <c r="H1386">
        <v>1317.2004394999999</v>
      </c>
      <c r="I1386">
        <v>1360.1809082</v>
      </c>
      <c r="J1386">
        <v>1350.6975098</v>
      </c>
      <c r="K1386">
        <v>0</v>
      </c>
      <c r="L1386">
        <v>2400</v>
      </c>
      <c r="M1386">
        <v>2400</v>
      </c>
      <c r="N1386">
        <v>0</v>
      </c>
    </row>
    <row r="1387" spans="1:14" x14ac:dyDescent="0.25">
      <c r="A1387">
        <v>915.07634700000006</v>
      </c>
      <c r="B1387" s="1">
        <f>DATE(2012,11,1) + TIME(1,49,56)</f>
        <v>41214.076342592591</v>
      </c>
      <c r="C1387">
        <v>80</v>
      </c>
      <c r="D1387">
        <v>79.938682556000003</v>
      </c>
      <c r="E1387">
        <v>50</v>
      </c>
      <c r="F1387">
        <v>48.486061096</v>
      </c>
      <c r="G1387">
        <v>1321.5001221</v>
      </c>
      <c r="H1387">
        <v>1316.7667236</v>
      </c>
      <c r="I1387">
        <v>1360.489624</v>
      </c>
      <c r="J1387">
        <v>1351.046875</v>
      </c>
      <c r="K1387">
        <v>0</v>
      </c>
      <c r="L1387">
        <v>2400</v>
      </c>
      <c r="M1387">
        <v>2400</v>
      </c>
      <c r="N1387">
        <v>0</v>
      </c>
    </row>
    <row r="1388" spans="1:14" x14ac:dyDescent="0.25">
      <c r="A1388">
        <v>915.12487499999997</v>
      </c>
      <c r="B1388" s="1">
        <f>DATE(2012,11,1) + TIME(2,59,49)</f>
        <v>41214.124872685185</v>
      </c>
      <c r="C1388">
        <v>80</v>
      </c>
      <c r="D1388">
        <v>79.929504394999995</v>
      </c>
      <c r="E1388">
        <v>50</v>
      </c>
      <c r="F1388">
        <v>48.582756042</v>
      </c>
      <c r="G1388">
        <v>1321.440918</v>
      </c>
      <c r="H1388">
        <v>1316.7066649999999</v>
      </c>
      <c r="I1388">
        <v>1360.4169922000001</v>
      </c>
      <c r="J1388">
        <v>1351.0196533000001</v>
      </c>
      <c r="K1388">
        <v>0</v>
      </c>
      <c r="L1388">
        <v>2400</v>
      </c>
      <c r="M1388">
        <v>2400</v>
      </c>
      <c r="N1388">
        <v>0</v>
      </c>
    </row>
    <row r="1389" spans="1:14" x14ac:dyDescent="0.25">
      <c r="A1389">
        <v>915.17519000000004</v>
      </c>
      <c r="B1389" s="1">
        <f>DATE(2012,11,1) + TIME(4,12,16)</f>
        <v>41214.175185185188</v>
      </c>
      <c r="C1389">
        <v>80</v>
      </c>
      <c r="D1389">
        <v>79.920158385999997</v>
      </c>
      <c r="E1389">
        <v>50</v>
      </c>
      <c r="F1389">
        <v>48.675971984999997</v>
      </c>
      <c r="G1389">
        <v>1321.4307861</v>
      </c>
      <c r="H1389">
        <v>1316.6962891000001</v>
      </c>
      <c r="I1389">
        <v>1360.3125</v>
      </c>
      <c r="J1389">
        <v>1350.9603271000001</v>
      </c>
      <c r="K1389">
        <v>0</v>
      </c>
      <c r="L1389">
        <v>2400</v>
      </c>
      <c r="M1389">
        <v>2400</v>
      </c>
      <c r="N1389">
        <v>0</v>
      </c>
    </row>
    <row r="1390" spans="1:14" x14ac:dyDescent="0.25">
      <c r="A1390">
        <v>915.22744899999998</v>
      </c>
      <c r="B1390" s="1">
        <f>DATE(2012,11,1) + TIME(5,27,31)</f>
        <v>41214.227442129632</v>
      </c>
      <c r="C1390">
        <v>80</v>
      </c>
      <c r="D1390">
        <v>79.910614014000004</v>
      </c>
      <c r="E1390">
        <v>50</v>
      </c>
      <c r="F1390">
        <v>48.765789032000001</v>
      </c>
      <c r="G1390">
        <v>1321.4279785000001</v>
      </c>
      <c r="H1390">
        <v>1316.6933594</v>
      </c>
      <c r="I1390">
        <v>1360.2094727000001</v>
      </c>
      <c r="J1390">
        <v>1350.901001</v>
      </c>
      <c r="K1390">
        <v>0</v>
      </c>
      <c r="L1390">
        <v>2400</v>
      </c>
      <c r="M1390">
        <v>2400</v>
      </c>
      <c r="N1390">
        <v>0</v>
      </c>
    </row>
    <row r="1391" spans="1:14" x14ac:dyDescent="0.25">
      <c r="A1391">
        <v>915.28183999999999</v>
      </c>
      <c r="B1391" s="1">
        <f>DATE(2012,11,1) + TIME(6,45,51)</f>
        <v>41214.281840277778</v>
      </c>
      <c r="C1391">
        <v>80</v>
      </c>
      <c r="D1391">
        <v>79.900848389000004</v>
      </c>
      <c r="E1391">
        <v>50</v>
      </c>
      <c r="F1391">
        <v>48.852287292</v>
      </c>
      <c r="G1391">
        <v>1321.4263916</v>
      </c>
      <c r="H1391">
        <v>1316.6915283000001</v>
      </c>
      <c r="I1391">
        <v>1360.1102295000001</v>
      </c>
      <c r="J1391">
        <v>1350.8438721</v>
      </c>
      <c r="K1391">
        <v>0</v>
      </c>
      <c r="L1391">
        <v>2400</v>
      </c>
      <c r="M1391">
        <v>2400</v>
      </c>
      <c r="N1391">
        <v>0</v>
      </c>
    </row>
    <row r="1392" spans="1:14" x14ac:dyDescent="0.25">
      <c r="A1392">
        <v>915.33857599999999</v>
      </c>
      <c r="B1392" s="1">
        <f>DATE(2012,11,1) + TIME(8,7,32)</f>
        <v>41214.338564814818</v>
      </c>
      <c r="C1392">
        <v>80</v>
      </c>
      <c r="D1392">
        <v>79.890838622999993</v>
      </c>
      <c r="E1392">
        <v>50</v>
      </c>
      <c r="F1392">
        <v>48.935550689999999</v>
      </c>
      <c r="G1392">
        <v>1321.4249268000001</v>
      </c>
      <c r="H1392">
        <v>1316.6898193</v>
      </c>
      <c r="I1392">
        <v>1360.0142822</v>
      </c>
      <c r="J1392">
        <v>1350.7885742000001</v>
      </c>
      <c r="K1392">
        <v>0</v>
      </c>
      <c r="L1392">
        <v>2400</v>
      </c>
      <c r="M1392">
        <v>2400</v>
      </c>
      <c r="N1392">
        <v>0</v>
      </c>
    </row>
    <row r="1393" spans="1:14" x14ac:dyDescent="0.25">
      <c r="A1393">
        <v>915.39790000000005</v>
      </c>
      <c r="B1393" s="1">
        <f>DATE(2012,11,1) + TIME(9,32,58)</f>
        <v>41214.397893518515</v>
      </c>
      <c r="C1393">
        <v>80</v>
      </c>
      <c r="D1393">
        <v>79.880554199000002</v>
      </c>
      <c r="E1393">
        <v>50</v>
      </c>
      <c r="F1393">
        <v>49.015636444000002</v>
      </c>
      <c r="G1393">
        <v>1321.4234618999999</v>
      </c>
      <c r="H1393">
        <v>1316.6882324000001</v>
      </c>
      <c r="I1393">
        <v>1359.9213867000001</v>
      </c>
      <c r="J1393">
        <v>1350.7348632999999</v>
      </c>
      <c r="K1393">
        <v>0</v>
      </c>
      <c r="L1393">
        <v>2400</v>
      </c>
      <c r="M1393">
        <v>2400</v>
      </c>
      <c r="N1393">
        <v>0</v>
      </c>
    </row>
    <row r="1394" spans="1:14" x14ac:dyDescent="0.25">
      <c r="A1394">
        <v>915.460104</v>
      </c>
      <c r="B1394" s="1">
        <f>DATE(2012,11,1) + TIME(11,2,32)</f>
        <v>41214.460092592592</v>
      </c>
      <c r="C1394">
        <v>80</v>
      </c>
      <c r="D1394">
        <v>79.869956970000004</v>
      </c>
      <c r="E1394">
        <v>50</v>
      </c>
      <c r="F1394">
        <v>49.092620850000003</v>
      </c>
      <c r="G1394">
        <v>1321.4219971</v>
      </c>
      <c r="H1394">
        <v>1316.6865233999999</v>
      </c>
      <c r="I1394">
        <v>1359.8314209</v>
      </c>
      <c r="J1394">
        <v>1350.6828613</v>
      </c>
      <c r="K1394">
        <v>0</v>
      </c>
      <c r="L1394">
        <v>2400</v>
      </c>
      <c r="M1394">
        <v>2400</v>
      </c>
      <c r="N1394">
        <v>0</v>
      </c>
    </row>
    <row r="1395" spans="1:14" x14ac:dyDescent="0.25">
      <c r="A1395">
        <v>915.52552100000003</v>
      </c>
      <c r="B1395" s="1">
        <f>DATE(2012,11,1) + TIME(12,36,44)</f>
        <v>41214.525509259256</v>
      </c>
      <c r="C1395">
        <v>80</v>
      </c>
      <c r="D1395">
        <v>79.859008789000001</v>
      </c>
      <c r="E1395">
        <v>50</v>
      </c>
      <c r="F1395">
        <v>49.166557312000002</v>
      </c>
      <c r="G1395">
        <v>1321.4204102000001</v>
      </c>
      <c r="H1395">
        <v>1316.6846923999999</v>
      </c>
      <c r="I1395">
        <v>1359.7442627</v>
      </c>
      <c r="J1395">
        <v>1350.6322021000001</v>
      </c>
      <c r="K1395">
        <v>0</v>
      </c>
      <c r="L1395">
        <v>2400</v>
      </c>
      <c r="M1395">
        <v>2400</v>
      </c>
      <c r="N1395">
        <v>0</v>
      </c>
    </row>
    <row r="1396" spans="1:14" x14ac:dyDescent="0.25">
      <c r="A1396">
        <v>915.59453699999995</v>
      </c>
      <c r="B1396" s="1">
        <f>DATE(2012,11,1) + TIME(14,16,8)</f>
        <v>41214.594537037039</v>
      </c>
      <c r="C1396">
        <v>80</v>
      </c>
      <c r="D1396">
        <v>79.847663878999995</v>
      </c>
      <c r="E1396">
        <v>50</v>
      </c>
      <c r="F1396">
        <v>49.237483978</v>
      </c>
      <c r="G1396">
        <v>1321.4187012</v>
      </c>
      <c r="H1396">
        <v>1316.6827393000001</v>
      </c>
      <c r="I1396">
        <v>1359.659668</v>
      </c>
      <c r="J1396">
        <v>1350.5830077999999</v>
      </c>
      <c r="K1396">
        <v>0</v>
      </c>
      <c r="L1396">
        <v>2400</v>
      </c>
      <c r="M1396">
        <v>2400</v>
      </c>
      <c r="N1396">
        <v>0</v>
      </c>
    </row>
    <row r="1397" spans="1:14" x14ac:dyDescent="0.25">
      <c r="A1397">
        <v>915.66761099999997</v>
      </c>
      <c r="B1397" s="1">
        <f>DATE(2012,11,1) + TIME(16,1,21)</f>
        <v>41214.667604166665</v>
      </c>
      <c r="C1397">
        <v>80</v>
      </c>
      <c r="D1397">
        <v>79.835876464999998</v>
      </c>
      <c r="E1397">
        <v>50</v>
      </c>
      <c r="F1397">
        <v>49.305435181</v>
      </c>
      <c r="G1397">
        <v>1321.4169922000001</v>
      </c>
      <c r="H1397">
        <v>1316.6807861</v>
      </c>
      <c r="I1397">
        <v>1359.5775146000001</v>
      </c>
      <c r="J1397">
        <v>1350.5350341999999</v>
      </c>
      <c r="K1397">
        <v>0</v>
      </c>
      <c r="L1397">
        <v>2400</v>
      </c>
      <c r="M1397">
        <v>2400</v>
      </c>
      <c r="N1397">
        <v>0</v>
      </c>
    </row>
    <row r="1398" spans="1:14" x14ac:dyDescent="0.25">
      <c r="A1398">
        <v>915.74528799999996</v>
      </c>
      <c r="B1398" s="1">
        <f>DATE(2012,11,1) + TIME(17,53,12)</f>
        <v>41214.74527777778</v>
      </c>
      <c r="C1398">
        <v>80</v>
      </c>
      <c r="D1398">
        <v>79.823570251000007</v>
      </c>
      <c r="E1398">
        <v>50</v>
      </c>
      <c r="F1398">
        <v>49.370437621999997</v>
      </c>
      <c r="G1398">
        <v>1321.4151611</v>
      </c>
      <c r="H1398">
        <v>1316.6787108999999</v>
      </c>
      <c r="I1398">
        <v>1359.4976807</v>
      </c>
      <c r="J1398">
        <v>1350.4884033000001</v>
      </c>
      <c r="K1398">
        <v>0</v>
      </c>
      <c r="L1398">
        <v>2400</v>
      </c>
      <c r="M1398">
        <v>2400</v>
      </c>
      <c r="N1398">
        <v>0</v>
      </c>
    </row>
    <row r="1399" spans="1:14" x14ac:dyDescent="0.25">
      <c r="A1399">
        <v>915.82822299999998</v>
      </c>
      <c r="B1399" s="1">
        <f>DATE(2012,11,1) + TIME(19,52,38)</f>
        <v>41214.828217592592</v>
      </c>
      <c r="C1399">
        <v>80</v>
      </c>
      <c r="D1399">
        <v>79.810691833000007</v>
      </c>
      <c r="E1399">
        <v>50</v>
      </c>
      <c r="F1399">
        <v>49.432498932000001</v>
      </c>
      <c r="G1399">
        <v>1321.4132079999999</v>
      </c>
      <c r="H1399">
        <v>1316.6765137</v>
      </c>
      <c r="I1399">
        <v>1359.4199219</v>
      </c>
      <c r="J1399">
        <v>1350.442749</v>
      </c>
      <c r="K1399">
        <v>0</v>
      </c>
      <c r="L1399">
        <v>2400</v>
      </c>
      <c r="M1399">
        <v>2400</v>
      </c>
      <c r="N1399">
        <v>0</v>
      </c>
    </row>
    <row r="1400" spans="1:14" x14ac:dyDescent="0.25">
      <c r="A1400">
        <v>915.91721500000006</v>
      </c>
      <c r="B1400" s="1">
        <f>DATE(2012,11,1) + TIME(22,0,47)</f>
        <v>41214.917210648149</v>
      </c>
      <c r="C1400">
        <v>80</v>
      </c>
      <c r="D1400">
        <v>79.797134399000001</v>
      </c>
      <c r="E1400">
        <v>50</v>
      </c>
      <c r="F1400">
        <v>49.491626740000001</v>
      </c>
      <c r="G1400">
        <v>1321.4111327999999</v>
      </c>
      <c r="H1400">
        <v>1316.6740723</v>
      </c>
      <c r="I1400">
        <v>1359.3442382999999</v>
      </c>
      <c r="J1400">
        <v>1350.3980713000001</v>
      </c>
      <c r="K1400">
        <v>0</v>
      </c>
      <c r="L1400">
        <v>2400</v>
      </c>
      <c r="M1400">
        <v>2400</v>
      </c>
      <c r="N1400">
        <v>0</v>
      </c>
    </row>
    <row r="1401" spans="1:14" x14ac:dyDescent="0.25">
      <c r="A1401">
        <v>916.01325299999996</v>
      </c>
      <c r="B1401" s="1">
        <f>DATE(2012,11,2) + TIME(0,19,5)</f>
        <v>41215.013252314813</v>
      </c>
      <c r="C1401">
        <v>80</v>
      </c>
      <c r="D1401">
        <v>79.782806395999998</v>
      </c>
      <c r="E1401">
        <v>50</v>
      </c>
      <c r="F1401">
        <v>49.547809600999997</v>
      </c>
      <c r="G1401">
        <v>1321.4089355000001</v>
      </c>
      <c r="H1401">
        <v>1316.6716309000001</v>
      </c>
      <c r="I1401">
        <v>1359.2702637</v>
      </c>
      <c r="J1401">
        <v>1350.3542480000001</v>
      </c>
      <c r="K1401">
        <v>0</v>
      </c>
      <c r="L1401">
        <v>2400</v>
      </c>
      <c r="M1401">
        <v>2400</v>
      </c>
      <c r="N1401">
        <v>0</v>
      </c>
    </row>
    <row r="1402" spans="1:14" x14ac:dyDescent="0.25">
      <c r="A1402">
        <v>916.117571</v>
      </c>
      <c r="B1402" s="1">
        <f>DATE(2012,11,2) + TIME(2,49,18)</f>
        <v>41215.117569444446</v>
      </c>
      <c r="C1402">
        <v>80</v>
      </c>
      <c r="D1402">
        <v>79.767562866000006</v>
      </c>
      <c r="E1402">
        <v>50</v>
      </c>
      <c r="F1402">
        <v>49.601020812999998</v>
      </c>
      <c r="G1402">
        <v>1321.4066161999999</v>
      </c>
      <c r="H1402">
        <v>1316.6689452999999</v>
      </c>
      <c r="I1402">
        <v>1359.1981201000001</v>
      </c>
      <c r="J1402">
        <v>1350.3112793</v>
      </c>
      <c r="K1402">
        <v>0</v>
      </c>
      <c r="L1402">
        <v>2400</v>
      </c>
      <c r="M1402">
        <v>2400</v>
      </c>
      <c r="N1402">
        <v>0</v>
      </c>
    </row>
    <row r="1403" spans="1:14" x14ac:dyDescent="0.25">
      <c r="A1403">
        <v>916.23172699999998</v>
      </c>
      <c r="B1403" s="1">
        <f>DATE(2012,11,2) + TIME(5,33,41)</f>
        <v>41215.231724537036</v>
      </c>
      <c r="C1403">
        <v>80</v>
      </c>
      <c r="D1403">
        <v>79.751243591000005</v>
      </c>
      <c r="E1403">
        <v>50</v>
      </c>
      <c r="F1403">
        <v>49.651218413999999</v>
      </c>
      <c r="G1403">
        <v>1321.4040527</v>
      </c>
      <c r="H1403">
        <v>1316.6660156</v>
      </c>
      <c r="I1403">
        <v>1359.1273193</v>
      </c>
      <c r="J1403">
        <v>1350.269043</v>
      </c>
      <c r="K1403">
        <v>0</v>
      </c>
      <c r="L1403">
        <v>2400</v>
      </c>
      <c r="M1403">
        <v>2400</v>
      </c>
      <c r="N1403">
        <v>0</v>
      </c>
    </row>
    <row r="1404" spans="1:14" x14ac:dyDescent="0.25">
      <c r="A1404">
        <v>916.35777700000006</v>
      </c>
      <c r="B1404" s="1">
        <f>DATE(2012,11,2) + TIME(8,35,11)</f>
        <v>41215.357766203706</v>
      </c>
      <c r="C1404">
        <v>80</v>
      </c>
      <c r="D1404">
        <v>79.733634949000006</v>
      </c>
      <c r="E1404">
        <v>50</v>
      </c>
      <c r="F1404">
        <v>49.698352814000003</v>
      </c>
      <c r="G1404">
        <v>1321.4013672000001</v>
      </c>
      <c r="H1404">
        <v>1316.6628418</v>
      </c>
      <c r="I1404">
        <v>1359.0578613</v>
      </c>
      <c r="J1404">
        <v>1350.2272949000001</v>
      </c>
      <c r="K1404">
        <v>0</v>
      </c>
      <c r="L1404">
        <v>2400</v>
      </c>
      <c r="M1404">
        <v>2400</v>
      </c>
      <c r="N1404">
        <v>0</v>
      </c>
    </row>
    <row r="1405" spans="1:14" x14ac:dyDescent="0.25">
      <c r="A1405">
        <v>916.49845700000003</v>
      </c>
      <c r="B1405" s="1">
        <f>DATE(2012,11,2) + TIME(11,57,46)</f>
        <v>41215.498449074075</v>
      </c>
      <c r="C1405">
        <v>80</v>
      </c>
      <c r="D1405">
        <v>79.714462280000006</v>
      </c>
      <c r="E1405">
        <v>50</v>
      </c>
      <c r="F1405">
        <v>49.742355347</v>
      </c>
      <c r="G1405">
        <v>1321.3983154</v>
      </c>
      <c r="H1405">
        <v>1316.6594238</v>
      </c>
      <c r="I1405">
        <v>1358.9893798999999</v>
      </c>
      <c r="J1405">
        <v>1350.1859131000001</v>
      </c>
      <c r="K1405">
        <v>0</v>
      </c>
      <c r="L1405">
        <v>2400</v>
      </c>
      <c r="M1405">
        <v>2400</v>
      </c>
      <c r="N1405">
        <v>0</v>
      </c>
    </row>
    <row r="1406" spans="1:14" x14ac:dyDescent="0.25">
      <c r="A1406">
        <v>916.65749800000003</v>
      </c>
      <c r="B1406" s="1">
        <f>DATE(2012,11,2) + TIME(15,46,47)</f>
        <v>41215.657488425924</v>
      </c>
      <c r="C1406">
        <v>80</v>
      </c>
      <c r="D1406">
        <v>79.693344116000006</v>
      </c>
      <c r="E1406">
        <v>50</v>
      </c>
      <c r="F1406">
        <v>49.783126830999997</v>
      </c>
      <c r="G1406">
        <v>1321.3950195</v>
      </c>
      <c r="H1406">
        <v>1316.6555175999999</v>
      </c>
      <c r="I1406">
        <v>1358.921875</v>
      </c>
      <c r="J1406">
        <v>1350.1447754000001</v>
      </c>
      <c r="K1406">
        <v>0</v>
      </c>
      <c r="L1406">
        <v>2400</v>
      </c>
      <c r="M1406">
        <v>2400</v>
      </c>
      <c r="N1406">
        <v>0</v>
      </c>
    </row>
    <row r="1407" spans="1:14" x14ac:dyDescent="0.25">
      <c r="A1407">
        <v>916.84018300000002</v>
      </c>
      <c r="B1407" s="1">
        <f>DATE(2012,11,2) + TIME(20,9,51)</f>
        <v>41215.840173611112</v>
      </c>
      <c r="C1407">
        <v>80</v>
      </c>
      <c r="D1407">
        <v>79.669792174999998</v>
      </c>
      <c r="E1407">
        <v>50</v>
      </c>
      <c r="F1407">
        <v>49.820541382000002</v>
      </c>
      <c r="G1407">
        <v>1321.3912353999999</v>
      </c>
      <c r="H1407">
        <v>1316.6512451000001</v>
      </c>
      <c r="I1407">
        <v>1358.8547363</v>
      </c>
      <c r="J1407">
        <v>1350.1036377</v>
      </c>
      <c r="K1407">
        <v>0</v>
      </c>
      <c r="L1407">
        <v>2400</v>
      </c>
      <c r="M1407">
        <v>2400</v>
      </c>
      <c r="N1407">
        <v>0</v>
      </c>
    </row>
    <row r="1408" spans="1:14" x14ac:dyDescent="0.25">
      <c r="A1408">
        <v>917.03376500000002</v>
      </c>
      <c r="B1408" s="1">
        <f>DATE(2012,11,3) + TIME(0,48,37)</f>
        <v>41216.033761574072</v>
      </c>
      <c r="C1408">
        <v>80</v>
      </c>
      <c r="D1408">
        <v>79.645172118999994</v>
      </c>
      <c r="E1408">
        <v>50</v>
      </c>
      <c r="F1408">
        <v>49.851863860999998</v>
      </c>
      <c r="G1408">
        <v>1321.3869629000001</v>
      </c>
      <c r="H1408">
        <v>1316.6463623</v>
      </c>
      <c r="I1408">
        <v>1358.7927245999999</v>
      </c>
      <c r="J1408">
        <v>1350.0651855000001</v>
      </c>
      <c r="K1408">
        <v>0</v>
      </c>
      <c r="L1408">
        <v>2400</v>
      </c>
      <c r="M1408">
        <v>2400</v>
      </c>
      <c r="N1408">
        <v>0</v>
      </c>
    </row>
    <row r="1409" spans="1:14" x14ac:dyDescent="0.25">
      <c r="A1409">
        <v>917.22897599999999</v>
      </c>
      <c r="B1409" s="1">
        <f>DATE(2012,11,3) + TIME(5,29,43)</f>
        <v>41216.22896990741</v>
      </c>
      <c r="C1409">
        <v>80</v>
      </c>
      <c r="D1409">
        <v>79.620445251000007</v>
      </c>
      <c r="E1409">
        <v>50</v>
      </c>
      <c r="F1409">
        <v>49.876800537000001</v>
      </c>
      <c r="G1409">
        <v>1321.3823242000001</v>
      </c>
      <c r="H1409">
        <v>1316.6412353999999</v>
      </c>
      <c r="I1409">
        <v>1358.7373047000001</v>
      </c>
      <c r="J1409">
        <v>1350.0303954999999</v>
      </c>
      <c r="K1409">
        <v>0</v>
      </c>
      <c r="L1409">
        <v>2400</v>
      </c>
      <c r="M1409">
        <v>2400</v>
      </c>
      <c r="N1409">
        <v>0</v>
      </c>
    </row>
    <row r="1410" spans="1:14" x14ac:dyDescent="0.25">
      <c r="A1410">
        <v>917.42815299999995</v>
      </c>
      <c r="B1410" s="1">
        <f>DATE(2012,11,3) + TIME(10,16,32)</f>
        <v>41216.428148148145</v>
      </c>
      <c r="C1410">
        <v>80</v>
      </c>
      <c r="D1410">
        <v>79.595390320000007</v>
      </c>
      <c r="E1410">
        <v>50</v>
      </c>
      <c r="F1410">
        <v>49.896820067999997</v>
      </c>
      <c r="G1410">
        <v>1321.3776855000001</v>
      </c>
      <c r="H1410">
        <v>1316.6359863</v>
      </c>
      <c r="I1410">
        <v>1358.6872559000001</v>
      </c>
      <c r="J1410">
        <v>1349.9986572</v>
      </c>
      <c r="K1410">
        <v>0</v>
      </c>
      <c r="L1410">
        <v>2400</v>
      </c>
      <c r="M1410">
        <v>2400</v>
      </c>
      <c r="N1410">
        <v>0</v>
      </c>
    </row>
    <row r="1411" spans="1:14" x14ac:dyDescent="0.25">
      <c r="A1411">
        <v>917.63273400000003</v>
      </c>
      <c r="B1411" s="1">
        <f>DATE(2012,11,3) + TIME(15,11,8)</f>
        <v>41216.632731481484</v>
      </c>
      <c r="C1411">
        <v>80</v>
      </c>
      <c r="D1411">
        <v>79.569869995000005</v>
      </c>
      <c r="E1411">
        <v>50</v>
      </c>
      <c r="F1411">
        <v>49.912914276000002</v>
      </c>
      <c r="G1411">
        <v>1321.3730469</v>
      </c>
      <c r="H1411">
        <v>1316.6306152</v>
      </c>
      <c r="I1411">
        <v>1358.6413574000001</v>
      </c>
      <c r="J1411">
        <v>1349.9694824000001</v>
      </c>
      <c r="K1411">
        <v>0</v>
      </c>
      <c r="L1411">
        <v>2400</v>
      </c>
      <c r="M1411">
        <v>2400</v>
      </c>
      <c r="N1411">
        <v>0</v>
      </c>
    </row>
    <row r="1412" spans="1:14" x14ac:dyDescent="0.25">
      <c r="A1412">
        <v>917.84424200000001</v>
      </c>
      <c r="B1412" s="1">
        <f>DATE(2012,11,3) + TIME(20,15,42)</f>
        <v>41216.844236111108</v>
      </c>
      <c r="C1412">
        <v>80</v>
      </c>
      <c r="D1412">
        <v>79.543739318999997</v>
      </c>
      <c r="E1412">
        <v>50</v>
      </c>
      <c r="F1412">
        <v>49.925861359000002</v>
      </c>
      <c r="G1412">
        <v>1321.3681641000001</v>
      </c>
      <c r="H1412">
        <v>1316.6251221</v>
      </c>
      <c r="I1412">
        <v>1358.5988769999999</v>
      </c>
      <c r="J1412">
        <v>1349.9421387</v>
      </c>
      <c r="K1412">
        <v>0</v>
      </c>
      <c r="L1412">
        <v>2400</v>
      </c>
      <c r="M1412">
        <v>2400</v>
      </c>
      <c r="N1412">
        <v>0</v>
      </c>
    </row>
    <row r="1413" spans="1:14" x14ac:dyDescent="0.25">
      <c r="A1413">
        <v>918.0643</v>
      </c>
      <c r="B1413" s="1">
        <f>DATE(2012,11,4) + TIME(1,32,35)</f>
        <v>41217.064293981479</v>
      </c>
      <c r="C1413">
        <v>80</v>
      </c>
      <c r="D1413">
        <v>79.516845703000001</v>
      </c>
      <c r="E1413">
        <v>50</v>
      </c>
      <c r="F1413">
        <v>49.936256409000002</v>
      </c>
      <c r="G1413">
        <v>1321.3632812000001</v>
      </c>
      <c r="H1413">
        <v>1316.6193848</v>
      </c>
      <c r="I1413">
        <v>1358.559082</v>
      </c>
      <c r="J1413">
        <v>1349.9165039</v>
      </c>
      <c r="K1413">
        <v>0</v>
      </c>
      <c r="L1413">
        <v>2400</v>
      </c>
      <c r="M1413">
        <v>2400</v>
      </c>
      <c r="N1413">
        <v>0</v>
      </c>
    </row>
    <row r="1414" spans="1:14" x14ac:dyDescent="0.25">
      <c r="A1414">
        <v>918.29470800000001</v>
      </c>
      <c r="B1414" s="1">
        <f>DATE(2012,11,4) + TIME(7,4,22)</f>
        <v>41217.294699074075</v>
      </c>
      <c r="C1414">
        <v>80</v>
      </c>
      <c r="D1414">
        <v>79.489013671999999</v>
      </c>
      <c r="E1414">
        <v>50</v>
      </c>
      <c r="F1414">
        <v>49.944576263000002</v>
      </c>
      <c r="G1414">
        <v>1321.3580322</v>
      </c>
      <c r="H1414">
        <v>1316.6135254000001</v>
      </c>
      <c r="I1414">
        <v>1358.5216064000001</v>
      </c>
      <c r="J1414">
        <v>1349.8920897999999</v>
      </c>
      <c r="K1414">
        <v>0</v>
      </c>
      <c r="L1414">
        <v>2400</v>
      </c>
      <c r="M1414">
        <v>2400</v>
      </c>
      <c r="N1414">
        <v>0</v>
      </c>
    </row>
    <row r="1415" spans="1:14" x14ac:dyDescent="0.25">
      <c r="A1415">
        <v>918.53753300000005</v>
      </c>
      <c r="B1415" s="1">
        <f>DATE(2012,11,4) + TIME(12,54,2)</f>
        <v>41217.537523148145</v>
      </c>
      <c r="C1415">
        <v>80</v>
      </c>
      <c r="D1415">
        <v>79.460060119999994</v>
      </c>
      <c r="E1415">
        <v>50</v>
      </c>
      <c r="F1415">
        <v>49.951202393000003</v>
      </c>
      <c r="G1415">
        <v>1321.3526611</v>
      </c>
      <c r="H1415">
        <v>1316.6071777</v>
      </c>
      <c r="I1415">
        <v>1358.4858397999999</v>
      </c>
      <c r="J1415">
        <v>1349.8686522999999</v>
      </c>
      <c r="K1415">
        <v>0</v>
      </c>
      <c r="L1415">
        <v>2400</v>
      </c>
      <c r="M1415">
        <v>2400</v>
      </c>
      <c r="N1415">
        <v>0</v>
      </c>
    </row>
    <row r="1416" spans="1:14" x14ac:dyDescent="0.25">
      <c r="A1416">
        <v>918.795209</v>
      </c>
      <c r="B1416" s="1">
        <f>DATE(2012,11,4) + TIME(19,5,6)</f>
        <v>41217.795208333337</v>
      </c>
      <c r="C1416">
        <v>80</v>
      </c>
      <c r="D1416">
        <v>79.429756165000001</v>
      </c>
      <c r="E1416">
        <v>50</v>
      </c>
      <c r="F1416">
        <v>49.956447601000001</v>
      </c>
      <c r="G1416">
        <v>1321.3469238</v>
      </c>
      <c r="H1416">
        <v>1316.6005858999999</v>
      </c>
      <c r="I1416">
        <v>1358.4514160000001</v>
      </c>
      <c r="J1416">
        <v>1349.8459473</v>
      </c>
      <c r="K1416">
        <v>0</v>
      </c>
      <c r="L1416">
        <v>2400</v>
      </c>
      <c r="M1416">
        <v>2400</v>
      </c>
      <c r="N1416">
        <v>0</v>
      </c>
    </row>
    <row r="1417" spans="1:14" x14ac:dyDescent="0.25">
      <c r="A1417">
        <v>919.07068400000003</v>
      </c>
      <c r="B1417" s="1">
        <f>DATE(2012,11,5) + TIME(1,41,47)</f>
        <v>41218.07068287037</v>
      </c>
      <c r="C1417">
        <v>80</v>
      </c>
      <c r="D1417">
        <v>79.397834778000004</v>
      </c>
      <c r="E1417">
        <v>50</v>
      </c>
      <c r="F1417">
        <v>49.960567474000001</v>
      </c>
      <c r="G1417">
        <v>1321.3408202999999</v>
      </c>
      <c r="H1417">
        <v>1316.5935059000001</v>
      </c>
      <c r="I1417">
        <v>1358.4178466999999</v>
      </c>
      <c r="J1417">
        <v>1349.8238524999999</v>
      </c>
      <c r="K1417">
        <v>0</v>
      </c>
      <c r="L1417">
        <v>2400</v>
      </c>
      <c r="M1417">
        <v>2400</v>
      </c>
      <c r="N1417">
        <v>0</v>
      </c>
    </row>
    <row r="1418" spans="1:14" x14ac:dyDescent="0.25">
      <c r="A1418">
        <v>919.36701900000003</v>
      </c>
      <c r="B1418" s="1">
        <f>DATE(2012,11,5) + TIME(8,48,30)</f>
        <v>41218.367013888892</v>
      </c>
      <c r="C1418">
        <v>80</v>
      </c>
      <c r="D1418">
        <v>79.364036560000002</v>
      </c>
      <c r="E1418">
        <v>50</v>
      </c>
      <c r="F1418">
        <v>49.963764191000003</v>
      </c>
      <c r="G1418">
        <v>1321.3342285000001</v>
      </c>
      <c r="H1418">
        <v>1316.5859375</v>
      </c>
      <c r="I1418">
        <v>1358.3850098</v>
      </c>
      <c r="J1418">
        <v>1349.8020019999999</v>
      </c>
      <c r="K1418">
        <v>0</v>
      </c>
      <c r="L1418">
        <v>2400</v>
      </c>
      <c r="M1418">
        <v>2400</v>
      </c>
      <c r="N1418">
        <v>0</v>
      </c>
    </row>
    <row r="1419" spans="1:14" x14ac:dyDescent="0.25">
      <c r="A1419">
        <v>919.68264799999997</v>
      </c>
      <c r="B1419" s="1">
        <f>DATE(2012,11,5) + TIME(16,23,0)</f>
        <v>41218.682638888888</v>
      </c>
      <c r="C1419">
        <v>80</v>
      </c>
      <c r="D1419">
        <v>79.328460692999997</v>
      </c>
      <c r="E1419">
        <v>50</v>
      </c>
      <c r="F1419">
        <v>49.966190337999997</v>
      </c>
      <c r="G1419">
        <v>1321.3271483999999</v>
      </c>
      <c r="H1419">
        <v>1316.5777588000001</v>
      </c>
      <c r="I1419">
        <v>1358.3524170000001</v>
      </c>
      <c r="J1419">
        <v>1349.7802733999999</v>
      </c>
      <c r="K1419">
        <v>0</v>
      </c>
      <c r="L1419">
        <v>2400</v>
      </c>
      <c r="M1419">
        <v>2400</v>
      </c>
      <c r="N1419">
        <v>0</v>
      </c>
    </row>
    <row r="1420" spans="1:14" x14ac:dyDescent="0.25">
      <c r="A1420">
        <v>920.02165300000001</v>
      </c>
      <c r="B1420" s="1">
        <f>DATE(2012,11,6) + TIME(0,31,10)</f>
        <v>41219.021643518521</v>
      </c>
      <c r="C1420">
        <v>80</v>
      </c>
      <c r="D1420">
        <v>79.290794372999997</v>
      </c>
      <c r="E1420">
        <v>50</v>
      </c>
      <c r="F1420">
        <v>49.968009948999999</v>
      </c>
      <c r="G1420">
        <v>1321.3195800999999</v>
      </c>
      <c r="H1420">
        <v>1316.5689697</v>
      </c>
      <c r="I1420">
        <v>1358.3204346</v>
      </c>
      <c r="J1420">
        <v>1349.7589111</v>
      </c>
      <c r="K1420">
        <v>0</v>
      </c>
      <c r="L1420">
        <v>2400</v>
      </c>
      <c r="M1420">
        <v>2400</v>
      </c>
      <c r="N1420">
        <v>0</v>
      </c>
    </row>
    <row r="1421" spans="1:14" x14ac:dyDescent="0.25">
      <c r="A1421">
        <v>920.38855699999999</v>
      </c>
      <c r="B1421" s="1">
        <f>DATE(2012,11,6) + TIME(9,19,31)</f>
        <v>41219.388553240744</v>
      </c>
      <c r="C1421">
        <v>80</v>
      </c>
      <c r="D1421">
        <v>79.250663756999998</v>
      </c>
      <c r="E1421">
        <v>50</v>
      </c>
      <c r="F1421">
        <v>49.969364165999998</v>
      </c>
      <c r="G1421">
        <v>1321.3114014</v>
      </c>
      <c r="H1421">
        <v>1316.5593262</v>
      </c>
      <c r="I1421">
        <v>1358.2884521000001</v>
      </c>
      <c r="J1421">
        <v>1349.7375488</v>
      </c>
      <c r="K1421">
        <v>0</v>
      </c>
      <c r="L1421">
        <v>2400</v>
      </c>
      <c r="M1421">
        <v>2400</v>
      </c>
      <c r="N1421">
        <v>0</v>
      </c>
    </row>
    <row r="1422" spans="1:14" x14ac:dyDescent="0.25">
      <c r="A1422">
        <v>920.78650400000004</v>
      </c>
      <c r="B1422" s="1">
        <f>DATE(2012,11,6) + TIME(18,52,33)</f>
        <v>41219.786493055559</v>
      </c>
      <c r="C1422">
        <v>80</v>
      </c>
      <c r="D1422">
        <v>79.207801818999997</v>
      </c>
      <c r="E1422">
        <v>50</v>
      </c>
      <c r="F1422">
        <v>49.970352173000002</v>
      </c>
      <c r="G1422">
        <v>1321.3024902</v>
      </c>
      <c r="H1422">
        <v>1316.5489502</v>
      </c>
      <c r="I1422">
        <v>1358.2563477000001</v>
      </c>
      <c r="J1422">
        <v>1349.7159423999999</v>
      </c>
      <c r="K1422">
        <v>0</v>
      </c>
      <c r="L1422">
        <v>2400</v>
      </c>
      <c r="M1422">
        <v>2400</v>
      </c>
      <c r="N1422">
        <v>0</v>
      </c>
    </row>
    <row r="1423" spans="1:14" x14ac:dyDescent="0.25">
      <c r="A1423">
        <v>921.187862</v>
      </c>
      <c r="B1423" s="1">
        <f>DATE(2012,11,7) + TIME(4,30,31)</f>
        <v>41220.187858796293</v>
      </c>
      <c r="C1423">
        <v>80</v>
      </c>
      <c r="D1423">
        <v>79.164184570000003</v>
      </c>
      <c r="E1423">
        <v>50</v>
      </c>
      <c r="F1423">
        <v>49.971023559999999</v>
      </c>
      <c r="G1423">
        <v>1321.2926024999999</v>
      </c>
      <c r="H1423">
        <v>1316.5374756000001</v>
      </c>
      <c r="I1423">
        <v>1358.223999</v>
      </c>
      <c r="J1423">
        <v>1349.6942139</v>
      </c>
      <c r="K1423">
        <v>0</v>
      </c>
      <c r="L1423">
        <v>2400</v>
      </c>
      <c r="M1423">
        <v>2400</v>
      </c>
      <c r="N1423">
        <v>0</v>
      </c>
    </row>
    <row r="1424" spans="1:14" x14ac:dyDescent="0.25">
      <c r="A1424">
        <v>921.59667899999999</v>
      </c>
      <c r="B1424" s="1">
        <f>DATE(2012,11,7) + TIME(14,19,13)</f>
        <v>41220.596678240741</v>
      </c>
      <c r="C1424">
        <v>80</v>
      </c>
      <c r="D1424">
        <v>79.119773864999999</v>
      </c>
      <c r="E1424">
        <v>50</v>
      </c>
      <c r="F1424">
        <v>49.971488952999998</v>
      </c>
      <c r="G1424">
        <v>1321.2827147999999</v>
      </c>
      <c r="H1424">
        <v>1316.5257568</v>
      </c>
      <c r="I1424">
        <v>1358.1934814000001</v>
      </c>
      <c r="J1424">
        <v>1349.6737060999999</v>
      </c>
      <c r="K1424">
        <v>0</v>
      </c>
      <c r="L1424">
        <v>2400</v>
      </c>
      <c r="M1424">
        <v>2400</v>
      </c>
      <c r="N1424">
        <v>0</v>
      </c>
    </row>
    <row r="1425" spans="1:14" x14ac:dyDescent="0.25">
      <c r="A1425">
        <v>922.01682400000004</v>
      </c>
      <c r="B1425" s="1">
        <f>DATE(2012,11,8) + TIME(0,24,13)</f>
        <v>41221.016817129632</v>
      </c>
      <c r="C1425">
        <v>80</v>
      </c>
      <c r="D1425">
        <v>79.074432372999993</v>
      </c>
      <c r="E1425">
        <v>50</v>
      </c>
      <c r="F1425">
        <v>49.971813202</v>
      </c>
      <c r="G1425">
        <v>1321.2724608999999</v>
      </c>
      <c r="H1425">
        <v>1316.5136719</v>
      </c>
      <c r="I1425">
        <v>1358.1643065999999</v>
      </c>
      <c r="J1425">
        <v>1349.6541748</v>
      </c>
      <c r="K1425">
        <v>0</v>
      </c>
      <c r="L1425">
        <v>2400</v>
      </c>
      <c r="M1425">
        <v>2400</v>
      </c>
      <c r="N1425">
        <v>0</v>
      </c>
    </row>
    <row r="1426" spans="1:14" x14ac:dyDescent="0.25">
      <c r="A1426">
        <v>922.45220600000005</v>
      </c>
      <c r="B1426" s="1">
        <f>DATE(2012,11,8) + TIME(10,51,10)</f>
        <v>41221.452199074076</v>
      </c>
      <c r="C1426">
        <v>80</v>
      </c>
      <c r="D1426">
        <v>79.027931213000002</v>
      </c>
      <c r="E1426">
        <v>50</v>
      </c>
      <c r="F1426">
        <v>49.972042084000002</v>
      </c>
      <c r="G1426">
        <v>1321.2617187999999</v>
      </c>
      <c r="H1426">
        <v>1316.5009766000001</v>
      </c>
      <c r="I1426">
        <v>1358.1359863</v>
      </c>
      <c r="J1426">
        <v>1349.6351318</v>
      </c>
      <c r="K1426">
        <v>0</v>
      </c>
      <c r="L1426">
        <v>2400</v>
      </c>
      <c r="M1426">
        <v>2400</v>
      </c>
      <c r="N1426">
        <v>0</v>
      </c>
    </row>
    <row r="1427" spans="1:14" x14ac:dyDescent="0.25">
      <c r="A1427">
        <v>922.90705200000002</v>
      </c>
      <c r="B1427" s="1">
        <f>DATE(2012,11,8) + TIME(21,46,9)</f>
        <v>41221.907048611109</v>
      </c>
      <c r="C1427">
        <v>80</v>
      </c>
      <c r="D1427">
        <v>78.980003357000001</v>
      </c>
      <c r="E1427">
        <v>50</v>
      </c>
      <c r="F1427">
        <v>49.972206116000002</v>
      </c>
      <c r="G1427">
        <v>1321.2506103999999</v>
      </c>
      <c r="H1427">
        <v>1316.4876709</v>
      </c>
      <c r="I1427">
        <v>1358.1082764</v>
      </c>
      <c r="J1427">
        <v>1349.6165771000001</v>
      </c>
      <c r="K1427">
        <v>0</v>
      </c>
      <c r="L1427">
        <v>2400</v>
      </c>
      <c r="M1427">
        <v>2400</v>
      </c>
      <c r="N1427">
        <v>0</v>
      </c>
    </row>
    <row r="1428" spans="1:14" x14ac:dyDescent="0.25">
      <c r="A1428">
        <v>923.379369</v>
      </c>
      <c r="B1428" s="1">
        <f>DATE(2012,11,9) + TIME(9,6,17)</f>
        <v>41222.379363425927</v>
      </c>
      <c r="C1428">
        <v>80</v>
      </c>
      <c r="D1428">
        <v>78.930747986</v>
      </c>
      <c r="E1428">
        <v>50</v>
      </c>
      <c r="F1428">
        <v>49.972320557000003</v>
      </c>
      <c r="G1428">
        <v>1321.2387695</v>
      </c>
      <c r="H1428">
        <v>1316.4736327999999</v>
      </c>
      <c r="I1428">
        <v>1358.0809326000001</v>
      </c>
      <c r="J1428">
        <v>1349.5982666</v>
      </c>
      <c r="K1428">
        <v>0</v>
      </c>
      <c r="L1428">
        <v>2400</v>
      </c>
      <c r="M1428">
        <v>2400</v>
      </c>
      <c r="N1428">
        <v>0</v>
      </c>
    </row>
    <row r="1429" spans="1:14" x14ac:dyDescent="0.25">
      <c r="A1429">
        <v>923.86984600000005</v>
      </c>
      <c r="B1429" s="1">
        <f>DATE(2012,11,9) + TIME(20,52,34)</f>
        <v>41222.869837962964</v>
      </c>
      <c r="C1429">
        <v>80</v>
      </c>
      <c r="D1429">
        <v>78.880149841000005</v>
      </c>
      <c r="E1429">
        <v>50</v>
      </c>
      <c r="F1429">
        <v>49.972404480000002</v>
      </c>
      <c r="G1429">
        <v>1321.2264404</v>
      </c>
      <c r="H1429">
        <v>1316.4586182</v>
      </c>
      <c r="I1429">
        <v>1358.0540771000001</v>
      </c>
      <c r="J1429">
        <v>1349.5802002</v>
      </c>
      <c r="K1429">
        <v>0</v>
      </c>
      <c r="L1429">
        <v>2400</v>
      </c>
      <c r="M1429">
        <v>2400</v>
      </c>
      <c r="N1429">
        <v>0</v>
      </c>
    </row>
    <row r="1430" spans="1:14" x14ac:dyDescent="0.25">
      <c r="A1430">
        <v>924.38268600000004</v>
      </c>
      <c r="B1430" s="1">
        <f>DATE(2012,11,10) + TIME(9,11,4)</f>
        <v>41223.382685185185</v>
      </c>
      <c r="C1430">
        <v>80</v>
      </c>
      <c r="D1430">
        <v>78.827941894999995</v>
      </c>
      <c r="E1430">
        <v>50</v>
      </c>
      <c r="F1430">
        <v>49.972461699999997</v>
      </c>
      <c r="G1430">
        <v>1321.2133789</v>
      </c>
      <c r="H1430">
        <v>1316.4428711</v>
      </c>
      <c r="I1430">
        <v>1358.0275879000001</v>
      </c>
      <c r="J1430">
        <v>1349.5625</v>
      </c>
      <c r="K1430">
        <v>0</v>
      </c>
      <c r="L1430">
        <v>2400</v>
      </c>
      <c r="M1430">
        <v>2400</v>
      </c>
      <c r="N1430">
        <v>0</v>
      </c>
    </row>
    <row r="1431" spans="1:14" x14ac:dyDescent="0.25">
      <c r="A1431">
        <v>924.92264399999999</v>
      </c>
      <c r="B1431" s="1">
        <f>DATE(2012,11,10) + TIME(22,8,36)</f>
        <v>41223.922638888886</v>
      </c>
      <c r="C1431">
        <v>80</v>
      </c>
      <c r="D1431">
        <v>78.773803710999999</v>
      </c>
      <c r="E1431">
        <v>50</v>
      </c>
      <c r="F1431">
        <v>49.972499847000002</v>
      </c>
      <c r="G1431">
        <v>1321.1995850000001</v>
      </c>
      <c r="H1431">
        <v>1316.4260254000001</v>
      </c>
      <c r="I1431">
        <v>1358.0013428</v>
      </c>
      <c r="J1431">
        <v>1349.5449219</v>
      </c>
      <c r="K1431">
        <v>0</v>
      </c>
      <c r="L1431">
        <v>2400</v>
      </c>
      <c r="M1431">
        <v>2400</v>
      </c>
      <c r="N1431">
        <v>0</v>
      </c>
    </row>
    <row r="1432" spans="1:14" x14ac:dyDescent="0.25">
      <c r="A1432">
        <v>925.49541399999998</v>
      </c>
      <c r="B1432" s="1">
        <f>DATE(2012,11,11) + TIME(11,53,23)</f>
        <v>41224.495405092595</v>
      </c>
      <c r="C1432">
        <v>80</v>
      </c>
      <c r="D1432">
        <v>78.717346191000004</v>
      </c>
      <c r="E1432">
        <v>50</v>
      </c>
      <c r="F1432">
        <v>49.972530364999997</v>
      </c>
      <c r="G1432">
        <v>1321.1848144999999</v>
      </c>
      <c r="H1432">
        <v>1316.4080810999999</v>
      </c>
      <c r="I1432">
        <v>1357.9750977000001</v>
      </c>
      <c r="J1432">
        <v>1349.5273437999999</v>
      </c>
      <c r="K1432">
        <v>0</v>
      </c>
      <c r="L1432">
        <v>2400</v>
      </c>
      <c r="M1432">
        <v>2400</v>
      </c>
      <c r="N1432">
        <v>0</v>
      </c>
    </row>
    <row r="1433" spans="1:14" x14ac:dyDescent="0.25">
      <c r="A1433">
        <v>926.10791800000004</v>
      </c>
      <c r="B1433" s="1">
        <f>DATE(2012,11,12) + TIME(2,35,24)</f>
        <v>41225.107916666668</v>
      </c>
      <c r="C1433">
        <v>80</v>
      </c>
      <c r="D1433">
        <v>78.658081054999997</v>
      </c>
      <c r="E1433">
        <v>50</v>
      </c>
      <c r="F1433">
        <v>49.972549438000001</v>
      </c>
      <c r="G1433">
        <v>1321.1688231999999</v>
      </c>
      <c r="H1433">
        <v>1316.3885498</v>
      </c>
      <c r="I1433">
        <v>1357.9486084</v>
      </c>
      <c r="J1433">
        <v>1349.5097656</v>
      </c>
      <c r="K1433">
        <v>0</v>
      </c>
      <c r="L1433">
        <v>2400</v>
      </c>
      <c r="M1433">
        <v>2400</v>
      </c>
      <c r="N1433">
        <v>0</v>
      </c>
    </row>
    <row r="1434" spans="1:14" x14ac:dyDescent="0.25">
      <c r="A1434">
        <v>926.73690499999998</v>
      </c>
      <c r="B1434" s="1">
        <f>DATE(2012,11,12) + TIME(17,41,8)</f>
        <v>41225.736898148149</v>
      </c>
      <c r="C1434">
        <v>80</v>
      </c>
      <c r="D1434">
        <v>78.597167968999997</v>
      </c>
      <c r="E1434">
        <v>50</v>
      </c>
      <c r="F1434">
        <v>49.972560883</v>
      </c>
      <c r="G1434">
        <v>1321.1516113</v>
      </c>
      <c r="H1434">
        <v>1316.3673096</v>
      </c>
      <c r="I1434">
        <v>1357.9217529</v>
      </c>
      <c r="J1434">
        <v>1349.4918213000001</v>
      </c>
      <c r="K1434">
        <v>0</v>
      </c>
      <c r="L1434">
        <v>2400</v>
      </c>
      <c r="M1434">
        <v>2400</v>
      </c>
      <c r="N1434">
        <v>0</v>
      </c>
    </row>
    <row r="1435" spans="1:14" x14ac:dyDescent="0.25">
      <c r="A1435">
        <v>927.37566300000003</v>
      </c>
      <c r="B1435" s="1">
        <f>DATE(2012,11,13) + TIME(9,0,57)</f>
        <v>41226.375659722224</v>
      </c>
      <c r="C1435">
        <v>80</v>
      </c>
      <c r="D1435">
        <v>78.535293578999998</v>
      </c>
      <c r="E1435">
        <v>50</v>
      </c>
      <c r="F1435">
        <v>49.972568512000002</v>
      </c>
      <c r="G1435">
        <v>1321.1335449000001</v>
      </c>
      <c r="H1435">
        <v>1316.3450928</v>
      </c>
      <c r="I1435">
        <v>1357.8956298999999</v>
      </c>
      <c r="J1435">
        <v>1349.4743652</v>
      </c>
      <c r="K1435">
        <v>0</v>
      </c>
      <c r="L1435">
        <v>2400</v>
      </c>
      <c r="M1435">
        <v>2400</v>
      </c>
      <c r="N1435">
        <v>0</v>
      </c>
    </row>
    <row r="1436" spans="1:14" x14ac:dyDescent="0.25">
      <c r="A1436">
        <v>928.02606900000001</v>
      </c>
      <c r="B1436" s="1">
        <f>DATE(2012,11,14) + TIME(0,37,32)</f>
        <v>41227.026064814818</v>
      </c>
      <c r="C1436">
        <v>80</v>
      </c>
      <c r="D1436">
        <v>78.472671508999994</v>
      </c>
      <c r="E1436">
        <v>50</v>
      </c>
      <c r="F1436">
        <v>49.972568512000002</v>
      </c>
      <c r="G1436">
        <v>1321.1148682</v>
      </c>
      <c r="H1436">
        <v>1316.3218993999999</v>
      </c>
      <c r="I1436">
        <v>1357.8703613</v>
      </c>
      <c r="J1436">
        <v>1349.4575195</v>
      </c>
      <c r="K1436">
        <v>0</v>
      </c>
      <c r="L1436">
        <v>2400</v>
      </c>
      <c r="M1436">
        <v>2400</v>
      </c>
      <c r="N1436">
        <v>0</v>
      </c>
    </row>
    <row r="1437" spans="1:14" x14ac:dyDescent="0.25">
      <c r="A1437">
        <v>928.689616</v>
      </c>
      <c r="B1437" s="1">
        <f>DATE(2012,11,14) + TIME(16,33,2)</f>
        <v>41227.689606481479</v>
      </c>
      <c r="C1437">
        <v>80</v>
      </c>
      <c r="D1437">
        <v>78.409370421999995</v>
      </c>
      <c r="E1437">
        <v>50</v>
      </c>
      <c r="F1437">
        <v>49.972568512000002</v>
      </c>
      <c r="G1437">
        <v>1321.0954589999999</v>
      </c>
      <c r="H1437">
        <v>1316.2976074000001</v>
      </c>
      <c r="I1437">
        <v>1357.8459473</v>
      </c>
      <c r="J1437">
        <v>1349.4412841999999</v>
      </c>
      <c r="K1437">
        <v>0</v>
      </c>
      <c r="L1437">
        <v>2400</v>
      </c>
      <c r="M1437">
        <v>2400</v>
      </c>
      <c r="N1437">
        <v>0</v>
      </c>
    </row>
    <row r="1438" spans="1:14" x14ac:dyDescent="0.25">
      <c r="A1438">
        <v>929.36778300000003</v>
      </c>
      <c r="B1438" s="1">
        <f>DATE(2012,11,15) + TIME(8,49,36)</f>
        <v>41228.367777777778</v>
      </c>
      <c r="C1438">
        <v>80</v>
      </c>
      <c r="D1438">
        <v>78.345405579000001</v>
      </c>
      <c r="E1438">
        <v>50</v>
      </c>
      <c r="F1438">
        <v>49.972564697000003</v>
      </c>
      <c r="G1438">
        <v>1321.0753173999999</v>
      </c>
      <c r="H1438">
        <v>1316.2724608999999</v>
      </c>
      <c r="I1438">
        <v>1357.8221435999999</v>
      </c>
      <c r="J1438">
        <v>1349.4254149999999</v>
      </c>
      <c r="K1438">
        <v>0</v>
      </c>
      <c r="L1438">
        <v>2400</v>
      </c>
      <c r="M1438">
        <v>2400</v>
      </c>
      <c r="N1438">
        <v>0</v>
      </c>
    </row>
    <row r="1439" spans="1:14" x14ac:dyDescent="0.25">
      <c r="A1439">
        <v>930.06208200000003</v>
      </c>
      <c r="B1439" s="1">
        <f>DATE(2012,11,16) + TIME(1,29,23)</f>
        <v>41229.062071759261</v>
      </c>
      <c r="C1439">
        <v>80</v>
      </c>
      <c r="D1439">
        <v>78.280715942</v>
      </c>
      <c r="E1439">
        <v>50</v>
      </c>
      <c r="F1439">
        <v>49.972560883</v>
      </c>
      <c r="G1439">
        <v>1321.0544434000001</v>
      </c>
      <c r="H1439">
        <v>1316.2460937999999</v>
      </c>
      <c r="I1439">
        <v>1357.7988281</v>
      </c>
      <c r="J1439">
        <v>1349.4100341999999</v>
      </c>
      <c r="K1439">
        <v>0</v>
      </c>
      <c r="L1439">
        <v>2400</v>
      </c>
      <c r="M1439">
        <v>2400</v>
      </c>
      <c r="N1439">
        <v>0</v>
      </c>
    </row>
    <row r="1440" spans="1:14" x14ac:dyDescent="0.25">
      <c r="A1440">
        <v>930.77407800000003</v>
      </c>
      <c r="B1440" s="1">
        <f>DATE(2012,11,16) + TIME(18,34,40)</f>
        <v>41229.774074074077</v>
      </c>
      <c r="C1440">
        <v>80</v>
      </c>
      <c r="D1440">
        <v>78.215225219999994</v>
      </c>
      <c r="E1440">
        <v>50</v>
      </c>
      <c r="F1440">
        <v>49.972557068</v>
      </c>
      <c r="G1440">
        <v>1321.0327147999999</v>
      </c>
      <c r="H1440">
        <v>1316.2185059000001</v>
      </c>
      <c r="I1440">
        <v>1357.7761230000001</v>
      </c>
      <c r="J1440">
        <v>1349.3948975000001</v>
      </c>
      <c r="K1440">
        <v>0</v>
      </c>
      <c r="L1440">
        <v>2400</v>
      </c>
      <c r="M1440">
        <v>2400</v>
      </c>
      <c r="N1440">
        <v>0</v>
      </c>
    </row>
    <row r="1441" spans="1:14" x14ac:dyDescent="0.25">
      <c r="A1441">
        <v>931.50540699999999</v>
      </c>
      <c r="B1441" s="1">
        <f>DATE(2012,11,17) + TIME(12,7,47)</f>
        <v>41230.50540509259</v>
      </c>
      <c r="C1441">
        <v>80</v>
      </c>
      <c r="D1441">
        <v>78.148849487000007</v>
      </c>
      <c r="E1441">
        <v>50</v>
      </c>
      <c r="F1441">
        <v>49.972553253000001</v>
      </c>
      <c r="G1441">
        <v>1321.0100098</v>
      </c>
      <c r="H1441">
        <v>1316.1896973</v>
      </c>
      <c r="I1441">
        <v>1357.7539062000001</v>
      </c>
      <c r="J1441">
        <v>1349.3801269999999</v>
      </c>
      <c r="K1441">
        <v>0</v>
      </c>
      <c r="L1441">
        <v>2400</v>
      </c>
      <c r="M1441">
        <v>2400</v>
      </c>
      <c r="N1441">
        <v>0</v>
      </c>
    </row>
    <row r="1442" spans="1:14" x14ac:dyDescent="0.25">
      <c r="A1442">
        <v>932.25251400000002</v>
      </c>
      <c r="B1442" s="1">
        <f>DATE(2012,11,18) + TIME(6,3,37)</f>
        <v>41231.252511574072</v>
      </c>
      <c r="C1442">
        <v>80</v>
      </c>
      <c r="D1442">
        <v>78.081733704000001</v>
      </c>
      <c r="E1442">
        <v>50</v>
      </c>
      <c r="F1442">
        <v>49.972545623999999</v>
      </c>
      <c r="G1442">
        <v>1320.9863281</v>
      </c>
      <c r="H1442">
        <v>1316.1595459</v>
      </c>
      <c r="I1442">
        <v>1357.7319336</v>
      </c>
      <c r="J1442">
        <v>1349.3656006000001</v>
      </c>
      <c r="K1442">
        <v>0</v>
      </c>
      <c r="L1442">
        <v>2400</v>
      </c>
      <c r="M1442">
        <v>2400</v>
      </c>
      <c r="N1442">
        <v>0</v>
      </c>
    </row>
    <row r="1443" spans="1:14" x14ac:dyDescent="0.25">
      <c r="A1443">
        <v>933.00881700000002</v>
      </c>
      <c r="B1443" s="1">
        <f>DATE(2012,11,19) + TIME(0,12,41)</f>
        <v>41232.00880787037</v>
      </c>
      <c r="C1443">
        <v>80</v>
      </c>
      <c r="D1443">
        <v>78.014259338000002</v>
      </c>
      <c r="E1443">
        <v>50</v>
      </c>
      <c r="F1443">
        <v>49.972541808999999</v>
      </c>
      <c r="G1443">
        <v>1320.9617920000001</v>
      </c>
      <c r="H1443">
        <v>1316.1280518000001</v>
      </c>
      <c r="I1443">
        <v>1357.7104492000001</v>
      </c>
      <c r="J1443">
        <v>1349.3514404</v>
      </c>
      <c r="K1443">
        <v>0</v>
      </c>
      <c r="L1443">
        <v>2400</v>
      </c>
      <c r="M1443">
        <v>2400</v>
      </c>
      <c r="N1443">
        <v>0</v>
      </c>
    </row>
    <row r="1444" spans="1:14" x14ac:dyDescent="0.25">
      <c r="A1444">
        <v>933.77614500000004</v>
      </c>
      <c r="B1444" s="1">
        <f>DATE(2012,11,19) + TIME(18,37,38)</f>
        <v>41232.776134259257</v>
      </c>
      <c r="C1444">
        <v>80</v>
      </c>
      <c r="D1444">
        <v>77.946502686000002</v>
      </c>
      <c r="E1444">
        <v>50</v>
      </c>
      <c r="F1444">
        <v>49.972537994</v>
      </c>
      <c r="G1444">
        <v>1320.9364014</v>
      </c>
      <c r="H1444">
        <v>1316.0954589999999</v>
      </c>
      <c r="I1444">
        <v>1357.6895752</v>
      </c>
      <c r="J1444">
        <v>1349.3376464999999</v>
      </c>
      <c r="K1444">
        <v>0</v>
      </c>
      <c r="L1444">
        <v>2400</v>
      </c>
      <c r="M1444">
        <v>2400</v>
      </c>
      <c r="N1444">
        <v>0</v>
      </c>
    </row>
    <row r="1445" spans="1:14" x14ac:dyDescent="0.25">
      <c r="A1445">
        <v>934.55650400000002</v>
      </c>
      <c r="B1445" s="1">
        <f>DATE(2012,11,20) + TIME(13,21,21)</f>
        <v>41233.556493055556</v>
      </c>
      <c r="C1445">
        <v>80</v>
      </c>
      <c r="D1445">
        <v>77.878425598000007</v>
      </c>
      <c r="E1445">
        <v>50</v>
      </c>
      <c r="F1445">
        <v>49.972534179999997</v>
      </c>
      <c r="G1445">
        <v>1320.9104004000001</v>
      </c>
      <c r="H1445">
        <v>1316.0617675999999</v>
      </c>
      <c r="I1445">
        <v>1357.6693115</v>
      </c>
      <c r="J1445">
        <v>1349.3242187999999</v>
      </c>
      <c r="K1445">
        <v>0</v>
      </c>
      <c r="L1445">
        <v>2400</v>
      </c>
      <c r="M1445">
        <v>2400</v>
      </c>
      <c r="N1445">
        <v>0</v>
      </c>
    </row>
    <row r="1446" spans="1:14" x14ac:dyDescent="0.25">
      <c r="A1446">
        <v>935.351677</v>
      </c>
      <c r="B1446" s="1">
        <f>DATE(2012,11,21) + TIME(8,26,24)</f>
        <v>41234.351666666669</v>
      </c>
      <c r="C1446">
        <v>80</v>
      </c>
      <c r="D1446">
        <v>77.809959411999998</v>
      </c>
      <c r="E1446">
        <v>50</v>
      </c>
      <c r="F1446">
        <v>49.972530364999997</v>
      </c>
      <c r="G1446">
        <v>1320.8834228999999</v>
      </c>
      <c r="H1446">
        <v>1316.0267334</v>
      </c>
      <c r="I1446">
        <v>1357.6494141000001</v>
      </c>
      <c r="J1446">
        <v>1349.3110352000001</v>
      </c>
      <c r="K1446">
        <v>0</v>
      </c>
      <c r="L1446">
        <v>2400</v>
      </c>
      <c r="M1446">
        <v>2400</v>
      </c>
      <c r="N1446">
        <v>0</v>
      </c>
    </row>
    <row r="1447" spans="1:14" x14ac:dyDescent="0.25">
      <c r="A1447">
        <v>936.16346999999996</v>
      </c>
      <c r="B1447" s="1">
        <f>DATE(2012,11,22) + TIME(3,55,23)</f>
        <v>41235.163460648146</v>
      </c>
      <c r="C1447">
        <v>80</v>
      </c>
      <c r="D1447">
        <v>77.741004943999997</v>
      </c>
      <c r="E1447">
        <v>50</v>
      </c>
      <c r="F1447">
        <v>49.972526549999998</v>
      </c>
      <c r="G1447">
        <v>1320.8554687999999</v>
      </c>
      <c r="H1447">
        <v>1315.9904785000001</v>
      </c>
      <c r="I1447">
        <v>1357.6300048999999</v>
      </c>
      <c r="J1447">
        <v>1349.2982178</v>
      </c>
      <c r="K1447">
        <v>0</v>
      </c>
      <c r="L1447">
        <v>2400</v>
      </c>
      <c r="M1447">
        <v>2400</v>
      </c>
      <c r="N1447">
        <v>0</v>
      </c>
    </row>
    <row r="1448" spans="1:14" x14ac:dyDescent="0.25">
      <c r="A1448">
        <v>936.99373400000002</v>
      </c>
      <c r="B1448" s="1">
        <f>DATE(2012,11,22) + TIME(23,50,58)</f>
        <v>41235.993726851855</v>
      </c>
      <c r="C1448">
        <v>80</v>
      </c>
      <c r="D1448">
        <v>77.671432495000005</v>
      </c>
      <c r="E1448">
        <v>50</v>
      </c>
      <c r="F1448">
        <v>49.972522736000002</v>
      </c>
      <c r="G1448">
        <v>1320.8265381000001</v>
      </c>
      <c r="H1448">
        <v>1315.9527588000001</v>
      </c>
      <c r="I1448">
        <v>1357.6108397999999</v>
      </c>
      <c r="J1448">
        <v>1349.2855225000001</v>
      </c>
      <c r="K1448">
        <v>0</v>
      </c>
      <c r="L1448">
        <v>2400</v>
      </c>
      <c r="M1448">
        <v>2400</v>
      </c>
      <c r="N1448">
        <v>0</v>
      </c>
    </row>
    <row r="1449" spans="1:14" x14ac:dyDescent="0.25">
      <c r="A1449">
        <v>937.84436500000004</v>
      </c>
      <c r="B1449" s="1">
        <f>DATE(2012,11,23) + TIME(20,15,53)</f>
        <v>41236.844363425924</v>
      </c>
      <c r="C1449">
        <v>80</v>
      </c>
      <c r="D1449">
        <v>77.601135253999999</v>
      </c>
      <c r="E1449">
        <v>50</v>
      </c>
      <c r="F1449">
        <v>49.972522736000002</v>
      </c>
      <c r="G1449">
        <v>1320.7965088000001</v>
      </c>
      <c r="H1449">
        <v>1315.9134521000001</v>
      </c>
      <c r="I1449">
        <v>1357.5919189000001</v>
      </c>
      <c r="J1449">
        <v>1349.2730713000001</v>
      </c>
      <c r="K1449">
        <v>0</v>
      </c>
      <c r="L1449">
        <v>2400</v>
      </c>
      <c r="M1449">
        <v>2400</v>
      </c>
      <c r="N1449">
        <v>0</v>
      </c>
    </row>
    <row r="1450" spans="1:14" x14ac:dyDescent="0.25">
      <c r="A1450">
        <v>938.71731</v>
      </c>
      <c r="B1450" s="1">
        <f>DATE(2012,11,24) + TIME(17,12,55)</f>
        <v>41237.717303240737</v>
      </c>
      <c r="C1450">
        <v>80</v>
      </c>
      <c r="D1450">
        <v>77.529998778999996</v>
      </c>
      <c r="E1450">
        <v>50</v>
      </c>
      <c r="F1450">
        <v>49.972518921000002</v>
      </c>
      <c r="G1450">
        <v>1320.7653809000001</v>
      </c>
      <c r="H1450">
        <v>1315.8725586</v>
      </c>
      <c r="I1450">
        <v>1357.5733643000001</v>
      </c>
      <c r="J1450">
        <v>1349.2608643000001</v>
      </c>
      <c r="K1450">
        <v>0</v>
      </c>
      <c r="L1450">
        <v>2400</v>
      </c>
      <c r="M1450">
        <v>2400</v>
      </c>
      <c r="N1450">
        <v>0</v>
      </c>
    </row>
    <row r="1451" spans="1:14" x14ac:dyDescent="0.25">
      <c r="A1451">
        <v>939.610367</v>
      </c>
      <c r="B1451" s="1">
        <f>DATE(2012,11,25) + TIME(14,38,55)</f>
        <v>41238.610358796293</v>
      </c>
      <c r="C1451">
        <v>80</v>
      </c>
      <c r="D1451">
        <v>77.458053589000002</v>
      </c>
      <c r="E1451">
        <v>50</v>
      </c>
      <c r="F1451">
        <v>49.972518921000002</v>
      </c>
      <c r="G1451">
        <v>1320.7329102000001</v>
      </c>
      <c r="H1451">
        <v>1315.8298339999999</v>
      </c>
      <c r="I1451">
        <v>1357.5549315999999</v>
      </c>
      <c r="J1451">
        <v>1349.2486572</v>
      </c>
      <c r="K1451">
        <v>0</v>
      </c>
      <c r="L1451">
        <v>2400</v>
      </c>
      <c r="M1451">
        <v>2400</v>
      </c>
      <c r="N1451">
        <v>0</v>
      </c>
    </row>
    <row r="1452" spans="1:14" x14ac:dyDescent="0.25">
      <c r="A1452">
        <v>940.51959699999998</v>
      </c>
      <c r="B1452" s="1">
        <f>DATE(2012,11,26) + TIME(12,28,13)</f>
        <v>41239.519594907404</v>
      </c>
      <c r="C1452">
        <v>80</v>
      </c>
      <c r="D1452">
        <v>77.385505675999994</v>
      </c>
      <c r="E1452">
        <v>50</v>
      </c>
      <c r="F1452">
        <v>49.972518921000002</v>
      </c>
      <c r="G1452">
        <v>1320.6992187999999</v>
      </c>
      <c r="H1452">
        <v>1315.7855225000001</v>
      </c>
      <c r="I1452">
        <v>1357.5367432</v>
      </c>
      <c r="J1452">
        <v>1349.2366943</v>
      </c>
      <c r="K1452">
        <v>0</v>
      </c>
      <c r="L1452">
        <v>2400</v>
      </c>
      <c r="M1452">
        <v>2400</v>
      </c>
      <c r="N1452">
        <v>0</v>
      </c>
    </row>
    <row r="1453" spans="1:14" x14ac:dyDescent="0.25">
      <c r="A1453">
        <v>941.44566799999996</v>
      </c>
      <c r="B1453" s="1">
        <f>DATE(2012,11,27) + TIME(10,41,45)</f>
        <v>41240.445659722223</v>
      </c>
      <c r="C1453">
        <v>80</v>
      </c>
      <c r="D1453">
        <v>77.312438964999998</v>
      </c>
      <c r="E1453">
        <v>50</v>
      </c>
      <c r="F1453">
        <v>49.972518921000002</v>
      </c>
      <c r="G1453">
        <v>1320.6644286999999</v>
      </c>
      <c r="H1453">
        <v>1315.7395019999999</v>
      </c>
      <c r="I1453">
        <v>1357.5187988</v>
      </c>
      <c r="J1453">
        <v>1349.2249756000001</v>
      </c>
      <c r="K1453">
        <v>0</v>
      </c>
      <c r="L1453">
        <v>2400</v>
      </c>
      <c r="M1453">
        <v>2400</v>
      </c>
      <c r="N1453">
        <v>0</v>
      </c>
    </row>
    <row r="1454" spans="1:14" x14ac:dyDescent="0.25">
      <c r="A1454">
        <v>942.38677700000005</v>
      </c>
      <c r="B1454" s="1">
        <f>DATE(2012,11,28) + TIME(9,16,57)</f>
        <v>41241.386770833335</v>
      </c>
      <c r="C1454">
        <v>80</v>
      </c>
      <c r="D1454">
        <v>77.238975525000001</v>
      </c>
      <c r="E1454">
        <v>50</v>
      </c>
      <c r="F1454">
        <v>49.972518921000002</v>
      </c>
      <c r="G1454">
        <v>1320.6285399999999</v>
      </c>
      <c r="H1454">
        <v>1315.6920166</v>
      </c>
      <c r="I1454">
        <v>1357.5012207</v>
      </c>
      <c r="J1454">
        <v>1349.2133789</v>
      </c>
      <c r="K1454">
        <v>0</v>
      </c>
      <c r="L1454">
        <v>2400</v>
      </c>
      <c r="M1454">
        <v>2400</v>
      </c>
      <c r="N1454">
        <v>0</v>
      </c>
    </row>
    <row r="1455" spans="1:14" x14ac:dyDescent="0.25">
      <c r="A1455">
        <v>943.34513000000004</v>
      </c>
      <c r="B1455" s="1">
        <f>DATE(2012,11,29) + TIME(8,16,59)</f>
        <v>41242.345127314817</v>
      </c>
      <c r="C1455">
        <v>80</v>
      </c>
      <c r="D1455">
        <v>77.165115356000001</v>
      </c>
      <c r="E1455">
        <v>50</v>
      </c>
      <c r="F1455">
        <v>49.972522736000002</v>
      </c>
      <c r="G1455">
        <v>1320.5916748</v>
      </c>
      <c r="H1455">
        <v>1315.6428223</v>
      </c>
      <c r="I1455">
        <v>1357.4838867000001</v>
      </c>
      <c r="J1455">
        <v>1349.2020264</v>
      </c>
      <c r="K1455">
        <v>0</v>
      </c>
      <c r="L1455">
        <v>2400</v>
      </c>
      <c r="M1455">
        <v>2400</v>
      </c>
      <c r="N1455">
        <v>0</v>
      </c>
    </row>
    <row r="1456" spans="1:14" x14ac:dyDescent="0.25">
      <c r="A1456">
        <v>944.32290899999998</v>
      </c>
      <c r="B1456" s="1">
        <f>DATE(2012,11,30) + TIME(7,44,59)</f>
        <v>41243.322905092595</v>
      </c>
      <c r="C1456">
        <v>80</v>
      </c>
      <c r="D1456">
        <v>77.090774535999998</v>
      </c>
      <c r="E1456">
        <v>50</v>
      </c>
      <c r="F1456">
        <v>49.972522736000002</v>
      </c>
      <c r="G1456">
        <v>1320.5534668</v>
      </c>
      <c r="H1456">
        <v>1315.5920410000001</v>
      </c>
      <c r="I1456">
        <v>1357.4669189000001</v>
      </c>
      <c r="J1456">
        <v>1349.1907959</v>
      </c>
      <c r="K1456">
        <v>0</v>
      </c>
      <c r="L1456">
        <v>2400</v>
      </c>
      <c r="M1456">
        <v>2400</v>
      </c>
      <c r="N1456">
        <v>0</v>
      </c>
    </row>
    <row r="1457" spans="1:14" x14ac:dyDescent="0.25">
      <c r="A1457">
        <v>945</v>
      </c>
      <c r="B1457" s="1">
        <f>DATE(2012,12,1) + TIME(0,0,0)</f>
        <v>41244</v>
      </c>
      <c r="C1457">
        <v>80</v>
      </c>
      <c r="D1457">
        <v>77.029373168999996</v>
      </c>
      <c r="E1457">
        <v>50</v>
      </c>
      <c r="F1457">
        <v>49.972522736000002</v>
      </c>
      <c r="G1457">
        <v>1320.5148925999999</v>
      </c>
      <c r="H1457">
        <v>1315.5415039</v>
      </c>
      <c r="I1457">
        <v>1357.4499512</v>
      </c>
      <c r="J1457">
        <v>1349.1795654</v>
      </c>
      <c r="K1457">
        <v>0</v>
      </c>
      <c r="L1457">
        <v>2400</v>
      </c>
      <c r="M1457">
        <v>2400</v>
      </c>
      <c r="N1457">
        <v>0</v>
      </c>
    </row>
    <row r="1458" spans="1:14" x14ac:dyDescent="0.25">
      <c r="A1458">
        <v>945.99940300000003</v>
      </c>
      <c r="B1458" s="1">
        <f>DATE(2012,12,1) + TIME(23,59,8)</f>
        <v>41244.999398148146</v>
      </c>
      <c r="C1458">
        <v>80</v>
      </c>
      <c r="D1458">
        <v>76.960227966000005</v>
      </c>
      <c r="E1458">
        <v>50</v>
      </c>
      <c r="F1458">
        <v>49.972530364999997</v>
      </c>
      <c r="G1458">
        <v>1320.4854736</v>
      </c>
      <c r="H1458">
        <v>1315.5006103999999</v>
      </c>
      <c r="I1458">
        <v>1357.4388428</v>
      </c>
      <c r="J1458">
        <v>1349.1723632999999</v>
      </c>
      <c r="K1458">
        <v>0</v>
      </c>
      <c r="L1458">
        <v>2400</v>
      </c>
      <c r="M1458">
        <v>2400</v>
      </c>
      <c r="N1458">
        <v>0</v>
      </c>
    </row>
    <row r="1459" spans="1:14" x14ac:dyDescent="0.25">
      <c r="A1459">
        <v>947.04086400000006</v>
      </c>
      <c r="B1459" s="1">
        <f>DATE(2012,12,3) + TIME(0,58,50)</f>
        <v>41246.040856481479</v>
      </c>
      <c r="C1459">
        <v>80</v>
      </c>
      <c r="D1459">
        <v>76.887046814000001</v>
      </c>
      <c r="E1459">
        <v>50</v>
      </c>
      <c r="F1459">
        <v>49.972534179999997</v>
      </c>
      <c r="G1459">
        <v>1320.4449463000001</v>
      </c>
      <c r="H1459">
        <v>1315.4465332</v>
      </c>
      <c r="I1459">
        <v>1357.4226074000001</v>
      </c>
      <c r="J1459">
        <v>1349.1616211</v>
      </c>
      <c r="K1459">
        <v>0</v>
      </c>
      <c r="L1459">
        <v>2400</v>
      </c>
      <c r="M1459">
        <v>2400</v>
      </c>
      <c r="N1459">
        <v>0</v>
      </c>
    </row>
    <row r="1460" spans="1:14" x14ac:dyDescent="0.25">
      <c r="A1460">
        <v>948.10960299999999</v>
      </c>
      <c r="B1460" s="1">
        <f>DATE(2012,12,4) + TIME(2,37,49)</f>
        <v>41247.109594907408</v>
      </c>
      <c r="C1460">
        <v>80</v>
      </c>
      <c r="D1460">
        <v>76.811309813999998</v>
      </c>
      <c r="E1460">
        <v>50</v>
      </c>
      <c r="F1460">
        <v>49.972537994</v>
      </c>
      <c r="G1460">
        <v>1320.4019774999999</v>
      </c>
      <c r="H1460">
        <v>1315.3890381000001</v>
      </c>
      <c r="I1460">
        <v>1357.4061279</v>
      </c>
      <c r="J1460">
        <v>1349.1508789</v>
      </c>
      <c r="K1460">
        <v>0</v>
      </c>
      <c r="L1460">
        <v>2400</v>
      </c>
      <c r="M1460">
        <v>2400</v>
      </c>
      <c r="N1460">
        <v>0</v>
      </c>
    </row>
    <row r="1461" spans="1:14" x14ac:dyDescent="0.25">
      <c r="A1461">
        <v>949.20866799999999</v>
      </c>
      <c r="B1461" s="1">
        <f>DATE(2012,12,5) + TIME(5,0,28)</f>
        <v>41248.208657407406</v>
      </c>
      <c r="C1461">
        <v>80</v>
      </c>
      <c r="D1461">
        <v>76.733772278000004</v>
      </c>
      <c r="E1461">
        <v>50</v>
      </c>
      <c r="F1461">
        <v>49.972545623999999</v>
      </c>
      <c r="G1461">
        <v>1320.3571777</v>
      </c>
      <c r="H1461">
        <v>1315.3289795000001</v>
      </c>
      <c r="I1461">
        <v>1357.3898925999999</v>
      </c>
      <c r="J1461">
        <v>1349.1401367000001</v>
      </c>
      <c r="K1461">
        <v>0</v>
      </c>
      <c r="L1461">
        <v>2400</v>
      </c>
      <c r="M1461">
        <v>2400</v>
      </c>
      <c r="N1461">
        <v>0</v>
      </c>
    </row>
    <row r="1462" spans="1:14" x14ac:dyDescent="0.25">
      <c r="A1462">
        <v>950.34076400000004</v>
      </c>
      <c r="B1462" s="1">
        <f>DATE(2012,12,6) + TIME(8,10,42)</f>
        <v>41249.340763888889</v>
      </c>
      <c r="C1462">
        <v>80</v>
      </c>
      <c r="D1462">
        <v>76.654724121000001</v>
      </c>
      <c r="E1462">
        <v>50</v>
      </c>
      <c r="F1462">
        <v>49.972549438000001</v>
      </c>
      <c r="G1462">
        <v>1320.3105469</v>
      </c>
      <c r="H1462">
        <v>1315.2662353999999</v>
      </c>
      <c r="I1462">
        <v>1357.3736572</v>
      </c>
      <c r="J1462">
        <v>1349.1295166</v>
      </c>
      <c r="K1462">
        <v>0</v>
      </c>
      <c r="L1462">
        <v>2400</v>
      </c>
      <c r="M1462">
        <v>2400</v>
      </c>
      <c r="N1462">
        <v>0</v>
      </c>
    </row>
    <row r="1463" spans="1:14" x14ac:dyDescent="0.25">
      <c r="A1463">
        <v>951.50826400000005</v>
      </c>
      <c r="B1463" s="1">
        <f>DATE(2012,12,7) + TIME(12,11,54)</f>
        <v>41250.508263888885</v>
      </c>
      <c r="C1463">
        <v>80</v>
      </c>
      <c r="D1463">
        <v>76.574226378999995</v>
      </c>
      <c r="E1463">
        <v>50</v>
      </c>
      <c r="F1463">
        <v>49.972557068</v>
      </c>
      <c r="G1463">
        <v>1320.2619629000001</v>
      </c>
      <c r="H1463">
        <v>1315.2006836</v>
      </c>
      <c r="I1463">
        <v>1357.3574219</v>
      </c>
      <c r="J1463">
        <v>1349.1187743999999</v>
      </c>
      <c r="K1463">
        <v>0</v>
      </c>
      <c r="L1463">
        <v>2400</v>
      </c>
      <c r="M1463">
        <v>2400</v>
      </c>
      <c r="N1463">
        <v>0</v>
      </c>
    </row>
    <row r="1464" spans="1:14" x14ac:dyDescent="0.25">
      <c r="A1464">
        <v>952.71457099999998</v>
      </c>
      <c r="B1464" s="1">
        <f>DATE(2012,12,8) + TIME(17,8,58)</f>
        <v>41251.714560185188</v>
      </c>
      <c r="C1464">
        <v>80</v>
      </c>
      <c r="D1464">
        <v>76.492225646999998</v>
      </c>
      <c r="E1464">
        <v>50</v>
      </c>
      <c r="F1464">
        <v>49.972564697000003</v>
      </c>
      <c r="G1464">
        <v>1320.2113036999999</v>
      </c>
      <c r="H1464">
        <v>1315.1322021000001</v>
      </c>
      <c r="I1464">
        <v>1357.3411865</v>
      </c>
      <c r="J1464">
        <v>1349.1081543</v>
      </c>
      <c r="K1464">
        <v>0</v>
      </c>
      <c r="L1464">
        <v>2400</v>
      </c>
      <c r="M1464">
        <v>2400</v>
      </c>
      <c r="N1464">
        <v>0</v>
      </c>
    </row>
    <row r="1465" spans="1:14" x14ac:dyDescent="0.25">
      <c r="A1465">
        <v>953.96306500000003</v>
      </c>
      <c r="B1465" s="1">
        <f>DATE(2012,12,9) + TIME(23,6,48)</f>
        <v>41252.963055555556</v>
      </c>
      <c r="C1465">
        <v>80</v>
      </c>
      <c r="D1465">
        <v>76.408615112000007</v>
      </c>
      <c r="E1465">
        <v>50</v>
      </c>
      <c r="F1465">
        <v>49.972576140999998</v>
      </c>
      <c r="G1465">
        <v>1320.1584473</v>
      </c>
      <c r="H1465">
        <v>1315.0605469</v>
      </c>
      <c r="I1465">
        <v>1357.3249512</v>
      </c>
      <c r="J1465">
        <v>1349.0975341999999</v>
      </c>
      <c r="K1465">
        <v>0</v>
      </c>
      <c r="L1465">
        <v>2400</v>
      </c>
      <c r="M1465">
        <v>2400</v>
      </c>
      <c r="N1465">
        <v>0</v>
      </c>
    </row>
    <row r="1466" spans="1:14" x14ac:dyDescent="0.25">
      <c r="A1466">
        <v>955.24039100000005</v>
      </c>
      <c r="B1466" s="1">
        <f>DATE(2012,12,11) + TIME(5,46,9)</f>
        <v>41254.240381944444</v>
      </c>
      <c r="C1466">
        <v>80</v>
      </c>
      <c r="D1466">
        <v>76.323699950999995</v>
      </c>
      <c r="E1466">
        <v>50</v>
      </c>
      <c r="F1466">
        <v>49.972583770999996</v>
      </c>
      <c r="G1466">
        <v>1320.1031493999999</v>
      </c>
      <c r="H1466">
        <v>1314.9855957</v>
      </c>
      <c r="I1466">
        <v>1357.3087158000001</v>
      </c>
      <c r="J1466">
        <v>1349.0867920000001</v>
      </c>
      <c r="K1466">
        <v>0</v>
      </c>
      <c r="L1466">
        <v>2400</v>
      </c>
      <c r="M1466">
        <v>2400</v>
      </c>
      <c r="N1466">
        <v>0</v>
      </c>
    </row>
    <row r="1467" spans="1:14" x14ac:dyDescent="0.25">
      <c r="A1467">
        <v>956.53698999999995</v>
      </c>
      <c r="B1467" s="1">
        <f>DATE(2012,12,12) + TIME(12,53,15)</f>
        <v>41255.536979166667</v>
      </c>
      <c r="C1467">
        <v>80</v>
      </c>
      <c r="D1467">
        <v>76.238052367999998</v>
      </c>
      <c r="E1467">
        <v>50</v>
      </c>
      <c r="F1467">
        <v>49.972595214999998</v>
      </c>
      <c r="G1467">
        <v>1320.0458983999999</v>
      </c>
      <c r="H1467">
        <v>1314.9080810999999</v>
      </c>
      <c r="I1467">
        <v>1357.2924805</v>
      </c>
      <c r="J1467">
        <v>1349.0761719</v>
      </c>
      <c r="K1467">
        <v>0</v>
      </c>
      <c r="L1467">
        <v>2400</v>
      </c>
      <c r="M1467">
        <v>2400</v>
      </c>
      <c r="N1467">
        <v>0</v>
      </c>
    </row>
    <row r="1468" spans="1:14" x14ac:dyDescent="0.25">
      <c r="A1468">
        <v>957.85572999999999</v>
      </c>
      <c r="B1468" s="1">
        <f>DATE(2012,12,13) + TIME(20,32,15)</f>
        <v>41256.855729166666</v>
      </c>
      <c r="C1468">
        <v>80</v>
      </c>
      <c r="D1468">
        <v>76.151992797999995</v>
      </c>
      <c r="E1468">
        <v>50</v>
      </c>
      <c r="F1468">
        <v>49.972602844000001</v>
      </c>
      <c r="G1468">
        <v>1319.9871826000001</v>
      </c>
      <c r="H1468">
        <v>1314.828125</v>
      </c>
      <c r="I1468">
        <v>1357.2766113</v>
      </c>
      <c r="J1468">
        <v>1349.0657959</v>
      </c>
      <c r="K1468">
        <v>0</v>
      </c>
      <c r="L1468">
        <v>2400</v>
      </c>
      <c r="M1468">
        <v>2400</v>
      </c>
      <c r="N1468">
        <v>0</v>
      </c>
    </row>
    <row r="1469" spans="1:14" x14ac:dyDescent="0.25">
      <c r="A1469">
        <v>959.19531700000005</v>
      </c>
      <c r="B1469" s="1">
        <f>DATE(2012,12,15) + TIME(4,41,15)</f>
        <v>41258.1953125</v>
      </c>
      <c r="C1469">
        <v>80</v>
      </c>
      <c r="D1469">
        <v>76.065643311000002</v>
      </c>
      <c r="E1469">
        <v>50</v>
      </c>
      <c r="F1469">
        <v>49.972614288000003</v>
      </c>
      <c r="G1469">
        <v>1319.9268798999999</v>
      </c>
      <c r="H1469">
        <v>1314.7459716999999</v>
      </c>
      <c r="I1469">
        <v>1357.2609863</v>
      </c>
      <c r="J1469">
        <v>1349.0554199000001</v>
      </c>
      <c r="K1469">
        <v>0</v>
      </c>
      <c r="L1469">
        <v>2400</v>
      </c>
      <c r="M1469">
        <v>2400</v>
      </c>
      <c r="N1469">
        <v>0</v>
      </c>
    </row>
    <row r="1470" spans="1:14" x14ac:dyDescent="0.25">
      <c r="A1470">
        <v>960.55814099999998</v>
      </c>
      <c r="B1470" s="1">
        <f>DATE(2012,12,16) + TIME(13,23,43)</f>
        <v>41259.558136574073</v>
      </c>
      <c r="C1470">
        <v>80</v>
      </c>
      <c r="D1470">
        <v>75.979011536000002</v>
      </c>
      <c r="E1470">
        <v>50</v>
      </c>
      <c r="F1470">
        <v>49.972629546999997</v>
      </c>
      <c r="G1470">
        <v>1319.8649902</v>
      </c>
      <c r="H1470">
        <v>1314.661499</v>
      </c>
      <c r="I1470">
        <v>1357.2454834</v>
      </c>
      <c r="J1470">
        <v>1349.0452881000001</v>
      </c>
      <c r="K1470">
        <v>0</v>
      </c>
      <c r="L1470">
        <v>2400</v>
      </c>
      <c r="M1470">
        <v>2400</v>
      </c>
      <c r="N1470">
        <v>0</v>
      </c>
    </row>
    <row r="1471" spans="1:14" x14ac:dyDescent="0.25">
      <c r="A1471">
        <v>961.94703800000002</v>
      </c>
      <c r="B1471" s="1">
        <f>DATE(2012,12,17) + TIME(22,43,44)</f>
        <v>41260.94703703704</v>
      </c>
      <c r="C1471">
        <v>80</v>
      </c>
      <c r="D1471">
        <v>75.892028808999996</v>
      </c>
      <c r="E1471">
        <v>50</v>
      </c>
      <c r="F1471">
        <v>49.972640990999999</v>
      </c>
      <c r="G1471">
        <v>1319.8015137</v>
      </c>
      <c r="H1471">
        <v>1314.574707</v>
      </c>
      <c r="I1471">
        <v>1357.2302245999999</v>
      </c>
      <c r="J1471">
        <v>1349.0352783000001</v>
      </c>
      <c r="K1471">
        <v>0</v>
      </c>
      <c r="L1471">
        <v>2400</v>
      </c>
      <c r="M1471">
        <v>2400</v>
      </c>
      <c r="N1471">
        <v>0</v>
      </c>
    </row>
    <row r="1472" spans="1:14" x14ac:dyDescent="0.25">
      <c r="A1472">
        <v>963.36492799999996</v>
      </c>
      <c r="B1472" s="1">
        <f>DATE(2012,12,19) + TIME(8,45,29)</f>
        <v>41262.364918981482</v>
      </c>
      <c r="C1472">
        <v>80</v>
      </c>
      <c r="D1472">
        <v>75.804557799999998</v>
      </c>
      <c r="E1472">
        <v>50</v>
      </c>
      <c r="F1472">
        <v>49.972652435000001</v>
      </c>
      <c r="G1472">
        <v>1319.7362060999999</v>
      </c>
      <c r="H1472">
        <v>1314.4853516000001</v>
      </c>
      <c r="I1472">
        <v>1357.2150879000001</v>
      </c>
      <c r="J1472">
        <v>1349.0252685999999</v>
      </c>
      <c r="K1472">
        <v>0</v>
      </c>
      <c r="L1472">
        <v>2400</v>
      </c>
      <c r="M1472">
        <v>2400</v>
      </c>
      <c r="N1472">
        <v>0</v>
      </c>
    </row>
    <row r="1473" spans="1:14" x14ac:dyDescent="0.25">
      <c r="A1473">
        <v>964.81478000000004</v>
      </c>
      <c r="B1473" s="1">
        <f>DATE(2012,12,20) + TIME(19,33,17)</f>
        <v>41263.814780092594</v>
      </c>
      <c r="C1473">
        <v>80</v>
      </c>
      <c r="D1473">
        <v>75.716445922999995</v>
      </c>
      <c r="E1473">
        <v>50</v>
      </c>
      <c r="F1473">
        <v>49.972667694000002</v>
      </c>
      <c r="G1473">
        <v>1319.6689452999999</v>
      </c>
      <c r="H1473">
        <v>1314.3933105000001</v>
      </c>
      <c r="I1473">
        <v>1357.2000731999999</v>
      </c>
      <c r="J1473">
        <v>1349.0153809000001</v>
      </c>
      <c r="K1473">
        <v>0</v>
      </c>
      <c r="L1473">
        <v>2400</v>
      </c>
      <c r="M1473">
        <v>2400</v>
      </c>
      <c r="N1473">
        <v>0</v>
      </c>
    </row>
    <row r="1474" spans="1:14" x14ac:dyDescent="0.25">
      <c r="A1474">
        <v>966.29972199999997</v>
      </c>
      <c r="B1474" s="1">
        <f>DATE(2012,12,22) + TIME(7,11,35)</f>
        <v>41265.299710648149</v>
      </c>
      <c r="C1474">
        <v>80</v>
      </c>
      <c r="D1474">
        <v>75.627540588000002</v>
      </c>
      <c r="E1474">
        <v>50</v>
      </c>
      <c r="F1474">
        <v>49.972682953000003</v>
      </c>
      <c r="G1474">
        <v>1319.5997314000001</v>
      </c>
      <c r="H1474">
        <v>1314.2983397999999</v>
      </c>
      <c r="I1474">
        <v>1357.1851807</v>
      </c>
      <c r="J1474">
        <v>1349.0056152</v>
      </c>
      <c r="K1474">
        <v>0</v>
      </c>
      <c r="L1474">
        <v>2400</v>
      </c>
      <c r="M1474">
        <v>2400</v>
      </c>
      <c r="N1474">
        <v>0</v>
      </c>
    </row>
    <row r="1475" spans="1:14" x14ac:dyDescent="0.25">
      <c r="A1475">
        <v>967.82320200000004</v>
      </c>
      <c r="B1475" s="1">
        <f>DATE(2012,12,23) + TIME(19,45,24)</f>
        <v>41266.823194444441</v>
      </c>
      <c r="C1475">
        <v>80</v>
      </c>
      <c r="D1475">
        <v>75.537673949999999</v>
      </c>
      <c r="E1475">
        <v>50</v>
      </c>
      <c r="F1475">
        <v>49.972698211999997</v>
      </c>
      <c r="G1475">
        <v>1319.5281981999999</v>
      </c>
      <c r="H1475">
        <v>1314.2001952999999</v>
      </c>
      <c r="I1475">
        <v>1357.1702881000001</v>
      </c>
      <c r="J1475">
        <v>1348.9958495999999</v>
      </c>
      <c r="K1475">
        <v>0</v>
      </c>
      <c r="L1475">
        <v>2400</v>
      </c>
      <c r="M1475">
        <v>2400</v>
      </c>
      <c r="N1475">
        <v>0</v>
      </c>
    </row>
    <row r="1476" spans="1:14" x14ac:dyDescent="0.25">
      <c r="A1476">
        <v>969.38810699999999</v>
      </c>
      <c r="B1476" s="1">
        <f>DATE(2012,12,25) + TIME(9,18,52)</f>
        <v>41268.388101851851</v>
      </c>
      <c r="C1476">
        <v>80</v>
      </c>
      <c r="D1476">
        <v>75.446693420000003</v>
      </c>
      <c r="E1476">
        <v>50</v>
      </c>
      <c r="F1476">
        <v>49.972713470000002</v>
      </c>
      <c r="G1476">
        <v>1319.4543457</v>
      </c>
      <c r="H1476">
        <v>1314.0987548999999</v>
      </c>
      <c r="I1476">
        <v>1357.1555175999999</v>
      </c>
      <c r="J1476">
        <v>1348.9860839999999</v>
      </c>
      <c r="K1476">
        <v>0</v>
      </c>
      <c r="L1476">
        <v>2400</v>
      </c>
      <c r="M1476">
        <v>2400</v>
      </c>
      <c r="N1476">
        <v>0</v>
      </c>
    </row>
    <row r="1477" spans="1:14" x14ac:dyDescent="0.25">
      <c r="A1477">
        <v>970.99783300000001</v>
      </c>
      <c r="B1477" s="1">
        <f>DATE(2012,12,26) + TIME(23,56,52)</f>
        <v>41269.997824074075</v>
      </c>
      <c r="C1477">
        <v>80</v>
      </c>
      <c r="D1477">
        <v>75.354438782000003</v>
      </c>
      <c r="E1477">
        <v>50</v>
      </c>
      <c r="F1477">
        <v>49.972732544000003</v>
      </c>
      <c r="G1477">
        <v>1319.3779297000001</v>
      </c>
      <c r="H1477">
        <v>1313.9936522999999</v>
      </c>
      <c r="I1477">
        <v>1357.1407471</v>
      </c>
      <c r="J1477">
        <v>1348.9763184000001</v>
      </c>
      <c r="K1477">
        <v>0</v>
      </c>
      <c r="L1477">
        <v>2400</v>
      </c>
      <c r="M1477">
        <v>2400</v>
      </c>
      <c r="N1477">
        <v>0</v>
      </c>
    </row>
    <row r="1478" spans="1:14" x14ac:dyDescent="0.25">
      <c r="A1478">
        <v>972.65641100000005</v>
      </c>
      <c r="B1478" s="1">
        <f>DATE(2012,12,28) + TIME(15,45,13)</f>
        <v>41271.656400462962</v>
      </c>
      <c r="C1478">
        <v>80</v>
      </c>
      <c r="D1478">
        <v>75.260749817000004</v>
      </c>
      <c r="E1478">
        <v>50</v>
      </c>
      <c r="F1478">
        <v>49.972751617</v>
      </c>
      <c r="G1478">
        <v>1319.2988281</v>
      </c>
      <c r="H1478">
        <v>1313.8846435999999</v>
      </c>
      <c r="I1478">
        <v>1357.1258545000001</v>
      </c>
      <c r="J1478">
        <v>1348.9664307</v>
      </c>
      <c r="K1478">
        <v>0</v>
      </c>
      <c r="L1478">
        <v>2400</v>
      </c>
      <c r="M1478">
        <v>2400</v>
      </c>
      <c r="N1478">
        <v>0</v>
      </c>
    </row>
    <row r="1479" spans="1:14" x14ac:dyDescent="0.25">
      <c r="A1479">
        <v>974.36809600000004</v>
      </c>
      <c r="B1479" s="1">
        <f>DATE(2012,12,30) + TIME(8,50,3)</f>
        <v>41273.368090277778</v>
      </c>
      <c r="C1479">
        <v>80</v>
      </c>
      <c r="D1479">
        <v>75.165435790999993</v>
      </c>
      <c r="E1479">
        <v>50</v>
      </c>
      <c r="F1479">
        <v>49.972770691000001</v>
      </c>
      <c r="G1479">
        <v>1319.2167969</v>
      </c>
      <c r="H1479">
        <v>1313.7716064000001</v>
      </c>
      <c r="I1479">
        <v>1357.1109618999999</v>
      </c>
      <c r="J1479">
        <v>1348.9566649999999</v>
      </c>
      <c r="K1479">
        <v>0</v>
      </c>
      <c r="L1479">
        <v>2400</v>
      </c>
      <c r="M1479">
        <v>2400</v>
      </c>
      <c r="N1479">
        <v>0</v>
      </c>
    </row>
    <row r="1480" spans="1:14" x14ac:dyDescent="0.25">
      <c r="A1480">
        <v>976</v>
      </c>
      <c r="B1480" s="1">
        <f>DATE(2013,1,1) + TIME(0,0,0)</f>
        <v>41275</v>
      </c>
      <c r="C1480">
        <v>80</v>
      </c>
      <c r="D1480">
        <v>75.070800781000003</v>
      </c>
      <c r="E1480">
        <v>50</v>
      </c>
      <c r="F1480">
        <v>49.972789763999998</v>
      </c>
      <c r="G1480">
        <v>1319.1319579999999</v>
      </c>
      <c r="H1480">
        <v>1313.6547852000001</v>
      </c>
      <c r="I1480">
        <v>1357.0960693</v>
      </c>
      <c r="J1480">
        <v>1348.9467772999999</v>
      </c>
      <c r="K1480">
        <v>0</v>
      </c>
      <c r="L1480">
        <v>2400</v>
      </c>
      <c r="M1480">
        <v>2400</v>
      </c>
      <c r="N1480">
        <v>0</v>
      </c>
    </row>
    <row r="1481" spans="1:14" x14ac:dyDescent="0.25">
      <c r="A1481">
        <v>977.746038</v>
      </c>
      <c r="B1481" s="1">
        <f>DATE(2013,1,2) + TIME(17,54,17)</f>
        <v>41276.746030092596</v>
      </c>
      <c r="C1481">
        <v>80</v>
      </c>
      <c r="D1481">
        <v>74.976585388000004</v>
      </c>
      <c r="E1481">
        <v>50</v>
      </c>
      <c r="F1481">
        <v>49.972808837999999</v>
      </c>
      <c r="G1481">
        <v>1319.0489502</v>
      </c>
      <c r="H1481">
        <v>1313.5397949000001</v>
      </c>
      <c r="I1481">
        <v>1357.0821533000001</v>
      </c>
      <c r="J1481">
        <v>1348.9376221</v>
      </c>
      <c r="K1481">
        <v>0</v>
      </c>
      <c r="L1481">
        <v>2400</v>
      </c>
      <c r="M1481">
        <v>2400</v>
      </c>
      <c r="N1481">
        <v>0</v>
      </c>
    </row>
    <row r="1482" spans="1:14" x14ac:dyDescent="0.25">
      <c r="A1482">
        <v>979.55038000000002</v>
      </c>
      <c r="B1482" s="1">
        <f>DATE(2013,1,4) + TIME(13,12,32)</f>
        <v>41278.550370370373</v>
      </c>
      <c r="C1482">
        <v>80</v>
      </c>
      <c r="D1482">
        <v>74.879875182999996</v>
      </c>
      <c r="E1482">
        <v>50</v>
      </c>
      <c r="F1482">
        <v>49.972831726000003</v>
      </c>
      <c r="G1482">
        <v>1318.9611815999999</v>
      </c>
      <c r="H1482">
        <v>1313.418457</v>
      </c>
      <c r="I1482">
        <v>1357.0676269999999</v>
      </c>
      <c r="J1482">
        <v>1348.9279785000001</v>
      </c>
      <c r="K1482">
        <v>0</v>
      </c>
      <c r="L1482">
        <v>2400</v>
      </c>
      <c r="M1482">
        <v>2400</v>
      </c>
      <c r="N1482">
        <v>0</v>
      </c>
    </row>
    <row r="1483" spans="1:14" x14ac:dyDescent="0.25">
      <c r="A1483">
        <v>981.389678</v>
      </c>
      <c r="B1483" s="1">
        <f>DATE(2013,1,6) + TIME(9,21,8)</f>
        <v>41280.389675925922</v>
      </c>
      <c r="C1483">
        <v>80</v>
      </c>
      <c r="D1483">
        <v>74.781280518000003</v>
      </c>
      <c r="E1483">
        <v>50</v>
      </c>
      <c r="F1483">
        <v>49.972850800000003</v>
      </c>
      <c r="G1483">
        <v>1318.8698730000001</v>
      </c>
      <c r="H1483">
        <v>1313.2922363</v>
      </c>
      <c r="I1483">
        <v>1357.0531006000001</v>
      </c>
      <c r="J1483">
        <v>1348.9183350000001</v>
      </c>
      <c r="K1483">
        <v>0</v>
      </c>
      <c r="L1483">
        <v>2400</v>
      </c>
      <c r="M1483">
        <v>2400</v>
      </c>
      <c r="N1483">
        <v>0</v>
      </c>
    </row>
    <row r="1484" spans="1:14" x14ac:dyDescent="0.25">
      <c r="A1484">
        <v>983.26830900000004</v>
      </c>
      <c r="B1484" s="1">
        <f>DATE(2013,1,8) + TIME(6,26,21)</f>
        <v>41282.26829861111</v>
      </c>
      <c r="C1484">
        <v>80</v>
      </c>
      <c r="D1484">
        <v>74.681427002000007</v>
      </c>
      <c r="E1484">
        <v>50</v>
      </c>
      <c r="F1484">
        <v>49.972873688</v>
      </c>
      <c r="G1484">
        <v>1318.7761230000001</v>
      </c>
      <c r="H1484">
        <v>1313.1623535000001</v>
      </c>
      <c r="I1484">
        <v>1357.0385742000001</v>
      </c>
      <c r="J1484">
        <v>1348.9086914</v>
      </c>
      <c r="K1484">
        <v>0</v>
      </c>
      <c r="L1484">
        <v>2400</v>
      </c>
      <c r="M1484">
        <v>2400</v>
      </c>
      <c r="N1484">
        <v>0</v>
      </c>
    </row>
    <row r="1485" spans="1:14" x14ac:dyDescent="0.25">
      <c r="A1485">
        <v>985.19043499999998</v>
      </c>
      <c r="B1485" s="1">
        <f>DATE(2013,1,10) + TIME(4,34,13)</f>
        <v>41284.190428240741</v>
      </c>
      <c r="C1485">
        <v>80</v>
      </c>
      <c r="D1485">
        <v>74.580299377000003</v>
      </c>
      <c r="E1485">
        <v>50</v>
      </c>
      <c r="F1485">
        <v>49.972900391000003</v>
      </c>
      <c r="G1485">
        <v>1318.6798096</v>
      </c>
      <c r="H1485">
        <v>1313.0288086</v>
      </c>
      <c r="I1485">
        <v>1357.0241699000001</v>
      </c>
      <c r="J1485">
        <v>1348.8990478999999</v>
      </c>
      <c r="K1485">
        <v>0</v>
      </c>
      <c r="L1485">
        <v>2400</v>
      </c>
      <c r="M1485">
        <v>2400</v>
      </c>
      <c r="N1485">
        <v>0</v>
      </c>
    </row>
    <row r="1486" spans="1:14" x14ac:dyDescent="0.25">
      <c r="A1486">
        <v>987.16035499999998</v>
      </c>
      <c r="B1486" s="1">
        <f>DATE(2013,1,12) + TIME(3,50,54)</f>
        <v>41286.16034722222</v>
      </c>
      <c r="C1486">
        <v>80</v>
      </c>
      <c r="D1486">
        <v>74.477699279999996</v>
      </c>
      <c r="E1486">
        <v>50</v>
      </c>
      <c r="F1486">
        <v>49.972923279</v>
      </c>
      <c r="G1486">
        <v>1318.5808105000001</v>
      </c>
      <c r="H1486">
        <v>1312.8914795000001</v>
      </c>
      <c r="I1486">
        <v>1357.0096435999999</v>
      </c>
      <c r="J1486">
        <v>1348.8894043</v>
      </c>
      <c r="K1486">
        <v>0</v>
      </c>
      <c r="L1486">
        <v>2400</v>
      </c>
      <c r="M1486">
        <v>2400</v>
      </c>
      <c r="N1486">
        <v>0</v>
      </c>
    </row>
    <row r="1487" spans="1:14" x14ac:dyDescent="0.25">
      <c r="A1487">
        <v>989.182638</v>
      </c>
      <c r="B1487" s="1">
        <f>DATE(2013,1,14) + TIME(4,22,59)</f>
        <v>41288.182627314818</v>
      </c>
      <c r="C1487">
        <v>80</v>
      </c>
      <c r="D1487">
        <v>74.373352050999998</v>
      </c>
      <c r="E1487">
        <v>50</v>
      </c>
      <c r="F1487">
        <v>49.972949982000003</v>
      </c>
      <c r="G1487">
        <v>1318.4790039</v>
      </c>
      <c r="H1487">
        <v>1312.75</v>
      </c>
      <c r="I1487">
        <v>1356.9952393000001</v>
      </c>
      <c r="J1487">
        <v>1348.8797606999999</v>
      </c>
      <c r="K1487">
        <v>0</v>
      </c>
      <c r="L1487">
        <v>2400</v>
      </c>
      <c r="M1487">
        <v>2400</v>
      </c>
      <c r="N1487">
        <v>0</v>
      </c>
    </row>
    <row r="1488" spans="1:14" x14ac:dyDescent="0.25">
      <c r="A1488">
        <v>991.261077</v>
      </c>
      <c r="B1488" s="1">
        <f>DATE(2013,1,16) + TIME(6,15,57)</f>
        <v>41290.261076388888</v>
      </c>
      <c r="C1488">
        <v>80</v>
      </c>
      <c r="D1488">
        <v>74.266983031999999</v>
      </c>
      <c r="E1488">
        <v>50</v>
      </c>
      <c r="F1488">
        <v>49.972976684999999</v>
      </c>
      <c r="G1488">
        <v>1318.3740233999999</v>
      </c>
      <c r="H1488">
        <v>1312.604126</v>
      </c>
      <c r="I1488">
        <v>1356.9808350000001</v>
      </c>
      <c r="J1488">
        <v>1348.8701172000001</v>
      </c>
      <c r="K1488">
        <v>0</v>
      </c>
      <c r="L1488">
        <v>2400</v>
      </c>
      <c r="M1488">
        <v>2400</v>
      </c>
      <c r="N1488">
        <v>0</v>
      </c>
    </row>
    <row r="1489" spans="1:14" x14ac:dyDescent="0.25">
      <c r="A1489">
        <v>993.37959899999998</v>
      </c>
      <c r="B1489" s="1">
        <f>DATE(2013,1,18) + TIME(9,6,37)</f>
        <v>41292.379594907405</v>
      </c>
      <c r="C1489">
        <v>80</v>
      </c>
      <c r="D1489">
        <v>74.158569335999999</v>
      </c>
      <c r="E1489">
        <v>50</v>
      </c>
      <c r="F1489">
        <v>49.973003386999999</v>
      </c>
      <c r="G1489">
        <v>1318.2658690999999</v>
      </c>
      <c r="H1489">
        <v>1312.4537353999999</v>
      </c>
      <c r="I1489">
        <v>1356.9661865</v>
      </c>
      <c r="J1489">
        <v>1348.8603516000001</v>
      </c>
      <c r="K1489">
        <v>0</v>
      </c>
      <c r="L1489">
        <v>2400</v>
      </c>
      <c r="M1489">
        <v>2400</v>
      </c>
      <c r="N1489">
        <v>0</v>
      </c>
    </row>
    <row r="1490" spans="1:14" x14ac:dyDescent="0.25">
      <c r="A1490">
        <v>995.53860899999995</v>
      </c>
      <c r="B1490" s="1">
        <f>DATE(2013,1,20) + TIME(12,55,35)</f>
        <v>41294.538599537038</v>
      </c>
      <c r="C1490">
        <v>80</v>
      </c>
      <c r="D1490">
        <v>74.048400878999999</v>
      </c>
      <c r="E1490">
        <v>50</v>
      </c>
      <c r="F1490">
        <v>49.973030090000002</v>
      </c>
      <c r="G1490">
        <v>1318.1550293</v>
      </c>
      <c r="H1490">
        <v>1312.2994385</v>
      </c>
      <c r="I1490">
        <v>1356.9517822</v>
      </c>
      <c r="J1490">
        <v>1348.8505858999999</v>
      </c>
      <c r="K1490">
        <v>0</v>
      </c>
      <c r="L1490">
        <v>2400</v>
      </c>
      <c r="M1490">
        <v>2400</v>
      </c>
      <c r="N1490">
        <v>0</v>
      </c>
    </row>
    <row r="1491" spans="1:14" x14ac:dyDescent="0.25">
      <c r="A1491">
        <v>997.74286099999995</v>
      </c>
      <c r="B1491" s="1">
        <f>DATE(2013,1,22) + TIME(17,49,43)</f>
        <v>41296.742858796293</v>
      </c>
      <c r="C1491">
        <v>80</v>
      </c>
      <c r="D1491">
        <v>73.936393738000007</v>
      </c>
      <c r="E1491">
        <v>50</v>
      </c>
      <c r="F1491">
        <v>49.973060607999997</v>
      </c>
      <c r="G1491">
        <v>1318.0417480000001</v>
      </c>
      <c r="H1491">
        <v>1312.1414795000001</v>
      </c>
      <c r="I1491">
        <v>1356.9373779</v>
      </c>
      <c r="J1491">
        <v>1348.8409423999999</v>
      </c>
      <c r="K1491">
        <v>0</v>
      </c>
      <c r="L1491">
        <v>2400</v>
      </c>
      <c r="M1491">
        <v>2400</v>
      </c>
      <c r="N1491">
        <v>0</v>
      </c>
    </row>
    <row r="1492" spans="1:14" x14ac:dyDescent="0.25">
      <c r="A1492">
        <v>999.99737200000004</v>
      </c>
      <c r="B1492" s="1">
        <f>DATE(2013,1,24) + TIME(23,56,12)</f>
        <v>41298.997361111113</v>
      </c>
      <c r="C1492">
        <v>80</v>
      </c>
      <c r="D1492">
        <v>73.822219849000007</v>
      </c>
      <c r="E1492">
        <v>50</v>
      </c>
      <c r="F1492">
        <v>49.973087311</v>
      </c>
      <c r="G1492">
        <v>1317.9257812000001</v>
      </c>
      <c r="H1492">
        <v>1311.9797363</v>
      </c>
      <c r="I1492">
        <v>1356.9228516000001</v>
      </c>
      <c r="J1492">
        <v>1348.8311768000001</v>
      </c>
      <c r="K1492">
        <v>0</v>
      </c>
      <c r="L1492">
        <v>2400</v>
      </c>
      <c r="M1492">
        <v>2400</v>
      </c>
      <c r="N1492">
        <v>0</v>
      </c>
    </row>
    <row r="1493" spans="1:14" x14ac:dyDescent="0.25">
      <c r="A1493">
        <v>1002.307336</v>
      </c>
      <c r="B1493" s="1">
        <f>DATE(2013,1,27) + TIME(7,22,33)</f>
        <v>41301.307326388887</v>
      </c>
      <c r="C1493">
        <v>80</v>
      </c>
      <c r="D1493">
        <v>73.705474854000002</v>
      </c>
      <c r="E1493">
        <v>50</v>
      </c>
      <c r="F1493">
        <v>49.973117827999999</v>
      </c>
      <c r="G1493">
        <v>1317.8068848</v>
      </c>
      <c r="H1493">
        <v>1311.8138428</v>
      </c>
      <c r="I1493">
        <v>1356.9084473</v>
      </c>
      <c r="J1493">
        <v>1348.8214111</v>
      </c>
      <c r="K1493">
        <v>0</v>
      </c>
      <c r="L1493">
        <v>2400</v>
      </c>
      <c r="M1493">
        <v>2400</v>
      </c>
      <c r="N1493">
        <v>0</v>
      </c>
    </row>
    <row r="1494" spans="1:14" x14ac:dyDescent="0.25">
      <c r="A1494">
        <v>1004.677904</v>
      </c>
      <c r="B1494" s="1">
        <f>DATE(2013,1,29) + TIME(16,16,10)</f>
        <v>41303.677893518521</v>
      </c>
      <c r="C1494">
        <v>80</v>
      </c>
      <c r="D1494">
        <v>73.585716247999997</v>
      </c>
      <c r="E1494">
        <v>50</v>
      </c>
      <c r="F1494">
        <v>49.973152161000002</v>
      </c>
      <c r="G1494">
        <v>1317.6849365</v>
      </c>
      <c r="H1494">
        <v>1311.6435547000001</v>
      </c>
      <c r="I1494">
        <v>1356.8939209</v>
      </c>
      <c r="J1494">
        <v>1348.8115233999999</v>
      </c>
      <c r="K1494">
        <v>0</v>
      </c>
      <c r="L1494">
        <v>2400</v>
      </c>
      <c r="M1494">
        <v>2400</v>
      </c>
      <c r="N1494">
        <v>0</v>
      </c>
    </row>
    <row r="1495" spans="1:14" x14ac:dyDescent="0.25">
      <c r="A1495">
        <v>1007</v>
      </c>
      <c r="B1495" s="1">
        <f>DATE(2013,2,1) + TIME(0,0,0)</f>
        <v>41306</v>
      </c>
      <c r="C1495">
        <v>80</v>
      </c>
      <c r="D1495">
        <v>73.463859557999996</v>
      </c>
      <c r="E1495">
        <v>50</v>
      </c>
      <c r="F1495">
        <v>49.973182678000001</v>
      </c>
      <c r="G1495">
        <v>1317.5599365</v>
      </c>
      <c r="H1495">
        <v>1311.4689940999999</v>
      </c>
      <c r="I1495">
        <v>1356.8793945</v>
      </c>
      <c r="J1495">
        <v>1348.8016356999999</v>
      </c>
      <c r="K1495">
        <v>0</v>
      </c>
      <c r="L1495">
        <v>2400</v>
      </c>
      <c r="M1495">
        <v>2400</v>
      </c>
      <c r="N1495">
        <v>0</v>
      </c>
    </row>
    <row r="1496" spans="1:14" x14ac:dyDescent="0.25">
      <c r="A1496">
        <v>1009.43569</v>
      </c>
      <c r="B1496" s="1">
        <f>DATE(2013,2,3) + TIME(10,27,23)</f>
        <v>41308.435682870368</v>
      </c>
      <c r="C1496">
        <v>80</v>
      </c>
      <c r="D1496">
        <v>73.340927124000004</v>
      </c>
      <c r="E1496">
        <v>50</v>
      </c>
      <c r="F1496">
        <v>49.973213196000003</v>
      </c>
      <c r="G1496">
        <v>1317.4360352000001</v>
      </c>
      <c r="H1496">
        <v>1311.2950439000001</v>
      </c>
      <c r="I1496">
        <v>1356.8653564000001</v>
      </c>
      <c r="J1496">
        <v>1348.7921143000001</v>
      </c>
      <c r="K1496">
        <v>0</v>
      </c>
      <c r="L1496">
        <v>2400</v>
      </c>
      <c r="M1496">
        <v>2400</v>
      </c>
      <c r="N1496">
        <v>0</v>
      </c>
    </row>
    <row r="1497" spans="1:14" x14ac:dyDescent="0.25">
      <c r="A1497">
        <v>1011.956894</v>
      </c>
      <c r="B1497" s="1">
        <f>DATE(2013,2,5) + TIME(22,57,55)</f>
        <v>41310.956886574073</v>
      </c>
      <c r="C1497">
        <v>80</v>
      </c>
      <c r="D1497">
        <v>73.212905883999994</v>
      </c>
      <c r="E1497">
        <v>50</v>
      </c>
      <c r="F1497">
        <v>49.973247528000002</v>
      </c>
      <c r="G1497">
        <v>1317.307251</v>
      </c>
      <c r="H1497">
        <v>1311.1147461</v>
      </c>
      <c r="I1497">
        <v>1356.8509521000001</v>
      </c>
      <c r="J1497">
        <v>1348.7822266000001</v>
      </c>
      <c r="K1497">
        <v>0</v>
      </c>
      <c r="L1497">
        <v>2400</v>
      </c>
      <c r="M1497">
        <v>2400</v>
      </c>
      <c r="N1497">
        <v>0</v>
      </c>
    </row>
    <row r="1498" spans="1:14" x14ac:dyDescent="0.25">
      <c r="A1498">
        <v>1014.525124</v>
      </c>
      <c r="B1498" s="1">
        <f>DATE(2013,2,8) + TIME(12,36,10)</f>
        <v>41313.52511574074</v>
      </c>
      <c r="C1498">
        <v>80</v>
      </c>
      <c r="D1498">
        <v>73.079772949000002</v>
      </c>
      <c r="E1498">
        <v>50</v>
      </c>
      <c r="F1498">
        <v>49.97328186</v>
      </c>
      <c r="G1498">
        <v>1317.1740723</v>
      </c>
      <c r="H1498">
        <v>1310.9282227000001</v>
      </c>
      <c r="I1498">
        <v>1356.8363036999999</v>
      </c>
      <c r="J1498">
        <v>1348.7722168</v>
      </c>
      <c r="K1498">
        <v>0</v>
      </c>
      <c r="L1498">
        <v>2400</v>
      </c>
      <c r="M1498">
        <v>2400</v>
      </c>
      <c r="N1498">
        <v>0</v>
      </c>
    </row>
    <row r="1499" spans="1:14" x14ac:dyDescent="0.25">
      <c r="A1499">
        <v>1017.147138</v>
      </c>
      <c r="B1499" s="1">
        <f>DATE(2013,2,11) + TIME(3,31,52)</f>
        <v>41316.147129629629</v>
      </c>
      <c r="C1499">
        <v>80</v>
      </c>
      <c r="D1499">
        <v>72.942298889</v>
      </c>
      <c r="E1499">
        <v>50</v>
      </c>
      <c r="F1499">
        <v>49.973320006999998</v>
      </c>
      <c r="G1499">
        <v>1317.0380858999999</v>
      </c>
      <c r="H1499">
        <v>1310.7374268000001</v>
      </c>
      <c r="I1499">
        <v>1356.8216553</v>
      </c>
      <c r="J1499">
        <v>1348.7620850000001</v>
      </c>
      <c r="K1499">
        <v>0</v>
      </c>
      <c r="L1499">
        <v>2400</v>
      </c>
      <c r="M1499">
        <v>2400</v>
      </c>
      <c r="N1499">
        <v>0</v>
      </c>
    </row>
    <row r="1500" spans="1:14" x14ac:dyDescent="0.25">
      <c r="A1500">
        <v>1019.829208</v>
      </c>
      <c r="B1500" s="1">
        <f>DATE(2013,2,13) + TIME(19,54,3)</f>
        <v>41318.829201388886</v>
      </c>
      <c r="C1500">
        <v>80</v>
      </c>
      <c r="D1500">
        <v>72.800132751000007</v>
      </c>
      <c r="E1500">
        <v>50</v>
      </c>
      <c r="F1500">
        <v>49.97335434</v>
      </c>
      <c r="G1500">
        <v>1316.8994141000001</v>
      </c>
      <c r="H1500">
        <v>1310.5424805</v>
      </c>
      <c r="I1500">
        <v>1356.8070068</v>
      </c>
      <c r="J1500">
        <v>1348.7519531</v>
      </c>
      <c r="K1500">
        <v>0</v>
      </c>
      <c r="L1500">
        <v>2400</v>
      </c>
      <c r="M1500">
        <v>2400</v>
      </c>
      <c r="N1500">
        <v>0</v>
      </c>
    </row>
    <row r="1501" spans="1:14" x14ac:dyDescent="0.25">
      <c r="A1501">
        <v>1022.577841</v>
      </c>
      <c r="B1501" s="1">
        <f>DATE(2013,2,16) + TIME(13,52,5)</f>
        <v>41321.577835648146</v>
      </c>
      <c r="C1501">
        <v>80</v>
      </c>
      <c r="D1501">
        <v>72.652618407999995</v>
      </c>
      <c r="E1501">
        <v>50</v>
      </c>
      <c r="F1501">
        <v>49.973392486999998</v>
      </c>
      <c r="G1501">
        <v>1316.7575684000001</v>
      </c>
      <c r="H1501">
        <v>1310.3432617000001</v>
      </c>
      <c r="I1501">
        <v>1356.7921143000001</v>
      </c>
      <c r="J1501">
        <v>1348.7416992000001</v>
      </c>
      <c r="K1501">
        <v>0</v>
      </c>
      <c r="L1501">
        <v>2400</v>
      </c>
      <c r="M1501">
        <v>2400</v>
      </c>
      <c r="N1501">
        <v>0</v>
      </c>
    </row>
    <row r="1502" spans="1:14" x14ac:dyDescent="0.25">
      <c r="A1502">
        <v>1025.4003749999999</v>
      </c>
      <c r="B1502" s="1">
        <f>DATE(2013,2,19) + TIME(9,36,32)</f>
        <v>41324.400370370371</v>
      </c>
      <c r="C1502">
        <v>80</v>
      </c>
      <c r="D1502">
        <v>72.498992920000006</v>
      </c>
      <c r="E1502">
        <v>50</v>
      </c>
      <c r="F1502">
        <v>49.973430634000003</v>
      </c>
      <c r="G1502">
        <v>1316.6125488</v>
      </c>
      <c r="H1502">
        <v>1310.1391602000001</v>
      </c>
      <c r="I1502">
        <v>1356.7772216999999</v>
      </c>
      <c r="J1502">
        <v>1348.7313231999999</v>
      </c>
      <c r="K1502">
        <v>0</v>
      </c>
      <c r="L1502">
        <v>2400</v>
      </c>
      <c r="M1502">
        <v>2400</v>
      </c>
      <c r="N1502">
        <v>0</v>
      </c>
    </row>
    <row r="1503" spans="1:14" x14ac:dyDescent="0.25">
      <c r="A1503">
        <v>1028.303367</v>
      </c>
      <c r="B1503" s="1">
        <f>DATE(2013,2,22) + TIME(7,16,50)</f>
        <v>41327.303356481483</v>
      </c>
      <c r="C1503">
        <v>80</v>
      </c>
      <c r="D1503">
        <v>72.338371276999993</v>
      </c>
      <c r="E1503">
        <v>50</v>
      </c>
      <c r="F1503">
        <v>49.973472594999997</v>
      </c>
      <c r="G1503">
        <v>1316.4639893000001</v>
      </c>
      <c r="H1503">
        <v>1309.9299315999999</v>
      </c>
      <c r="I1503">
        <v>1356.7620850000001</v>
      </c>
      <c r="J1503">
        <v>1348.7208252</v>
      </c>
      <c r="K1503">
        <v>0</v>
      </c>
      <c r="L1503">
        <v>2400</v>
      </c>
      <c r="M1503">
        <v>2400</v>
      </c>
      <c r="N1503">
        <v>0</v>
      </c>
    </row>
    <row r="1504" spans="1:14" x14ac:dyDescent="0.25">
      <c r="A1504">
        <v>1031.2841100000001</v>
      </c>
      <c r="B1504" s="1">
        <f>DATE(2013,2,25) + TIME(6,49,7)</f>
        <v>41330.284108796295</v>
      </c>
      <c r="C1504">
        <v>80</v>
      </c>
      <c r="D1504">
        <v>72.169960021999998</v>
      </c>
      <c r="E1504">
        <v>50</v>
      </c>
      <c r="F1504">
        <v>49.973514557000001</v>
      </c>
      <c r="G1504">
        <v>1316.3117675999999</v>
      </c>
      <c r="H1504">
        <v>1309.715332</v>
      </c>
      <c r="I1504">
        <v>1356.7468262</v>
      </c>
      <c r="J1504">
        <v>1348.7100829999999</v>
      </c>
      <c r="K1504">
        <v>0</v>
      </c>
      <c r="L1504">
        <v>2400</v>
      </c>
      <c r="M1504">
        <v>2400</v>
      </c>
      <c r="N1504">
        <v>0</v>
      </c>
    </row>
    <row r="1505" spans="1:14" x14ac:dyDescent="0.25">
      <c r="A1505">
        <v>1034.3198709999999</v>
      </c>
      <c r="B1505" s="1">
        <f>DATE(2013,2,28) + TIME(7,40,36)</f>
        <v>41333.319861111115</v>
      </c>
      <c r="C1505">
        <v>80</v>
      </c>
      <c r="D1505">
        <v>71.993453978999995</v>
      </c>
      <c r="E1505">
        <v>50</v>
      </c>
      <c r="F1505">
        <v>49.973556518999999</v>
      </c>
      <c r="G1505">
        <v>1316.1558838000001</v>
      </c>
      <c r="H1505">
        <v>1309.4953613</v>
      </c>
      <c r="I1505">
        <v>1356.7313231999999</v>
      </c>
      <c r="J1505">
        <v>1348.6990966999999</v>
      </c>
      <c r="K1505">
        <v>0</v>
      </c>
      <c r="L1505">
        <v>2400</v>
      </c>
      <c r="M1505">
        <v>2400</v>
      </c>
      <c r="N1505">
        <v>0</v>
      </c>
    </row>
    <row r="1506" spans="1:14" x14ac:dyDescent="0.25">
      <c r="A1506">
        <v>1035</v>
      </c>
      <c r="B1506" s="1">
        <f>DATE(2013,3,1) + TIME(0,0,0)</f>
        <v>41334</v>
      </c>
      <c r="C1506">
        <v>80</v>
      </c>
      <c r="D1506">
        <v>71.881271362000007</v>
      </c>
      <c r="E1506">
        <v>50</v>
      </c>
      <c r="F1506">
        <v>49.973556518999999</v>
      </c>
      <c r="G1506">
        <v>1316.0095214999999</v>
      </c>
      <c r="H1506">
        <v>1309.2984618999999</v>
      </c>
      <c r="I1506">
        <v>1356.715332</v>
      </c>
      <c r="J1506">
        <v>1348.6876221</v>
      </c>
      <c r="K1506">
        <v>0</v>
      </c>
      <c r="L1506">
        <v>2400</v>
      </c>
      <c r="M1506">
        <v>2400</v>
      </c>
      <c r="N1506">
        <v>0</v>
      </c>
    </row>
    <row r="1507" spans="1:14" x14ac:dyDescent="0.25">
      <c r="A1507">
        <v>1038.0992659999999</v>
      </c>
      <c r="B1507" s="1">
        <f>DATE(2013,3,4) + TIME(2,22,56)</f>
        <v>41337.099259259259</v>
      </c>
      <c r="C1507">
        <v>80</v>
      </c>
      <c r="D1507">
        <v>71.753913878999995</v>
      </c>
      <c r="E1507">
        <v>50</v>
      </c>
      <c r="F1507">
        <v>49.973606109999999</v>
      </c>
      <c r="G1507">
        <v>1315.9488524999999</v>
      </c>
      <c r="H1507">
        <v>1309.1975098</v>
      </c>
      <c r="I1507">
        <v>1356.7124022999999</v>
      </c>
      <c r="J1507">
        <v>1348.6856689000001</v>
      </c>
      <c r="K1507">
        <v>0</v>
      </c>
      <c r="L1507">
        <v>2400</v>
      </c>
      <c r="M1507">
        <v>2400</v>
      </c>
      <c r="N1507">
        <v>0</v>
      </c>
    </row>
    <row r="1508" spans="1:14" x14ac:dyDescent="0.25">
      <c r="A1508">
        <v>1041.284506</v>
      </c>
      <c r="B1508" s="1">
        <f>DATE(2013,3,7) + TIME(6,49,41)</f>
        <v>41340.284502314818</v>
      </c>
      <c r="C1508">
        <v>80</v>
      </c>
      <c r="D1508">
        <v>71.570358275999993</v>
      </c>
      <c r="E1508">
        <v>50</v>
      </c>
      <c r="F1508">
        <v>49.973651885999999</v>
      </c>
      <c r="G1508">
        <v>1315.7987060999999</v>
      </c>
      <c r="H1508">
        <v>1308.9890137</v>
      </c>
      <c r="I1508">
        <v>1356.6967772999999</v>
      </c>
      <c r="J1508">
        <v>1348.6745605000001</v>
      </c>
      <c r="K1508">
        <v>0</v>
      </c>
      <c r="L1508">
        <v>2400</v>
      </c>
      <c r="M1508">
        <v>2400</v>
      </c>
      <c r="N1508">
        <v>0</v>
      </c>
    </row>
    <row r="1509" spans="1:14" x14ac:dyDescent="0.25">
      <c r="A1509">
        <v>1044.5552580000001</v>
      </c>
      <c r="B1509" s="1">
        <f>DATE(2013,3,10) + TIME(13,19,34)</f>
        <v>41343.555254629631</v>
      </c>
      <c r="C1509">
        <v>80</v>
      </c>
      <c r="D1509">
        <v>71.367218018000003</v>
      </c>
      <c r="E1509">
        <v>50</v>
      </c>
      <c r="F1509">
        <v>49.973693848000003</v>
      </c>
      <c r="G1509">
        <v>1315.6365966999999</v>
      </c>
      <c r="H1509">
        <v>1308.7601318</v>
      </c>
      <c r="I1509">
        <v>1356.6809082</v>
      </c>
      <c r="J1509">
        <v>1348.6630858999999</v>
      </c>
      <c r="K1509">
        <v>0</v>
      </c>
      <c r="L1509">
        <v>2400</v>
      </c>
      <c r="M1509">
        <v>2400</v>
      </c>
      <c r="N1509">
        <v>0</v>
      </c>
    </row>
    <row r="1510" spans="1:14" x14ac:dyDescent="0.25">
      <c r="A1510">
        <v>1047.9188509999999</v>
      </c>
      <c r="B1510" s="1">
        <f>DATE(2013,3,13) + TIME(22,3,8)</f>
        <v>41346.918842592589</v>
      </c>
      <c r="C1510">
        <v>80</v>
      </c>
      <c r="D1510">
        <v>71.151077271000005</v>
      </c>
      <c r="E1510">
        <v>50</v>
      </c>
      <c r="F1510">
        <v>49.973743439000003</v>
      </c>
      <c r="G1510">
        <v>1315.4693603999999</v>
      </c>
      <c r="H1510">
        <v>1308.5230713000001</v>
      </c>
      <c r="I1510">
        <v>1356.6647949000001</v>
      </c>
      <c r="J1510">
        <v>1348.6514893000001</v>
      </c>
      <c r="K1510">
        <v>0</v>
      </c>
      <c r="L1510">
        <v>2400</v>
      </c>
      <c r="M1510">
        <v>2400</v>
      </c>
      <c r="N1510">
        <v>0</v>
      </c>
    </row>
    <row r="1511" spans="1:14" x14ac:dyDescent="0.25">
      <c r="A1511">
        <v>1051.3854550000001</v>
      </c>
      <c r="B1511" s="1">
        <f>DATE(2013,3,17) + TIME(9,15,3)</f>
        <v>41350.385451388887</v>
      </c>
      <c r="C1511">
        <v>80</v>
      </c>
      <c r="D1511">
        <v>70.921867371000005</v>
      </c>
      <c r="E1511">
        <v>50</v>
      </c>
      <c r="F1511">
        <v>49.973789214999996</v>
      </c>
      <c r="G1511">
        <v>1315.2982178</v>
      </c>
      <c r="H1511">
        <v>1308.2800293</v>
      </c>
      <c r="I1511">
        <v>1356.6483154</v>
      </c>
      <c r="J1511">
        <v>1348.6396483999999</v>
      </c>
      <c r="K1511">
        <v>0</v>
      </c>
      <c r="L1511">
        <v>2400</v>
      </c>
      <c r="M1511">
        <v>2400</v>
      </c>
      <c r="N1511">
        <v>0</v>
      </c>
    </row>
    <row r="1512" spans="1:14" x14ac:dyDescent="0.25">
      <c r="A1512">
        <v>1054.966066</v>
      </c>
      <c r="B1512" s="1">
        <f>DATE(2013,3,20) + TIME(23,11,8)</f>
        <v>41353.966064814813</v>
      </c>
      <c r="C1512">
        <v>80</v>
      </c>
      <c r="D1512">
        <v>70.678375243999994</v>
      </c>
      <c r="E1512">
        <v>50</v>
      </c>
      <c r="F1512">
        <v>49.973838806000003</v>
      </c>
      <c r="G1512">
        <v>1315.1231689000001</v>
      </c>
      <c r="H1512">
        <v>1308.0308838000001</v>
      </c>
      <c r="I1512">
        <v>1356.6315918</v>
      </c>
      <c r="J1512">
        <v>1348.6274414</v>
      </c>
      <c r="K1512">
        <v>0</v>
      </c>
      <c r="L1512">
        <v>2400</v>
      </c>
      <c r="M1512">
        <v>2400</v>
      </c>
      <c r="N1512">
        <v>0</v>
      </c>
    </row>
    <row r="1513" spans="1:14" x14ac:dyDescent="0.25">
      <c r="A1513">
        <v>1058.6324540000001</v>
      </c>
      <c r="B1513" s="1">
        <f>DATE(2013,3,24) + TIME(15,10,44)</f>
        <v>41357.632453703707</v>
      </c>
      <c r="C1513">
        <v>80</v>
      </c>
      <c r="D1513">
        <v>70.419441223000007</v>
      </c>
      <c r="E1513">
        <v>50</v>
      </c>
      <c r="F1513">
        <v>49.973888397000003</v>
      </c>
      <c r="G1513">
        <v>1314.9438477000001</v>
      </c>
      <c r="H1513">
        <v>1307.7755127</v>
      </c>
      <c r="I1513">
        <v>1356.6145019999999</v>
      </c>
      <c r="J1513">
        <v>1348.6149902</v>
      </c>
      <c r="K1513">
        <v>0</v>
      </c>
      <c r="L1513">
        <v>2400</v>
      </c>
      <c r="M1513">
        <v>2400</v>
      </c>
      <c r="N1513">
        <v>0</v>
      </c>
    </row>
    <row r="1514" spans="1:14" x14ac:dyDescent="0.25">
      <c r="A1514">
        <v>1062.3823629999999</v>
      </c>
      <c r="B1514" s="1">
        <f>DATE(2013,3,28) + TIME(9,10,36)</f>
        <v>41361.382361111115</v>
      </c>
      <c r="C1514">
        <v>80</v>
      </c>
      <c r="D1514">
        <v>70.145561217999997</v>
      </c>
      <c r="E1514">
        <v>50</v>
      </c>
      <c r="F1514">
        <v>49.973937988000003</v>
      </c>
      <c r="G1514">
        <v>1314.7615966999999</v>
      </c>
      <c r="H1514">
        <v>1307.5155029</v>
      </c>
      <c r="I1514">
        <v>1356.5970459</v>
      </c>
      <c r="J1514">
        <v>1348.6021728999999</v>
      </c>
      <c r="K1514">
        <v>0</v>
      </c>
      <c r="L1514">
        <v>2400</v>
      </c>
      <c r="M1514">
        <v>2400</v>
      </c>
      <c r="N1514">
        <v>0</v>
      </c>
    </row>
    <row r="1515" spans="1:14" x14ac:dyDescent="0.25">
      <c r="A1515">
        <v>1066</v>
      </c>
      <c r="B1515" s="1">
        <f>DATE(2013,4,1) + TIME(0,0,0)</f>
        <v>41365</v>
      </c>
      <c r="C1515">
        <v>80</v>
      </c>
      <c r="D1515">
        <v>69.858253478999998</v>
      </c>
      <c r="E1515">
        <v>50</v>
      </c>
      <c r="F1515">
        <v>49.973987579000003</v>
      </c>
      <c r="G1515">
        <v>1314.5772704999999</v>
      </c>
      <c r="H1515">
        <v>1307.2523193</v>
      </c>
      <c r="I1515">
        <v>1356.5794678</v>
      </c>
      <c r="J1515">
        <v>1348.5889893000001</v>
      </c>
      <c r="K1515">
        <v>0</v>
      </c>
      <c r="L1515">
        <v>2400</v>
      </c>
      <c r="M1515">
        <v>2400</v>
      </c>
      <c r="N1515">
        <v>0</v>
      </c>
    </row>
    <row r="1516" spans="1:14" x14ac:dyDescent="0.25">
      <c r="A1516">
        <v>1069.846145</v>
      </c>
      <c r="B1516" s="1">
        <f>DATE(2013,4,4) + TIME(20,18,26)</f>
        <v>41368.846134259256</v>
      </c>
      <c r="C1516">
        <v>80</v>
      </c>
      <c r="D1516">
        <v>69.565513611</v>
      </c>
      <c r="E1516">
        <v>50</v>
      </c>
      <c r="F1516">
        <v>49.974040985000002</v>
      </c>
      <c r="G1516">
        <v>1314.3990478999999</v>
      </c>
      <c r="H1516">
        <v>1306.9959716999999</v>
      </c>
      <c r="I1516">
        <v>1356.5625</v>
      </c>
      <c r="J1516">
        <v>1348.5764160000001</v>
      </c>
      <c r="K1516">
        <v>0</v>
      </c>
      <c r="L1516">
        <v>2400</v>
      </c>
      <c r="M1516">
        <v>2400</v>
      </c>
      <c r="N1516">
        <v>0</v>
      </c>
    </row>
    <row r="1517" spans="1:14" x14ac:dyDescent="0.25">
      <c r="A1517">
        <v>1073.9184829999999</v>
      </c>
      <c r="B1517" s="1">
        <f>DATE(2013,4,8) + TIME(22,2,36)</f>
        <v>41372.91847222222</v>
      </c>
      <c r="C1517">
        <v>80</v>
      </c>
      <c r="D1517">
        <v>69.248085021999998</v>
      </c>
      <c r="E1517">
        <v>50</v>
      </c>
      <c r="F1517">
        <v>49.974098206000001</v>
      </c>
      <c r="G1517">
        <v>1314.2145995999999</v>
      </c>
      <c r="H1517">
        <v>1306.7315673999999</v>
      </c>
      <c r="I1517">
        <v>1356.5446777</v>
      </c>
      <c r="J1517">
        <v>1348.5629882999999</v>
      </c>
      <c r="K1517">
        <v>0</v>
      </c>
      <c r="L1517">
        <v>2400</v>
      </c>
      <c r="M1517">
        <v>2400</v>
      </c>
      <c r="N1517">
        <v>0</v>
      </c>
    </row>
    <row r="1518" spans="1:14" x14ac:dyDescent="0.25">
      <c r="A1518">
        <v>1078.1287010000001</v>
      </c>
      <c r="B1518" s="1">
        <f>DATE(2013,4,13) + TIME(3,5,19)</f>
        <v>41377.128692129627</v>
      </c>
      <c r="C1518">
        <v>80</v>
      </c>
      <c r="D1518">
        <v>68.902610779</v>
      </c>
      <c r="E1518">
        <v>50</v>
      </c>
      <c r="F1518">
        <v>49.974155426000003</v>
      </c>
      <c r="G1518">
        <v>1314.0223389</v>
      </c>
      <c r="H1518">
        <v>1306.4556885</v>
      </c>
      <c r="I1518">
        <v>1356.5258789</v>
      </c>
      <c r="J1518">
        <v>1348.5488281</v>
      </c>
      <c r="K1518">
        <v>0</v>
      </c>
      <c r="L1518">
        <v>2400</v>
      </c>
      <c r="M1518">
        <v>2400</v>
      </c>
      <c r="N1518">
        <v>0</v>
      </c>
    </row>
    <row r="1519" spans="1:14" x14ac:dyDescent="0.25">
      <c r="A1519">
        <v>1082.4522449999999</v>
      </c>
      <c r="B1519" s="1">
        <f>DATE(2013,4,17) + TIME(10,51,13)</f>
        <v>41381.452233796299</v>
      </c>
      <c r="C1519">
        <v>80</v>
      </c>
      <c r="D1519">
        <v>68.533325195000003</v>
      </c>
      <c r="E1519">
        <v>50</v>
      </c>
      <c r="F1519">
        <v>49.974212645999998</v>
      </c>
      <c r="G1519">
        <v>1313.8256836</v>
      </c>
      <c r="H1519">
        <v>1306.1726074000001</v>
      </c>
      <c r="I1519">
        <v>1356.5064697</v>
      </c>
      <c r="J1519">
        <v>1348.5340576000001</v>
      </c>
      <c r="K1519">
        <v>0</v>
      </c>
      <c r="L1519">
        <v>2400</v>
      </c>
      <c r="M1519">
        <v>2400</v>
      </c>
      <c r="N1519">
        <v>0</v>
      </c>
    </row>
    <row r="1520" spans="1:14" x14ac:dyDescent="0.25">
      <c r="A1520">
        <v>1086.891241</v>
      </c>
      <c r="B1520" s="1">
        <f>DATE(2013,4,21) + TIME(21,23,23)</f>
        <v>41385.891238425924</v>
      </c>
      <c r="C1520">
        <v>80</v>
      </c>
      <c r="D1520">
        <v>68.141212463000002</v>
      </c>
      <c r="E1520">
        <v>50</v>
      </c>
      <c r="F1520">
        <v>49.974269866999997</v>
      </c>
      <c r="G1520">
        <v>1313.6267089999999</v>
      </c>
      <c r="H1520">
        <v>1305.885376</v>
      </c>
      <c r="I1520">
        <v>1356.4866943</v>
      </c>
      <c r="J1520">
        <v>1348.5189209</v>
      </c>
      <c r="K1520">
        <v>0</v>
      </c>
      <c r="L1520">
        <v>2400</v>
      </c>
      <c r="M1520">
        <v>2400</v>
      </c>
      <c r="N1520">
        <v>0</v>
      </c>
    </row>
    <row r="1521" spans="1:14" x14ac:dyDescent="0.25">
      <c r="A1521">
        <v>1091.3936409999999</v>
      </c>
      <c r="B1521" s="1">
        <f>DATE(2013,4,26) + TIME(9,26,50)</f>
        <v>41390.393634259257</v>
      </c>
      <c r="C1521">
        <v>80</v>
      </c>
      <c r="D1521">
        <v>67.726844787999994</v>
      </c>
      <c r="E1521">
        <v>50</v>
      </c>
      <c r="F1521">
        <v>49.974330901999998</v>
      </c>
      <c r="G1521">
        <v>1313.4259033000001</v>
      </c>
      <c r="H1521">
        <v>1305.5949707</v>
      </c>
      <c r="I1521">
        <v>1356.4664307</v>
      </c>
      <c r="J1521">
        <v>1348.5032959</v>
      </c>
      <c r="K1521">
        <v>0</v>
      </c>
      <c r="L1521">
        <v>2400</v>
      </c>
      <c r="M1521">
        <v>2400</v>
      </c>
      <c r="N1521">
        <v>0</v>
      </c>
    </row>
    <row r="1522" spans="1:14" x14ac:dyDescent="0.25">
      <c r="A1522">
        <v>1096</v>
      </c>
      <c r="B1522" s="1">
        <f>DATE(2013,5,1) + TIME(0,0,0)</f>
        <v>41395</v>
      </c>
      <c r="C1522">
        <v>80</v>
      </c>
      <c r="D1522">
        <v>67.292694092000005</v>
      </c>
      <c r="E1522">
        <v>50</v>
      </c>
      <c r="F1522">
        <v>49.974391937</v>
      </c>
      <c r="G1522">
        <v>1313.2258300999999</v>
      </c>
      <c r="H1522">
        <v>1305.3045654</v>
      </c>
      <c r="I1522">
        <v>1356.4460449000001</v>
      </c>
      <c r="J1522">
        <v>1348.4873047000001</v>
      </c>
      <c r="K1522">
        <v>0</v>
      </c>
      <c r="L1522">
        <v>2400</v>
      </c>
      <c r="M1522">
        <v>2400</v>
      </c>
      <c r="N1522">
        <v>0</v>
      </c>
    </row>
    <row r="1523" spans="1:14" x14ac:dyDescent="0.25">
      <c r="A1523">
        <v>1096.0000010000001</v>
      </c>
      <c r="B1523" s="1">
        <f>DATE(2013,5,1) + TIME(0,0,0)</f>
        <v>41395</v>
      </c>
      <c r="C1523">
        <v>80</v>
      </c>
      <c r="D1523">
        <v>67.292861938000001</v>
      </c>
      <c r="E1523">
        <v>50</v>
      </c>
      <c r="F1523">
        <v>49.974288940000001</v>
      </c>
      <c r="G1523">
        <v>1322.4781493999999</v>
      </c>
      <c r="H1523">
        <v>1314.322876</v>
      </c>
      <c r="I1523">
        <v>1347.6624756000001</v>
      </c>
      <c r="J1523">
        <v>1340.2840576000001</v>
      </c>
      <c r="K1523">
        <v>2400</v>
      </c>
      <c r="L1523">
        <v>0</v>
      </c>
      <c r="M1523">
        <v>0</v>
      </c>
      <c r="N1523">
        <v>2400</v>
      </c>
    </row>
    <row r="1524" spans="1:14" x14ac:dyDescent="0.25">
      <c r="A1524">
        <v>1096.000004</v>
      </c>
      <c r="B1524" s="1">
        <f>DATE(2013,5,1) + TIME(0,0,0)</f>
        <v>41395</v>
      </c>
      <c r="C1524">
        <v>80</v>
      </c>
      <c r="D1524">
        <v>67.293243407999995</v>
      </c>
      <c r="E1524">
        <v>50</v>
      </c>
      <c r="F1524">
        <v>49.974048615000001</v>
      </c>
      <c r="G1524">
        <v>1324.5045166</v>
      </c>
      <c r="H1524">
        <v>1316.6766356999999</v>
      </c>
      <c r="I1524">
        <v>1345.7462158000001</v>
      </c>
      <c r="J1524">
        <v>1338.3675536999999</v>
      </c>
      <c r="K1524">
        <v>2400</v>
      </c>
      <c r="L1524">
        <v>0</v>
      </c>
      <c r="M1524">
        <v>0</v>
      </c>
      <c r="N1524">
        <v>2400</v>
      </c>
    </row>
    <row r="1525" spans="1:14" x14ac:dyDescent="0.25">
      <c r="A1525">
        <v>1096.0000130000001</v>
      </c>
      <c r="B1525" s="1">
        <f>DATE(2013,5,1) + TIME(0,0,1)</f>
        <v>41395.000011574077</v>
      </c>
      <c r="C1525">
        <v>80</v>
      </c>
      <c r="D1525">
        <v>67.293922424000002</v>
      </c>
      <c r="E1525">
        <v>50</v>
      </c>
      <c r="F1525">
        <v>49.973621368000003</v>
      </c>
      <c r="G1525">
        <v>1328.0323486</v>
      </c>
      <c r="H1525">
        <v>1320.4108887</v>
      </c>
      <c r="I1525">
        <v>1342.3817139</v>
      </c>
      <c r="J1525">
        <v>1335.0030518000001</v>
      </c>
      <c r="K1525">
        <v>2400</v>
      </c>
      <c r="L1525">
        <v>0</v>
      </c>
      <c r="M1525">
        <v>0</v>
      </c>
      <c r="N1525">
        <v>2400</v>
      </c>
    </row>
    <row r="1526" spans="1:14" x14ac:dyDescent="0.25">
      <c r="A1526">
        <v>1096.0000399999999</v>
      </c>
      <c r="B1526" s="1">
        <f>DATE(2013,5,1) + TIME(0,0,3)</f>
        <v>41395.000034722223</v>
      </c>
      <c r="C1526">
        <v>80</v>
      </c>
      <c r="D1526">
        <v>67.295066833000007</v>
      </c>
      <c r="E1526">
        <v>50</v>
      </c>
      <c r="F1526">
        <v>49.973083496000001</v>
      </c>
      <c r="G1526">
        <v>1332.5469971</v>
      </c>
      <c r="H1526">
        <v>1324.8701172000001</v>
      </c>
      <c r="I1526">
        <v>1338.1179199000001</v>
      </c>
      <c r="J1526">
        <v>1330.7410889</v>
      </c>
      <c r="K1526">
        <v>2400</v>
      </c>
      <c r="L1526">
        <v>0</v>
      </c>
      <c r="M1526">
        <v>0</v>
      </c>
      <c r="N1526">
        <v>2400</v>
      </c>
    </row>
    <row r="1527" spans="1:14" x14ac:dyDescent="0.25">
      <c r="A1527">
        <v>1096.000121</v>
      </c>
      <c r="B1527" s="1">
        <f>DATE(2013,5,1) + TIME(0,0,10)</f>
        <v>41395.000115740739</v>
      </c>
      <c r="C1527">
        <v>80</v>
      </c>
      <c r="D1527">
        <v>67.297348021999994</v>
      </c>
      <c r="E1527">
        <v>50</v>
      </c>
      <c r="F1527">
        <v>49.972518921000002</v>
      </c>
      <c r="G1527">
        <v>1337.3126221</v>
      </c>
      <c r="H1527">
        <v>1329.4980469</v>
      </c>
      <c r="I1527">
        <v>1333.6940918</v>
      </c>
      <c r="J1527">
        <v>1326.3204346</v>
      </c>
      <c r="K1527">
        <v>2400</v>
      </c>
      <c r="L1527">
        <v>0</v>
      </c>
      <c r="M1527">
        <v>0</v>
      </c>
      <c r="N1527">
        <v>2400</v>
      </c>
    </row>
    <row r="1528" spans="1:14" x14ac:dyDescent="0.25">
      <c r="A1528">
        <v>1096.000364</v>
      </c>
      <c r="B1528" s="1">
        <f>DATE(2013,5,1) + TIME(0,0,31)</f>
        <v>41395.000358796293</v>
      </c>
      <c r="C1528">
        <v>80</v>
      </c>
      <c r="D1528">
        <v>67.303009032999995</v>
      </c>
      <c r="E1528">
        <v>50</v>
      </c>
      <c r="F1528">
        <v>49.971935272000003</v>
      </c>
      <c r="G1528">
        <v>1342.1297606999999</v>
      </c>
      <c r="H1528">
        <v>1334.1750488</v>
      </c>
      <c r="I1528">
        <v>1329.2907714999999</v>
      </c>
      <c r="J1528">
        <v>1321.9190673999999</v>
      </c>
      <c r="K1528">
        <v>2400</v>
      </c>
      <c r="L1528">
        <v>0</v>
      </c>
      <c r="M1528">
        <v>0</v>
      </c>
      <c r="N1528">
        <v>2400</v>
      </c>
    </row>
    <row r="1529" spans="1:14" x14ac:dyDescent="0.25">
      <c r="A1529">
        <v>1096.0010930000001</v>
      </c>
      <c r="B1529" s="1">
        <f>DATE(2013,5,1) + TIME(0,1,34)</f>
        <v>41395.001087962963</v>
      </c>
      <c r="C1529">
        <v>80</v>
      </c>
      <c r="D1529">
        <v>67.319023131999998</v>
      </c>
      <c r="E1529">
        <v>50</v>
      </c>
      <c r="F1529">
        <v>49.971290588000002</v>
      </c>
      <c r="G1529">
        <v>1347.0556641000001</v>
      </c>
      <c r="H1529">
        <v>1338.9451904</v>
      </c>
      <c r="I1529">
        <v>1324.8572998</v>
      </c>
      <c r="J1529">
        <v>1317.4664307</v>
      </c>
      <c r="K1529">
        <v>2400</v>
      </c>
      <c r="L1529">
        <v>0</v>
      </c>
      <c r="M1529">
        <v>0</v>
      </c>
      <c r="N1529">
        <v>2400</v>
      </c>
    </row>
    <row r="1530" spans="1:14" x14ac:dyDescent="0.25">
      <c r="A1530">
        <v>1096.0032799999999</v>
      </c>
      <c r="B1530" s="1">
        <f>DATE(2013,5,1) + TIME(0,4,43)</f>
        <v>41395.003275462965</v>
      </c>
      <c r="C1530">
        <v>80</v>
      </c>
      <c r="D1530">
        <v>67.366477966000005</v>
      </c>
      <c r="E1530">
        <v>50</v>
      </c>
      <c r="F1530">
        <v>49.970478057999998</v>
      </c>
      <c r="G1530">
        <v>1351.8923339999999</v>
      </c>
      <c r="H1530">
        <v>1343.6287841999999</v>
      </c>
      <c r="I1530">
        <v>1320.4383545000001</v>
      </c>
      <c r="J1530">
        <v>1312.9895019999999</v>
      </c>
      <c r="K1530">
        <v>2400</v>
      </c>
      <c r="L1530">
        <v>0</v>
      </c>
      <c r="M1530">
        <v>0</v>
      </c>
      <c r="N1530">
        <v>2400</v>
      </c>
    </row>
    <row r="1531" spans="1:14" x14ac:dyDescent="0.25">
      <c r="A1531">
        <v>1096.0098410000001</v>
      </c>
      <c r="B1531" s="1">
        <f>DATE(2013,5,1) + TIME(0,14,10)</f>
        <v>41395.009837962964</v>
      </c>
      <c r="C1531">
        <v>80</v>
      </c>
      <c r="D1531">
        <v>67.507690429999997</v>
      </c>
      <c r="E1531">
        <v>50</v>
      </c>
      <c r="F1531">
        <v>49.969234467</v>
      </c>
      <c r="G1531">
        <v>1355.8188477000001</v>
      </c>
      <c r="H1531">
        <v>1347.4655762</v>
      </c>
      <c r="I1531">
        <v>1316.6981201000001</v>
      </c>
      <c r="J1531">
        <v>1309.1950684000001</v>
      </c>
      <c r="K1531">
        <v>2400</v>
      </c>
      <c r="L1531">
        <v>0</v>
      </c>
      <c r="M1531">
        <v>0</v>
      </c>
      <c r="N1531">
        <v>2400</v>
      </c>
    </row>
    <row r="1532" spans="1:14" x14ac:dyDescent="0.25">
      <c r="A1532">
        <v>1096.029524</v>
      </c>
      <c r="B1532" s="1">
        <f>DATE(2013,5,1) + TIME(0,42,30)</f>
        <v>41395.029513888891</v>
      </c>
      <c r="C1532">
        <v>80</v>
      </c>
      <c r="D1532">
        <v>67.917602539000001</v>
      </c>
      <c r="E1532">
        <v>50</v>
      </c>
      <c r="F1532">
        <v>49.966701508</v>
      </c>
      <c r="G1532">
        <v>1357.9199219</v>
      </c>
      <c r="H1532">
        <v>1349.5848389</v>
      </c>
      <c r="I1532">
        <v>1314.7548827999999</v>
      </c>
      <c r="J1532">
        <v>1307.2282714999999</v>
      </c>
      <c r="K1532">
        <v>2400</v>
      </c>
      <c r="L1532">
        <v>0</v>
      </c>
      <c r="M1532">
        <v>0</v>
      </c>
      <c r="N1532">
        <v>2400</v>
      </c>
    </row>
    <row r="1533" spans="1:14" x14ac:dyDescent="0.25">
      <c r="A1533">
        <v>1096.0538180000001</v>
      </c>
      <c r="B1533" s="1">
        <f>DATE(2013,5,1) + TIME(1,17,29)</f>
        <v>41395.053807870368</v>
      </c>
      <c r="C1533">
        <v>80</v>
      </c>
      <c r="D1533">
        <v>68.403076171999999</v>
      </c>
      <c r="E1533">
        <v>50</v>
      </c>
      <c r="F1533">
        <v>49.963855743000003</v>
      </c>
      <c r="G1533">
        <v>1358.3822021000001</v>
      </c>
      <c r="H1533">
        <v>1350.1005858999999</v>
      </c>
      <c r="I1533">
        <v>1314.3776855000001</v>
      </c>
      <c r="J1533">
        <v>1306.8465576000001</v>
      </c>
      <c r="K1533">
        <v>2400</v>
      </c>
      <c r="L1533">
        <v>0</v>
      </c>
      <c r="M1533">
        <v>0</v>
      </c>
      <c r="N1533">
        <v>2400</v>
      </c>
    </row>
    <row r="1534" spans="1:14" x14ac:dyDescent="0.25">
      <c r="A1534">
        <v>1096.0786049999999</v>
      </c>
      <c r="B1534" s="1">
        <f>DATE(2013,5,1) + TIME(1,53,11)</f>
        <v>41395.078599537039</v>
      </c>
      <c r="C1534">
        <v>80</v>
      </c>
      <c r="D1534">
        <v>68.878082274999997</v>
      </c>
      <c r="E1534">
        <v>50</v>
      </c>
      <c r="F1534">
        <v>49.961025237999998</v>
      </c>
      <c r="G1534">
        <v>1358.4294434000001</v>
      </c>
      <c r="H1534">
        <v>1350.2019043</v>
      </c>
      <c r="I1534">
        <v>1314.3292236</v>
      </c>
      <c r="J1534">
        <v>1306.7972411999999</v>
      </c>
      <c r="K1534">
        <v>2400</v>
      </c>
      <c r="L1534">
        <v>0</v>
      </c>
      <c r="M1534">
        <v>0</v>
      </c>
      <c r="N1534">
        <v>2400</v>
      </c>
    </row>
    <row r="1535" spans="1:14" x14ac:dyDescent="0.25">
      <c r="A1535">
        <v>1096.1038920000001</v>
      </c>
      <c r="B1535" s="1">
        <f>DATE(2013,5,1) + TIME(2,29,36)</f>
        <v>41395.103888888887</v>
      </c>
      <c r="C1535">
        <v>80</v>
      </c>
      <c r="D1535">
        <v>69.342384338000002</v>
      </c>
      <c r="E1535">
        <v>50</v>
      </c>
      <c r="F1535">
        <v>49.958164214999996</v>
      </c>
      <c r="G1535">
        <v>1358.3787841999999</v>
      </c>
      <c r="H1535">
        <v>1350.2043457</v>
      </c>
      <c r="I1535">
        <v>1314.3297118999999</v>
      </c>
      <c r="J1535">
        <v>1306.7974853999999</v>
      </c>
      <c r="K1535">
        <v>2400</v>
      </c>
      <c r="L1535">
        <v>0</v>
      </c>
      <c r="M1535">
        <v>0</v>
      </c>
      <c r="N1535">
        <v>2400</v>
      </c>
    </row>
    <row r="1536" spans="1:14" x14ac:dyDescent="0.25">
      <c r="A1536">
        <v>1096.1297010000001</v>
      </c>
      <c r="B1536" s="1">
        <f>DATE(2013,5,1) + TIME(3,6,46)</f>
        <v>41395.129699074074</v>
      </c>
      <c r="C1536">
        <v>80</v>
      </c>
      <c r="D1536">
        <v>69.796051024999997</v>
      </c>
      <c r="E1536">
        <v>50</v>
      </c>
      <c r="F1536">
        <v>49.955276488999999</v>
      </c>
      <c r="G1536">
        <v>1358.3049315999999</v>
      </c>
      <c r="H1536">
        <v>1350.1816406</v>
      </c>
      <c r="I1536">
        <v>1314.3336182</v>
      </c>
      <c r="J1536">
        <v>1306.8013916</v>
      </c>
      <c r="K1536">
        <v>2400</v>
      </c>
      <c r="L1536">
        <v>0</v>
      </c>
      <c r="M1536">
        <v>0</v>
      </c>
      <c r="N1536">
        <v>2400</v>
      </c>
    </row>
    <row r="1537" spans="1:14" x14ac:dyDescent="0.25">
      <c r="A1537">
        <v>1096.156021</v>
      </c>
      <c r="B1537" s="1">
        <f>DATE(2013,5,1) + TIME(3,44,40)</f>
        <v>41395.156018518515</v>
      </c>
      <c r="C1537">
        <v>80</v>
      </c>
      <c r="D1537">
        <v>70.238456725999995</v>
      </c>
      <c r="E1537">
        <v>50</v>
      </c>
      <c r="F1537">
        <v>49.952354431000003</v>
      </c>
      <c r="G1537">
        <v>1358.2270507999999</v>
      </c>
      <c r="H1537">
        <v>1350.152832</v>
      </c>
      <c r="I1537">
        <v>1314.3359375</v>
      </c>
      <c r="J1537">
        <v>1306.8035889</v>
      </c>
      <c r="K1537">
        <v>2400</v>
      </c>
      <c r="L1537">
        <v>0</v>
      </c>
      <c r="M1537">
        <v>0</v>
      </c>
      <c r="N1537">
        <v>2400</v>
      </c>
    </row>
    <row r="1538" spans="1:14" x14ac:dyDescent="0.25">
      <c r="A1538">
        <v>1096.1828399999999</v>
      </c>
      <c r="B1538" s="1">
        <f>DATE(2013,5,1) + TIME(4,23,17)</f>
        <v>41395.182835648149</v>
      </c>
      <c r="C1538">
        <v>80</v>
      </c>
      <c r="D1538">
        <v>70.669204711999996</v>
      </c>
      <c r="E1538">
        <v>50</v>
      </c>
      <c r="F1538">
        <v>49.949405669999997</v>
      </c>
      <c r="G1538">
        <v>1358.1506348</v>
      </c>
      <c r="H1538">
        <v>1350.1230469</v>
      </c>
      <c r="I1538">
        <v>1314.3370361</v>
      </c>
      <c r="J1538">
        <v>1306.8045654</v>
      </c>
      <c r="K1538">
        <v>2400</v>
      </c>
      <c r="L1538">
        <v>0</v>
      </c>
      <c r="M1538">
        <v>0</v>
      </c>
      <c r="N1538">
        <v>2400</v>
      </c>
    </row>
    <row r="1539" spans="1:14" x14ac:dyDescent="0.25">
      <c r="A1539">
        <v>1096.210184</v>
      </c>
      <c r="B1539" s="1">
        <f>DATE(2013,5,1) + TIME(5,2,39)</f>
        <v>41395.210173611114</v>
      </c>
      <c r="C1539">
        <v>80</v>
      </c>
      <c r="D1539">
        <v>71.088630675999994</v>
      </c>
      <c r="E1539">
        <v>50</v>
      </c>
      <c r="F1539">
        <v>49.946426391999999</v>
      </c>
      <c r="G1539">
        <v>1358.0770264</v>
      </c>
      <c r="H1539">
        <v>1350.0941161999999</v>
      </c>
      <c r="I1539">
        <v>1314.3375243999999</v>
      </c>
      <c r="J1539">
        <v>1306.8049315999999</v>
      </c>
      <c r="K1539">
        <v>2400</v>
      </c>
      <c r="L1539">
        <v>0</v>
      </c>
      <c r="M1539">
        <v>0</v>
      </c>
      <c r="N1539">
        <v>2400</v>
      </c>
    </row>
    <row r="1540" spans="1:14" x14ac:dyDescent="0.25">
      <c r="A1540">
        <v>1096.2380800000001</v>
      </c>
      <c r="B1540" s="1">
        <f>DATE(2013,5,1) + TIME(5,42,50)</f>
        <v>41395.238078703704</v>
      </c>
      <c r="C1540">
        <v>80</v>
      </c>
      <c r="D1540">
        <v>71.496917725000003</v>
      </c>
      <c r="E1540">
        <v>50</v>
      </c>
      <c r="F1540">
        <v>49.943412780999999</v>
      </c>
      <c r="G1540">
        <v>1358.0065918</v>
      </c>
      <c r="H1540">
        <v>1350.0662841999999</v>
      </c>
      <c r="I1540">
        <v>1314.3377685999999</v>
      </c>
      <c r="J1540">
        <v>1306.8050536999999</v>
      </c>
      <c r="K1540">
        <v>2400</v>
      </c>
      <c r="L1540">
        <v>0</v>
      </c>
      <c r="M1540">
        <v>0</v>
      </c>
      <c r="N1540">
        <v>2400</v>
      </c>
    </row>
    <row r="1541" spans="1:14" x14ac:dyDescent="0.25">
      <c r="A1541">
        <v>1096.2665569999999</v>
      </c>
      <c r="B1541" s="1">
        <f>DATE(2013,5,1) + TIME(6,23,50)</f>
        <v>41395.266550925924</v>
      </c>
      <c r="C1541">
        <v>80</v>
      </c>
      <c r="D1541">
        <v>71.894248962000006</v>
      </c>
      <c r="E1541">
        <v>50</v>
      </c>
      <c r="F1541">
        <v>49.940368651999997</v>
      </c>
      <c r="G1541">
        <v>1357.9393310999999</v>
      </c>
      <c r="H1541">
        <v>1350.0397949000001</v>
      </c>
      <c r="I1541">
        <v>1314.3378906</v>
      </c>
      <c r="J1541">
        <v>1306.8050536999999</v>
      </c>
      <c r="K1541">
        <v>2400</v>
      </c>
      <c r="L1541">
        <v>0</v>
      </c>
      <c r="M1541">
        <v>0</v>
      </c>
      <c r="N1541">
        <v>2400</v>
      </c>
    </row>
    <row r="1542" spans="1:14" x14ac:dyDescent="0.25">
      <c r="A1542">
        <v>1096.2956449999999</v>
      </c>
      <c r="B1542" s="1">
        <f>DATE(2013,5,1) + TIME(7,5,43)</f>
        <v>41395.295636574076</v>
      </c>
      <c r="C1542">
        <v>80</v>
      </c>
      <c r="D1542">
        <v>72.280769348000007</v>
      </c>
      <c r="E1542">
        <v>50</v>
      </c>
      <c r="F1542">
        <v>49.937286377</v>
      </c>
      <c r="G1542">
        <v>1357.8751221</v>
      </c>
      <c r="H1542">
        <v>1350.0146483999999</v>
      </c>
      <c r="I1542">
        <v>1314.3380127</v>
      </c>
      <c r="J1542">
        <v>1306.8049315999999</v>
      </c>
      <c r="K1542">
        <v>2400</v>
      </c>
      <c r="L1542">
        <v>0</v>
      </c>
      <c r="M1542">
        <v>0</v>
      </c>
      <c r="N1542">
        <v>2400</v>
      </c>
    </row>
    <row r="1543" spans="1:14" x14ac:dyDescent="0.25">
      <c r="A1543">
        <v>1096.3253769999999</v>
      </c>
      <c r="B1543" s="1">
        <f>DATE(2013,5,1) + TIME(7,48,32)</f>
        <v>41395.325370370374</v>
      </c>
      <c r="C1543">
        <v>80</v>
      </c>
      <c r="D1543">
        <v>72.656639099000003</v>
      </c>
      <c r="E1543">
        <v>50</v>
      </c>
      <c r="F1543">
        <v>49.934162139999998</v>
      </c>
      <c r="G1543">
        <v>1357.8139647999999</v>
      </c>
      <c r="H1543">
        <v>1349.9906006000001</v>
      </c>
      <c r="I1543">
        <v>1314.3380127</v>
      </c>
      <c r="J1543">
        <v>1306.8048096</v>
      </c>
      <c r="K1543">
        <v>2400</v>
      </c>
      <c r="L1543">
        <v>0</v>
      </c>
      <c r="M1543">
        <v>0</v>
      </c>
      <c r="N1543">
        <v>2400</v>
      </c>
    </row>
    <row r="1544" spans="1:14" x14ac:dyDescent="0.25">
      <c r="A1544">
        <v>1096.3557860000001</v>
      </c>
      <c r="B1544" s="1">
        <f>DATE(2013,5,1) + TIME(8,32,19)</f>
        <v>41395.355775462966</v>
      </c>
      <c r="C1544">
        <v>80</v>
      </c>
      <c r="D1544">
        <v>73.021972656000003</v>
      </c>
      <c r="E1544">
        <v>50</v>
      </c>
      <c r="F1544">
        <v>49.930999755999999</v>
      </c>
      <c r="G1544">
        <v>1357.7556152</v>
      </c>
      <c r="H1544">
        <v>1349.9677733999999</v>
      </c>
      <c r="I1544">
        <v>1314.3380127</v>
      </c>
      <c r="J1544">
        <v>1306.8046875</v>
      </c>
      <c r="K1544">
        <v>2400</v>
      </c>
      <c r="L1544">
        <v>0</v>
      </c>
      <c r="M1544">
        <v>0</v>
      </c>
      <c r="N1544">
        <v>2400</v>
      </c>
    </row>
    <row r="1545" spans="1:14" x14ac:dyDescent="0.25">
      <c r="A1545">
        <v>1096.3868729999999</v>
      </c>
      <c r="B1545" s="1">
        <f>DATE(2013,5,1) + TIME(9,17,5)</f>
        <v>41395.386863425927</v>
      </c>
      <c r="C1545">
        <v>80</v>
      </c>
      <c r="D1545">
        <v>73.376502990999995</v>
      </c>
      <c r="E1545">
        <v>50</v>
      </c>
      <c r="F1545">
        <v>49.927795410000002</v>
      </c>
      <c r="G1545">
        <v>1357.6999512</v>
      </c>
      <c r="H1545">
        <v>1349.9460449000001</v>
      </c>
      <c r="I1545">
        <v>1314.3380127</v>
      </c>
      <c r="J1545">
        <v>1306.8045654</v>
      </c>
      <c r="K1545">
        <v>2400</v>
      </c>
      <c r="L1545">
        <v>0</v>
      </c>
      <c r="M1545">
        <v>0</v>
      </c>
      <c r="N1545">
        <v>2400</v>
      </c>
    </row>
    <row r="1546" spans="1:14" x14ac:dyDescent="0.25">
      <c r="A1546">
        <v>1096.418649</v>
      </c>
      <c r="B1546" s="1">
        <f>DATE(2013,5,1) + TIME(10,2,51)</f>
        <v>41395.418645833335</v>
      </c>
      <c r="C1546">
        <v>80</v>
      </c>
      <c r="D1546">
        <v>73.720115661999998</v>
      </c>
      <c r="E1546">
        <v>50</v>
      </c>
      <c r="F1546">
        <v>49.924549102999997</v>
      </c>
      <c r="G1546">
        <v>1357.6470947</v>
      </c>
      <c r="H1546">
        <v>1349.9255370999999</v>
      </c>
      <c r="I1546">
        <v>1314.3380127</v>
      </c>
      <c r="J1546">
        <v>1306.8043213000001</v>
      </c>
      <c r="K1546">
        <v>2400</v>
      </c>
      <c r="L1546">
        <v>0</v>
      </c>
      <c r="M1546">
        <v>0</v>
      </c>
      <c r="N1546">
        <v>2400</v>
      </c>
    </row>
    <row r="1547" spans="1:14" x14ac:dyDescent="0.25">
      <c r="A1547">
        <v>1096.4511500000001</v>
      </c>
      <c r="B1547" s="1">
        <f>DATE(2013,5,1) + TIME(10,49,39)</f>
        <v>41395.451145833336</v>
      </c>
      <c r="C1547">
        <v>80</v>
      </c>
      <c r="D1547">
        <v>74.052970885999997</v>
      </c>
      <c r="E1547">
        <v>50</v>
      </c>
      <c r="F1547">
        <v>49.921260834000002</v>
      </c>
      <c r="G1547">
        <v>1357.5966797000001</v>
      </c>
      <c r="H1547">
        <v>1349.9058838000001</v>
      </c>
      <c r="I1547">
        <v>1314.3378906</v>
      </c>
      <c r="J1547">
        <v>1306.8041992000001</v>
      </c>
      <c r="K1547">
        <v>2400</v>
      </c>
      <c r="L1547">
        <v>0</v>
      </c>
      <c r="M1547">
        <v>0</v>
      </c>
      <c r="N1547">
        <v>2400</v>
      </c>
    </row>
    <row r="1548" spans="1:14" x14ac:dyDescent="0.25">
      <c r="A1548">
        <v>1096.484416</v>
      </c>
      <c r="B1548" s="1">
        <f>DATE(2013,5,1) + TIME(11,37,33)</f>
        <v>41395.484409722223</v>
      </c>
      <c r="C1548">
        <v>80</v>
      </c>
      <c r="D1548">
        <v>74.375228882000002</v>
      </c>
      <c r="E1548">
        <v>50</v>
      </c>
      <c r="F1548">
        <v>49.917926788000003</v>
      </c>
      <c r="G1548">
        <v>1357.5487060999999</v>
      </c>
      <c r="H1548">
        <v>1349.887207</v>
      </c>
      <c r="I1548">
        <v>1314.3378906</v>
      </c>
      <c r="J1548">
        <v>1306.8039550999999</v>
      </c>
      <c r="K1548">
        <v>2400</v>
      </c>
      <c r="L1548">
        <v>0</v>
      </c>
      <c r="M1548">
        <v>0</v>
      </c>
      <c r="N1548">
        <v>2400</v>
      </c>
    </row>
    <row r="1549" spans="1:14" x14ac:dyDescent="0.25">
      <c r="A1549">
        <v>1096.5184839999999</v>
      </c>
      <c r="B1549" s="1">
        <f>DATE(2013,5,1) + TIME(12,26,37)</f>
        <v>41395.518483796295</v>
      </c>
      <c r="C1549">
        <v>80</v>
      </c>
      <c r="D1549">
        <v>74.686981200999995</v>
      </c>
      <c r="E1549">
        <v>50</v>
      </c>
      <c r="F1549">
        <v>49.914543152</v>
      </c>
      <c r="G1549">
        <v>1357.5029297000001</v>
      </c>
      <c r="H1549">
        <v>1349.8695068</v>
      </c>
      <c r="I1549">
        <v>1314.3377685999999</v>
      </c>
      <c r="J1549">
        <v>1306.8037108999999</v>
      </c>
      <c r="K1549">
        <v>2400</v>
      </c>
      <c r="L1549">
        <v>0</v>
      </c>
      <c r="M1549">
        <v>0</v>
      </c>
      <c r="N1549">
        <v>2400</v>
      </c>
    </row>
    <row r="1550" spans="1:14" x14ac:dyDescent="0.25">
      <c r="A1550">
        <v>1096.553402</v>
      </c>
      <c r="B1550" s="1">
        <f>DATE(2013,5,1) + TIME(13,16,53)</f>
        <v>41395.553391203706</v>
      </c>
      <c r="C1550">
        <v>80</v>
      </c>
      <c r="D1550">
        <v>74.988380432</v>
      </c>
      <c r="E1550">
        <v>50</v>
      </c>
      <c r="F1550">
        <v>49.911106109999999</v>
      </c>
      <c r="G1550">
        <v>1357.4592285000001</v>
      </c>
      <c r="H1550">
        <v>1349.8524170000001</v>
      </c>
      <c r="I1550">
        <v>1314.3376464999999</v>
      </c>
      <c r="J1550">
        <v>1306.8033447</v>
      </c>
      <c r="K1550">
        <v>2400</v>
      </c>
      <c r="L1550">
        <v>0</v>
      </c>
      <c r="M1550">
        <v>0</v>
      </c>
      <c r="N1550">
        <v>2400</v>
      </c>
    </row>
    <row r="1551" spans="1:14" x14ac:dyDescent="0.25">
      <c r="A1551">
        <v>1096.5892200000001</v>
      </c>
      <c r="B1551" s="1">
        <f>DATE(2013,5,1) + TIME(14,8,28)</f>
        <v>41395.589212962965</v>
      </c>
      <c r="C1551">
        <v>80</v>
      </c>
      <c r="D1551">
        <v>75.279380798000005</v>
      </c>
      <c r="E1551">
        <v>50</v>
      </c>
      <c r="F1551">
        <v>49.907615661999998</v>
      </c>
      <c r="G1551">
        <v>1357.4174805</v>
      </c>
      <c r="H1551">
        <v>1349.8361815999999</v>
      </c>
      <c r="I1551">
        <v>1314.3375243999999</v>
      </c>
      <c r="J1551">
        <v>1306.8031006000001</v>
      </c>
      <c r="K1551">
        <v>2400</v>
      </c>
      <c r="L1551">
        <v>0</v>
      </c>
      <c r="M1551">
        <v>0</v>
      </c>
      <c r="N1551">
        <v>2400</v>
      </c>
    </row>
    <row r="1552" spans="1:14" x14ac:dyDescent="0.25">
      <c r="A1552">
        <v>1096.62599</v>
      </c>
      <c r="B1552" s="1">
        <f>DATE(2013,5,1) + TIME(15,1,25)</f>
        <v>41395.625983796293</v>
      </c>
      <c r="C1552">
        <v>80</v>
      </c>
      <c r="D1552">
        <v>75.560295104999994</v>
      </c>
      <c r="E1552">
        <v>50</v>
      </c>
      <c r="F1552">
        <v>49.904064177999999</v>
      </c>
      <c r="G1552">
        <v>1357.3775635</v>
      </c>
      <c r="H1552">
        <v>1349.8206786999999</v>
      </c>
      <c r="I1552">
        <v>1314.3372803</v>
      </c>
      <c r="J1552">
        <v>1306.8027344</v>
      </c>
      <c r="K1552">
        <v>2400</v>
      </c>
      <c r="L1552">
        <v>0</v>
      </c>
      <c r="M1552">
        <v>0</v>
      </c>
      <c r="N1552">
        <v>2400</v>
      </c>
    </row>
    <row r="1553" spans="1:14" x14ac:dyDescent="0.25">
      <c r="A1553">
        <v>1096.6637679999999</v>
      </c>
      <c r="B1553" s="1">
        <f>DATE(2013,5,1) + TIME(15,55,49)</f>
        <v>41395.663761574076</v>
      </c>
      <c r="C1553">
        <v>80</v>
      </c>
      <c r="D1553">
        <v>75.831237793</v>
      </c>
      <c r="E1553">
        <v>50</v>
      </c>
      <c r="F1553">
        <v>49.900447845000002</v>
      </c>
      <c r="G1553">
        <v>1357.3394774999999</v>
      </c>
      <c r="H1553">
        <v>1349.8056641000001</v>
      </c>
      <c r="I1553">
        <v>1314.3371582</v>
      </c>
      <c r="J1553">
        <v>1306.8024902</v>
      </c>
      <c r="K1553">
        <v>2400</v>
      </c>
      <c r="L1553">
        <v>0</v>
      </c>
      <c r="M1553">
        <v>0</v>
      </c>
      <c r="N1553">
        <v>2400</v>
      </c>
    </row>
    <row r="1554" spans="1:14" x14ac:dyDescent="0.25">
      <c r="A1554">
        <v>1096.7026149999999</v>
      </c>
      <c r="B1554" s="1">
        <f>DATE(2013,5,1) + TIME(16,51,45)</f>
        <v>41395.702604166669</v>
      </c>
      <c r="C1554">
        <v>80</v>
      </c>
      <c r="D1554">
        <v>76.092330933</v>
      </c>
      <c r="E1554">
        <v>50</v>
      </c>
      <c r="F1554">
        <v>49.896766663000001</v>
      </c>
      <c r="G1554">
        <v>1357.3031006000001</v>
      </c>
      <c r="H1554">
        <v>1349.7913818</v>
      </c>
      <c r="I1554">
        <v>1314.3369141000001</v>
      </c>
      <c r="J1554">
        <v>1306.802124</v>
      </c>
      <c r="K1554">
        <v>2400</v>
      </c>
      <c r="L1554">
        <v>0</v>
      </c>
      <c r="M1554">
        <v>0</v>
      </c>
      <c r="N1554">
        <v>2400</v>
      </c>
    </row>
    <row r="1555" spans="1:14" x14ac:dyDescent="0.25">
      <c r="A1555">
        <v>1096.742596</v>
      </c>
      <c r="B1555" s="1">
        <f>DATE(2013,5,1) + TIME(17,49,20)</f>
        <v>41395.742592592593</v>
      </c>
      <c r="C1555">
        <v>80</v>
      </c>
      <c r="D1555">
        <v>76.343673706000004</v>
      </c>
      <c r="E1555">
        <v>50</v>
      </c>
      <c r="F1555">
        <v>49.893009186</v>
      </c>
      <c r="G1555">
        <v>1357.2681885</v>
      </c>
      <c r="H1555">
        <v>1349.7774658000001</v>
      </c>
      <c r="I1555">
        <v>1314.3367920000001</v>
      </c>
      <c r="J1555">
        <v>1306.8016356999999</v>
      </c>
      <c r="K1555">
        <v>2400</v>
      </c>
      <c r="L1555">
        <v>0</v>
      </c>
      <c r="M1555">
        <v>0</v>
      </c>
      <c r="N1555">
        <v>2400</v>
      </c>
    </row>
    <row r="1556" spans="1:14" x14ac:dyDescent="0.25">
      <c r="A1556">
        <v>1096.783782</v>
      </c>
      <c r="B1556" s="1">
        <f>DATE(2013,5,1) + TIME(18,48,38)</f>
        <v>41395.783773148149</v>
      </c>
      <c r="C1556">
        <v>80</v>
      </c>
      <c r="D1556">
        <v>76.585372925000001</v>
      </c>
      <c r="E1556">
        <v>50</v>
      </c>
      <c r="F1556">
        <v>49.889179230000003</v>
      </c>
      <c r="G1556">
        <v>1357.2346190999999</v>
      </c>
      <c r="H1556">
        <v>1349.7641602000001</v>
      </c>
      <c r="I1556">
        <v>1314.3365478999999</v>
      </c>
      <c r="J1556">
        <v>1306.8012695</v>
      </c>
      <c r="K1556">
        <v>2400</v>
      </c>
      <c r="L1556">
        <v>0</v>
      </c>
      <c r="M1556">
        <v>0</v>
      </c>
      <c r="N1556">
        <v>2400</v>
      </c>
    </row>
    <row r="1557" spans="1:14" x14ac:dyDescent="0.25">
      <c r="A1557">
        <v>1096.8262500000001</v>
      </c>
      <c r="B1557" s="1">
        <f>DATE(2013,5,1) + TIME(19,49,48)</f>
        <v>41395.826249999998</v>
      </c>
      <c r="C1557">
        <v>80</v>
      </c>
      <c r="D1557">
        <v>76.817527771000002</v>
      </c>
      <c r="E1557">
        <v>50</v>
      </c>
      <c r="F1557">
        <v>49.885261536000002</v>
      </c>
      <c r="G1557">
        <v>1357.2025146000001</v>
      </c>
      <c r="H1557">
        <v>1349.7510986</v>
      </c>
      <c r="I1557">
        <v>1314.3363036999999</v>
      </c>
      <c r="J1557">
        <v>1306.8007812000001</v>
      </c>
      <c r="K1557">
        <v>2400</v>
      </c>
      <c r="L1557">
        <v>0</v>
      </c>
      <c r="M1557">
        <v>0</v>
      </c>
      <c r="N1557">
        <v>2400</v>
      </c>
    </row>
    <row r="1558" spans="1:14" x14ac:dyDescent="0.25">
      <c r="A1558">
        <v>1096.8700839999999</v>
      </c>
      <c r="B1558" s="1">
        <f>DATE(2013,5,1) + TIME(20,52,55)</f>
        <v>41395.870081018518</v>
      </c>
      <c r="C1558">
        <v>80</v>
      </c>
      <c r="D1558">
        <v>77.040237426999994</v>
      </c>
      <c r="E1558">
        <v>50</v>
      </c>
      <c r="F1558">
        <v>49.881259917999998</v>
      </c>
      <c r="G1558">
        <v>1357.1715088000001</v>
      </c>
      <c r="H1558">
        <v>1349.7385254000001</v>
      </c>
      <c r="I1558">
        <v>1314.3359375</v>
      </c>
      <c r="J1558">
        <v>1306.8004149999999</v>
      </c>
      <c r="K1558">
        <v>2400</v>
      </c>
      <c r="L1558">
        <v>0</v>
      </c>
      <c r="M1558">
        <v>0</v>
      </c>
      <c r="N1558">
        <v>2400</v>
      </c>
    </row>
    <row r="1559" spans="1:14" x14ac:dyDescent="0.25">
      <c r="A1559">
        <v>1096.915383</v>
      </c>
      <c r="B1559" s="1">
        <f>DATE(2013,5,1) + TIME(21,58,9)</f>
        <v>41395.915381944447</v>
      </c>
      <c r="C1559">
        <v>80</v>
      </c>
      <c r="D1559">
        <v>77.253639221</v>
      </c>
      <c r="E1559">
        <v>50</v>
      </c>
      <c r="F1559">
        <v>49.877162933000001</v>
      </c>
      <c r="G1559">
        <v>1357.1417236</v>
      </c>
      <c r="H1559">
        <v>1349.7261963000001</v>
      </c>
      <c r="I1559">
        <v>1314.3356934000001</v>
      </c>
      <c r="J1559">
        <v>1306.7999268000001</v>
      </c>
      <c r="K1559">
        <v>2400</v>
      </c>
      <c r="L1559">
        <v>0</v>
      </c>
      <c r="M1559">
        <v>0</v>
      </c>
      <c r="N1559">
        <v>2400</v>
      </c>
    </row>
    <row r="1560" spans="1:14" x14ac:dyDescent="0.25">
      <c r="A1560">
        <v>1096.962256</v>
      </c>
      <c r="B1560" s="1">
        <f>DATE(2013,5,1) + TIME(23,5,38)</f>
        <v>41395.962245370371</v>
      </c>
      <c r="C1560">
        <v>80</v>
      </c>
      <c r="D1560">
        <v>77.457832335999996</v>
      </c>
      <c r="E1560">
        <v>50</v>
      </c>
      <c r="F1560">
        <v>49.872962952000002</v>
      </c>
      <c r="G1560">
        <v>1357.1130370999999</v>
      </c>
      <c r="H1560">
        <v>1349.7141113</v>
      </c>
      <c r="I1560">
        <v>1314.3354492000001</v>
      </c>
      <c r="J1560">
        <v>1306.7994385</v>
      </c>
      <c r="K1560">
        <v>2400</v>
      </c>
      <c r="L1560">
        <v>0</v>
      </c>
      <c r="M1560">
        <v>0</v>
      </c>
      <c r="N1560">
        <v>2400</v>
      </c>
    </row>
    <row r="1561" spans="1:14" x14ac:dyDescent="0.25">
      <c r="A1561">
        <v>1097.0108</v>
      </c>
      <c r="B1561" s="1">
        <f>DATE(2013,5,2) + TIME(0,15,33)</f>
        <v>41396.010798611111</v>
      </c>
      <c r="C1561">
        <v>80</v>
      </c>
      <c r="D1561">
        <v>77.652877808</v>
      </c>
      <c r="E1561">
        <v>50</v>
      </c>
      <c r="F1561">
        <v>49.868656158</v>
      </c>
      <c r="G1561">
        <v>1357.0852050999999</v>
      </c>
      <c r="H1561">
        <v>1349.7022704999999</v>
      </c>
      <c r="I1561">
        <v>1314.3350829999999</v>
      </c>
      <c r="J1561">
        <v>1306.7989502</v>
      </c>
      <c r="K1561">
        <v>2400</v>
      </c>
      <c r="L1561">
        <v>0</v>
      </c>
      <c r="M1561">
        <v>0</v>
      </c>
      <c r="N1561">
        <v>2400</v>
      </c>
    </row>
    <row r="1562" spans="1:14" x14ac:dyDescent="0.25">
      <c r="A1562">
        <v>1097.061136</v>
      </c>
      <c r="B1562" s="1">
        <f>DATE(2013,5,2) + TIME(1,28,2)</f>
        <v>41396.06113425926</v>
      </c>
      <c r="C1562">
        <v>80</v>
      </c>
      <c r="D1562">
        <v>77.838851929</v>
      </c>
      <c r="E1562">
        <v>50</v>
      </c>
      <c r="F1562">
        <v>49.864231109999999</v>
      </c>
      <c r="G1562">
        <v>1357.0582274999999</v>
      </c>
      <c r="H1562">
        <v>1349.6905518000001</v>
      </c>
      <c r="I1562">
        <v>1314.3347168</v>
      </c>
      <c r="J1562">
        <v>1306.7983397999999</v>
      </c>
      <c r="K1562">
        <v>2400</v>
      </c>
      <c r="L1562">
        <v>0</v>
      </c>
      <c r="M1562">
        <v>0</v>
      </c>
      <c r="N1562">
        <v>2400</v>
      </c>
    </row>
    <row r="1563" spans="1:14" x14ac:dyDescent="0.25">
      <c r="A1563">
        <v>1097.1134010000001</v>
      </c>
      <c r="B1563" s="1">
        <f>DATE(2013,5,2) + TIME(2,43,17)</f>
        <v>41396.113391203704</v>
      </c>
      <c r="C1563">
        <v>80</v>
      </c>
      <c r="D1563">
        <v>78.015869140999996</v>
      </c>
      <c r="E1563">
        <v>50</v>
      </c>
      <c r="F1563">
        <v>49.859680175999998</v>
      </c>
      <c r="G1563">
        <v>1357.0321045000001</v>
      </c>
      <c r="H1563">
        <v>1349.6788329999999</v>
      </c>
      <c r="I1563">
        <v>1314.3343506000001</v>
      </c>
      <c r="J1563">
        <v>1306.7977295000001</v>
      </c>
      <c r="K1563">
        <v>2400</v>
      </c>
      <c r="L1563">
        <v>0</v>
      </c>
      <c r="M1563">
        <v>0</v>
      </c>
      <c r="N1563">
        <v>2400</v>
      </c>
    </row>
    <row r="1564" spans="1:14" x14ac:dyDescent="0.25">
      <c r="A1564">
        <v>1097.1677440000001</v>
      </c>
      <c r="B1564" s="1">
        <f>DATE(2013,5,2) + TIME(4,1,33)</f>
        <v>41396.167743055557</v>
      </c>
      <c r="C1564">
        <v>80</v>
      </c>
      <c r="D1564">
        <v>78.184020996000001</v>
      </c>
      <c r="E1564">
        <v>50</v>
      </c>
      <c r="F1564">
        <v>49.854995727999999</v>
      </c>
      <c r="G1564">
        <v>1357.0065918</v>
      </c>
      <c r="H1564">
        <v>1349.6672363</v>
      </c>
      <c r="I1564">
        <v>1314.3339844</v>
      </c>
      <c r="J1564">
        <v>1306.7972411999999</v>
      </c>
      <c r="K1564">
        <v>2400</v>
      </c>
      <c r="L1564">
        <v>0</v>
      </c>
      <c r="M1564">
        <v>0</v>
      </c>
      <c r="N1564">
        <v>2400</v>
      </c>
    </row>
    <row r="1565" spans="1:14" x14ac:dyDescent="0.25">
      <c r="A1565">
        <v>1097.2243309999999</v>
      </c>
      <c r="B1565" s="1">
        <f>DATE(2013,5,2) + TIME(5,23,2)</f>
        <v>41396.224328703705</v>
      </c>
      <c r="C1565">
        <v>80</v>
      </c>
      <c r="D1565">
        <v>78.343421935999999</v>
      </c>
      <c r="E1565">
        <v>50</v>
      </c>
      <c r="F1565">
        <v>49.850166321000003</v>
      </c>
      <c r="G1565">
        <v>1356.9816894999999</v>
      </c>
      <c r="H1565">
        <v>1349.6556396000001</v>
      </c>
      <c r="I1565">
        <v>1314.3336182</v>
      </c>
      <c r="J1565">
        <v>1306.7966309000001</v>
      </c>
      <c r="K1565">
        <v>2400</v>
      </c>
      <c r="L1565">
        <v>0</v>
      </c>
      <c r="M1565">
        <v>0</v>
      </c>
      <c r="N1565">
        <v>2400</v>
      </c>
    </row>
    <row r="1566" spans="1:14" x14ac:dyDescent="0.25">
      <c r="A1566">
        <v>1097.283351</v>
      </c>
      <c r="B1566" s="1">
        <f>DATE(2013,5,2) + TIME(6,48,1)</f>
        <v>41396.28334490741</v>
      </c>
      <c r="C1566">
        <v>80</v>
      </c>
      <c r="D1566">
        <v>78.494171143000003</v>
      </c>
      <c r="E1566">
        <v>50</v>
      </c>
      <c r="F1566">
        <v>49.845176696999999</v>
      </c>
      <c r="G1566">
        <v>1356.9572754000001</v>
      </c>
      <c r="H1566">
        <v>1349.644043</v>
      </c>
      <c r="I1566">
        <v>1314.3332519999999</v>
      </c>
      <c r="J1566">
        <v>1306.7958983999999</v>
      </c>
      <c r="K1566">
        <v>2400</v>
      </c>
      <c r="L1566">
        <v>0</v>
      </c>
      <c r="M1566">
        <v>0</v>
      </c>
      <c r="N1566">
        <v>2400</v>
      </c>
    </row>
    <row r="1567" spans="1:14" x14ac:dyDescent="0.25">
      <c r="A1567">
        <v>1097.345012</v>
      </c>
      <c r="B1567" s="1">
        <f>DATE(2013,5,2) + TIME(8,16,49)</f>
        <v>41396.345011574071</v>
      </c>
      <c r="C1567">
        <v>80</v>
      </c>
      <c r="D1567">
        <v>78.636390685999999</v>
      </c>
      <c r="E1567">
        <v>50</v>
      </c>
      <c r="F1567">
        <v>49.840011597</v>
      </c>
      <c r="G1567">
        <v>1356.9332274999999</v>
      </c>
      <c r="H1567">
        <v>1349.6323242000001</v>
      </c>
      <c r="I1567">
        <v>1314.3327637</v>
      </c>
      <c r="J1567">
        <v>1306.7952881000001</v>
      </c>
      <c r="K1567">
        <v>2400</v>
      </c>
      <c r="L1567">
        <v>0</v>
      </c>
      <c r="M1567">
        <v>0</v>
      </c>
      <c r="N1567">
        <v>2400</v>
      </c>
    </row>
    <row r="1568" spans="1:14" x14ac:dyDescent="0.25">
      <c r="A1568">
        <v>1097.409553</v>
      </c>
      <c r="B1568" s="1">
        <f>DATE(2013,5,2) + TIME(9,49,45)</f>
        <v>41396.409548611111</v>
      </c>
      <c r="C1568">
        <v>80</v>
      </c>
      <c r="D1568">
        <v>78.770195006999998</v>
      </c>
      <c r="E1568">
        <v>50</v>
      </c>
      <c r="F1568">
        <v>49.834663390999999</v>
      </c>
      <c r="G1568">
        <v>1356.9095459</v>
      </c>
      <c r="H1568">
        <v>1349.6203613</v>
      </c>
      <c r="I1568">
        <v>1314.3322754000001</v>
      </c>
      <c r="J1568">
        <v>1306.7945557</v>
      </c>
      <c r="K1568">
        <v>2400</v>
      </c>
      <c r="L1568">
        <v>0</v>
      </c>
      <c r="M1568">
        <v>0</v>
      </c>
      <c r="N1568">
        <v>2400</v>
      </c>
    </row>
    <row r="1569" spans="1:14" x14ac:dyDescent="0.25">
      <c r="A1569">
        <v>1097.477243</v>
      </c>
      <c r="B1569" s="1">
        <f>DATE(2013,5,2) + TIME(11,27,13)</f>
        <v>41396.477233796293</v>
      </c>
      <c r="C1569">
        <v>80</v>
      </c>
      <c r="D1569">
        <v>78.895721436000002</v>
      </c>
      <c r="E1569">
        <v>50</v>
      </c>
      <c r="F1569">
        <v>49.829109191999997</v>
      </c>
      <c r="G1569">
        <v>1356.8861084</v>
      </c>
      <c r="H1569">
        <v>1349.6082764</v>
      </c>
      <c r="I1569">
        <v>1314.3317870999999</v>
      </c>
      <c r="J1569">
        <v>1306.7938231999999</v>
      </c>
      <c r="K1569">
        <v>2400</v>
      </c>
      <c r="L1569">
        <v>0</v>
      </c>
      <c r="M1569">
        <v>0</v>
      </c>
      <c r="N1569">
        <v>2400</v>
      </c>
    </row>
    <row r="1570" spans="1:14" x14ac:dyDescent="0.25">
      <c r="A1570">
        <v>1097.5484389999999</v>
      </c>
      <c r="B1570" s="1">
        <f>DATE(2013,5,2) + TIME(13,9,45)</f>
        <v>41396.548437500001</v>
      </c>
      <c r="C1570">
        <v>80</v>
      </c>
      <c r="D1570">
        <v>79.013153075999995</v>
      </c>
      <c r="E1570">
        <v>50</v>
      </c>
      <c r="F1570">
        <v>49.823326111</v>
      </c>
      <c r="G1570">
        <v>1356.8626709</v>
      </c>
      <c r="H1570">
        <v>1349.5958252</v>
      </c>
      <c r="I1570">
        <v>1314.3312988</v>
      </c>
      <c r="J1570">
        <v>1306.7930908000001</v>
      </c>
      <c r="K1570">
        <v>2400</v>
      </c>
      <c r="L1570">
        <v>0</v>
      </c>
      <c r="M1570">
        <v>0</v>
      </c>
      <c r="N1570">
        <v>2400</v>
      </c>
    </row>
    <row r="1571" spans="1:14" x14ac:dyDescent="0.25">
      <c r="A1571">
        <v>1097.6233689999999</v>
      </c>
      <c r="B1571" s="1">
        <f>DATE(2013,5,2) + TIME(14,57,39)</f>
        <v>41396.623368055552</v>
      </c>
      <c r="C1571">
        <v>80</v>
      </c>
      <c r="D1571">
        <v>79.122467040999993</v>
      </c>
      <c r="E1571">
        <v>50</v>
      </c>
      <c r="F1571">
        <v>49.817298889</v>
      </c>
      <c r="G1571">
        <v>1356.8392334</v>
      </c>
      <c r="H1571">
        <v>1349.5830077999999</v>
      </c>
      <c r="I1571">
        <v>1314.3308105000001</v>
      </c>
      <c r="J1571">
        <v>1306.7922363</v>
      </c>
      <c r="K1571">
        <v>2400</v>
      </c>
      <c r="L1571">
        <v>0</v>
      </c>
      <c r="M1571">
        <v>0</v>
      </c>
      <c r="N1571">
        <v>2400</v>
      </c>
    </row>
    <row r="1572" spans="1:14" x14ac:dyDescent="0.25">
      <c r="A1572">
        <v>1097.7023790000001</v>
      </c>
      <c r="B1572" s="1">
        <f>DATE(2013,5,2) + TIME(16,51,25)</f>
        <v>41396.702372685184</v>
      </c>
      <c r="C1572">
        <v>80</v>
      </c>
      <c r="D1572">
        <v>79.223770142000006</v>
      </c>
      <c r="E1572">
        <v>50</v>
      </c>
      <c r="F1572">
        <v>49.811012267999999</v>
      </c>
      <c r="G1572">
        <v>1356.8157959</v>
      </c>
      <c r="H1572">
        <v>1349.5699463000001</v>
      </c>
      <c r="I1572">
        <v>1314.3302002</v>
      </c>
      <c r="J1572">
        <v>1306.7915039</v>
      </c>
      <c r="K1572">
        <v>2400</v>
      </c>
      <c r="L1572">
        <v>0</v>
      </c>
      <c r="M1572">
        <v>0</v>
      </c>
      <c r="N1572">
        <v>2400</v>
      </c>
    </row>
    <row r="1573" spans="1:14" x14ac:dyDescent="0.25">
      <c r="A1573">
        <v>1097.7858739999999</v>
      </c>
      <c r="B1573" s="1">
        <f>DATE(2013,5,2) + TIME(18,51,39)</f>
        <v>41396.785868055558</v>
      </c>
      <c r="C1573">
        <v>80</v>
      </c>
      <c r="D1573">
        <v>79.317222595000004</v>
      </c>
      <c r="E1573">
        <v>50</v>
      </c>
      <c r="F1573">
        <v>49.804435730000002</v>
      </c>
      <c r="G1573">
        <v>1356.7922363</v>
      </c>
      <c r="H1573">
        <v>1349.5562743999999</v>
      </c>
      <c r="I1573">
        <v>1314.3295897999999</v>
      </c>
      <c r="J1573">
        <v>1306.7905272999999</v>
      </c>
      <c r="K1573">
        <v>2400</v>
      </c>
      <c r="L1573">
        <v>0</v>
      </c>
      <c r="M1573">
        <v>0</v>
      </c>
      <c r="N1573">
        <v>2400</v>
      </c>
    </row>
    <row r="1574" spans="1:14" x14ac:dyDescent="0.25">
      <c r="A1574">
        <v>1097.874317</v>
      </c>
      <c r="B1574" s="1">
        <f>DATE(2013,5,2) + TIME(20,59,1)</f>
        <v>41396.87431712963</v>
      </c>
      <c r="C1574">
        <v>80</v>
      </c>
      <c r="D1574">
        <v>79.402984618999994</v>
      </c>
      <c r="E1574">
        <v>50</v>
      </c>
      <c r="F1574">
        <v>49.797546386999997</v>
      </c>
      <c r="G1574">
        <v>1356.7684326000001</v>
      </c>
      <c r="H1574">
        <v>1349.5422363</v>
      </c>
      <c r="I1574">
        <v>1314.3289795000001</v>
      </c>
      <c r="J1574">
        <v>1306.7896728999999</v>
      </c>
      <c r="K1574">
        <v>2400</v>
      </c>
      <c r="L1574">
        <v>0</v>
      </c>
      <c r="M1574">
        <v>0</v>
      </c>
      <c r="N1574">
        <v>2400</v>
      </c>
    </row>
    <row r="1575" spans="1:14" x14ac:dyDescent="0.25">
      <c r="A1575">
        <v>1097.9682700000001</v>
      </c>
      <c r="B1575" s="1">
        <f>DATE(2013,5,2) + TIME(23,14,18)</f>
        <v>41396.968263888892</v>
      </c>
      <c r="C1575">
        <v>80</v>
      </c>
      <c r="D1575">
        <v>79.481285095000004</v>
      </c>
      <c r="E1575">
        <v>50</v>
      </c>
      <c r="F1575">
        <v>49.790302277000002</v>
      </c>
      <c r="G1575">
        <v>1356.7441406</v>
      </c>
      <c r="H1575">
        <v>1349.5274658000001</v>
      </c>
      <c r="I1575">
        <v>1314.3282471</v>
      </c>
      <c r="J1575">
        <v>1306.7886963000001</v>
      </c>
      <c r="K1575">
        <v>2400</v>
      </c>
      <c r="L1575">
        <v>0</v>
      </c>
      <c r="M1575">
        <v>0</v>
      </c>
      <c r="N1575">
        <v>2400</v>
      </c>
    </row>
    <row r="1576" spans="1:14" x14ac:dyDescent="0.25">
      <c r="A1576">
        <v>1098.068389</v>
      </c>
      <c r="B1576" s="1">
        <f>DATE(2013,5,3) + TIME(1,38,28)</f>
        <v>41397.068379629629</v>
      </c>
      <c r="C1576">
        <v>80</v>
      </c>
      <c r="D1576">
        <v>79.552330017000003</v>
      </c>
      <c r="E1576">
        <v>50</v>
      </c>
      <c r="F1576">
        <v>49.782669067</v>
      </c>
      <c r="G1576">
        <v>1356.7193603999999</v>
      </c>
      <c r="H1576">
        <v>1349.512207</v>
      </c>
      <c r="I1576">
        <v>1314.3276367000001</v>
      </c>
      <c r="J1576">
        <v>1306.7875977000001</v>
      </c>
      <c r="K1576">
        <v>2400</v>
      </c>
      <c r="L1576">
        <v>0</v>
      </c>
      <c r="M1576">
        <v>0</v>
      </c>
      <c r="N1576">
        <v>2400</v>
      </c>
    </row>
    <row r="1577" spans="1:14" x14ac:dyDescent="0.25">
      <c r="A1577">
        <v>1098.172763</v>
      </c>
      <c r="B1577" s="1">
        <f>DATE(2013,5,3) + TIME(4,8,46)</f>
        <v>41397.172754629632</v>
      </c>
      <c r="C1577">
        <v>80</v>
      </c>
      <c r="D1577">
        <v>79.615013122999997</v>
      </c>
      <c r="E1577">
        <v>50</v>
      </c>
      <c r="F1577">
        <v>49.774776459000002</v>
      </c>
      <c r="G1577">
        <v>1356.6945800999999</v>
      </c>
      <c r="H1577">
        <v>1349.4964600000001</v>
      </c>
      <c r="I1577">
        <v>1314.3267822</v>
      </c>
      <c r="J1577">
        <v>1306.786499</v>
      </c>
      <c r="K1577">
        <v>2400</v>
      </c>
      <c r="L1577">
        <v>0</v>
      </c>
      <c r="M1577">
        <v>0</v>
      </c>
      <c r="N1577">
        <v>2400</v>
      </c>
    </row>
    <row r="1578" spans="1:14" x14ac:dyDescent="0.25">
      <c r="A1578">
        <v>1098.2782500000001</v>
      </c>
      <c r="B1578" s="1">
        <f>DATE(2013,5,3) + TIME(6,40,40)</f>
        <v>41397.278240740743</v>
      </c>
      <c r="C1578">
        <v>80</v>
      </c>
      <c r="D1578">
        <v>79.668563843000001</v>
      </c>
      <c r="E1578">
        <v>50</v>
      </c>
      <c r="F1578">
        <v>49.766838073999999</v>
      </c>
      <c r="G1578">
        <v>1356.6705322</v>
      </c>
      <c r="H1578">
        <v>1349.4808350000001</v>
      </c>
      <c r="I1578">
        <v>1314.3259277</v>
      </c>
      <c r="J1578">
        <v>1306.7854004000001</v>
      </c>
      <c r="K1578">
        <v>2400</v>
      </c>
      <c r="L1578">
        <v>0</v>
      </c>
      <c r="M1578">
        <v>0</v>
      </c>
      <c r="N1578">
        <v>2400</v>
      </c>
    </row>
    <row r="1579" spans="1:14" x14ac:dyDescent="0.25">
      <c r="A1579">
        <v>1098.3852300000001</v>
      </c>
      <c r="B1579" s="1">
        <f>DATE(2013,5,3) + TIME(9,14,43)</f>
        <v>41397.38521990741</v>
      </c>
      <c r="C1579">
        <v>80</v>
      </c>
      <c r="D1579">
        <v>79.714363098000007</v>
      </c>
      <c r="E1579">
        <v>50</v>
      </c>
      <c r="F1579">
        <v>49.758827209000003</v>
      </c>
      <c r="G1579">
        <v>1356.6466064000001</v>
      </c>
      <c r="H1579">
        <v>1349.4652100000001</v>
      </c>
      <c r="I1579">
        <v>1314.3251952999999</v>
      </c>
      <c r="J1579">
        <v>1306.7843018000001</v>
      </c>
      <c r="K1579">
        <v>2400</v>
      </c>
      <c r="L1579">
        <v>0</v>
      </c>
      <c r="M1579">
        <v>0</v>
      </c>
      <c r="N1579">
        <v>2400</v>
      </c>
    </row>
    <row r="1580" spans="1:14" x14ac:dyDescent="0.25">
      <c r="A1580">
        <v>1098.4939919999999</v>
      </c>
      <c r="B1580" s="1">
        <f>DATE(2013,5,3) + TIME(11,51,20)</f>
        <v>41397.493981481479</v>
      </c>
      <c r="C1580">
        <v>80</v>
      </c>
      <c r="D1580">
        <v>79.753540039000001</v>
      </c>
      <c r="E1580">
        <v>50</v>
      </c>
      <c r="F1580">
        <v>49.750728606999999</v>
      </c>
      <c r="G1580">
        <v>1356.6229248</v>
      </c>
      <c r="H1580">
        <v>1349.4494629000001</v>
      </c>
      <c r="I1580">
        <v>1314.3243408000001</v>
      </c>
      <c r="J1580">
        <v>1306.7830810999999</v>
      </c>
      <c r="K1580">
        <v>2400</v>
      </c>
      <c r="L1580">
        <v>0</v>
      </c>
      <c r="M1580">
        <v>0</v>
      </c>
      <c r="N1580">
        <v>2400</v>
      </c>
    </row>
    <row r="1581" spans="1:14" x14ac:dyDescent="0.25">
      <c r="A1581">
        <v>1098.6039929999999</v>
      </c>
      <c r="B1581" s="1">
        <f>DATE(2013,5,3) + TIME(14,29,44)</f>
        <v>41397.603981481479</v>
      </c>
      <c r="C1581">
        <v>80</v>
      </c>
      <c r="D1581">
        <v>79.786827087000006</v>
      </c>
      <c r="E1581">
        <v>50</v>
      </c>
      <c r="F1581">
        <v>49.742572783999996</v>
      </c>
      <c r="G1581">
        <v>1356.5994873</v>
      </c>
      <c r="H1581">
        <v>1349.4337158000001</v>
      </c>
      <c r="I1581">
        <v>1314.3234863</v>
      </c>
      <c r="J1581">
        <v>1306.7818603999999</v>
      </c>
      <c r="K1581">
        <v>2400</v>
      </c>
      <c r="L1581">
        <v>0</v>
      </c>
      <c r="M1581">
        <v>0</v>
      </c>
      <c r="N1581">
        <v>2400</v>
      </c>
    </row>
    <row r="1582" spans="1:14" x14ac:dyDescent="0.25">
      <c r="A1582">
        <v>1098.7153760000001</v>
      </c>
      <c r="B1582" s="1">
        <f>DATE(2013,5,3) + TIME(17,10,8)</f>
        <v>41397.715370370373</v>
      </c>
      <c r="C1582">
        <v>80</v>
      </c>
      <c r="D1582">
        <v>79.815101623999993</v>
      </c>
      <c r="E1582">
        <v>50</v>
      </c>
      <c r="F1582">
        <v>49.734352112000003</v>
      </c>
      <c r="G1582">
        <v>1356.5761719</v>
      </c>
      <c r="H1582">
        <v>1349.4178466999999</v>
      </c>
      <c r="I1582">
        <v>1314.3225098</v>
      </c>
      <c r="J1582">
        <v>1306.7807617000001</v>
      </c>
      <c r="K1582">
        <v>2400</v>
      </c>
      <c r="L1582">
        <v>0</v>
      </c>
      <c r="M1582">
        <v>0</v>
      </c>
      <c r="N1582">
        <v>2400</v>
      </c>
    </row>
    <row r="1583" spans="1:14" x14ac:dyDescent="0.25">
      <c r="A1583">
        <v>1098.828352</v>
      </c>
      <c r="B1583" s="1">
        <f>DATE(2013,5,3) + TIME(19,52,49)</f>
        <v>41397.828344907408</v>
      </c>
      <c r="C1583">
        <v>80</v>
      </c>
      <c r="D1583">
        <v>79.839103699000006</v>
      </c>
      <c r="E1583">
        <v>50</v>
      </c>
      <c r="F1583">
        <v>49.726055144999997</v>
      </c>
      <c r="G1583">
        <v>1356.5531006000001</v>
      </c>
      <c r="H1583">
        <v>1349.4020995999999</v>
      </c>
      <c r="I1583">
        <v>1314.3216553</v>
      </c>
      <c r="J1583">
        <v>1306.7795410000001</v>
      </c>
      <c r="K1583">
        <v>2400</v>
      </c>
      <c r="L1583">
        <v>0</v>
      </c>
      <c r="M1583">
        <v>0</v>
      </c>
      <c r="N1583">
        <v>2400</v>
      </c>
    </row>
    <row r="1584" spans="1:14" x14ac:dyDescent="0.25">
      <c r="A1584">
        <v>1098.943135</v>
      </c>
      <c r="B1584" s="1">
        <f>DATE(2013,5,3) + TIME(22,38,6)</f>
        <v>41397.943124999998</v>
      </c>
      <c r="C1584">
        <v>80</v>
      </c>
      <c r="D1584">
        <v>79.859474182</v>
      </c>
      <c r="E1584">
        <v>50</v>
      </c>
      <c r="F1584">
        <v>49.717662810999997</v>
      </c>
      <c r="G1584">
        <v>1356.5300293</v>
      </c>
      <c r="H1584">
        <v>1349.3862305</v>
      </c>
      <c r="I1584">
        <v>1314.3208007999999</v>
      </c>
      <c r="J1584">
        <v>1306.7783202999999</v>
      </c>
      <c r="K1584">
        <v>2400</v>
      </c>
      <c r="L1584">
        <v>0</v>
      </c>
      <c r="M1584">
        <v>0</v>
      </c>
      <c r="N1584">
        <v>2400</v>
      </c>
    </row>
    <row r="1585" spans="1:14" x14ac:dyDescent="0.25">
      <c r="A1585">
        <v>1099.0599440000001</v>
      </c>
      <c r="B1585" s="1">
        <f>DATE(2013,5,4) + TIME(1,26,19)</f>
        <v>41398.059942129628</v>
      </c>
      <c r="C1585">
        <v>80</v>
      </c>
      <c r="D1585">
        <v>79.876739502000007</v>
      </c>
      <c r="E1585">
        <v>50</v>
      </c>
      <c r="F1585">
        <v>49.709171294999997</v>
      </c>
      <c r="G1585">
        <v>1356.5069579999999</v>
      </c>
      <c r="H1585">
        <v>1349.3703613</v>
      </c>
      <c r="I1585">
        <v>1314.3198242000001</v>
      </c>
      <c r="J1585">
        <v>1306.7770995999999</v>
      </c>
      <c r="K1585">
        <v>2400</v>
      </c>
      <c r="L1585">
        <v>0</v>
      </c>
      <c r="M1585">
        <v>0</v>
      </c>
      <c r="N1585">
        <v>2400</v>
      </c>
    </row>
    <row r="1586" spans="1:14" x14ac:dyDescent="0.25">
      <c r="A1586">
        <v>1099.1790109999999</v>
      </c>
      <c r="B1586" s="1">
        <f>DATE(2013,5,4) + TIME(4,17,46)</f>
        <v>41398.17900462963</v>
      </c>
      <c r="C1586">
        <v>80</v>
      </c>
      <c r="D1586">
        <v>79.891357421999999</v>
      </c>
      <c r="E1586">
        <v>50</v>
      </c>
      <c r="F1586">
        <v>49.700553894000002</v>
      </c>
      <c r="G1586">
        <v>1356.4840088000001</v>
      </c>
      <c r="H1586">
        <v>1349.3544922000001</v>
      </c>
      <c r="I1586">
        <v>1314.3188477000001</v>
      </c>
      <c r="J1586">
        <v>1306.7757568</v>
      </c>
      <c r="K1586">
        <v>2400</v>
      </c>
      <c r="L1586">
        <v>0</v>
      </c>
      <c r="M1586">
        <v>0</v>
      </c>
      <c r="N1586">
        <v>2400</v>
      </c>
    </row>
    <row r="1587" spans="1:14" x14ac:dyDescent="0.25">
      <c r="A1587">
        <v>1099.300632</v>
      </c>
      <c r="B1587" s="1">
        <f>DATE(2013,5,4) + TIME(7,12,54)</f>
        <v>41398.300625000003</v>
      </c>
      <c r="C1587">
        <v>80</v>
      </c>
      <c r="D1587">
        <v>79.903732300000001</v>
      </c>
      <c r="E1587">
        <v>50</v>
      </c>
      <c r="F1587">
        <v>49.691802979000002</v>
      </c>
      <c r="G1587">
        <v>1356.4609375</v>
      </c>
      <c r="H1587">
        <v>1349.338501</v>
      </c>
      <c r="I1587">
        <v>1314.3179932</v>
      </c>
      <c r="J1587">
        <v>1306.7745361</v>
      </c>
      <c r="K1587">
        <v>2400</v>
      </c>
      <c r="L1587">
        <v>0</v>
      </c>
      <c r="M1587">
        <v>0</v>
      </c>
      <c r="N1587">
        <v>2400</v>
      </c>
    </row>
    <row r="1588" spans="1:14" x14ac:dyDescent="0.25">
      <c r="A1588">
        <v>1099.425013</v>
      </c>
      <c r="B1588" s="1">
        <f>DATE(2013,5,4) + TIME(10,12,1)</f>
        <v>41398.425011574072</v>
      </c>
      <c r="C1588">
        <v>80</v>
      </c>
      <c r="D1588">
        <v>79.914176940999994</v>
      </c>
      <c r="E1588">
        <v>50</v>
      </c>
      <c r="F1588">
        <v>49.68289566</v>
      </c>
      <c r="G1588">
        <v>1356.4378661999999</v>
      </c>
      <c r="H1588">
        <v>1349.3225098</v>
      </c>
      <c r="I1588">
        <v>1314.3170166</v>
      </c>
      <c r="J1588">
        <v>1306.7731934000001</v>
      </c>
      <c r="K1588">
        <v>2400</v>
      </c>
      <c r="L1588">
        <v>0</v>
      </c>
      <c r="M1588">
        <v>0</v>
      </c>
      <c r="N1588">
        <v>2400</v>
      </c>
    </row>
    <row r="1589" spans="1:14" x14ac:dyDescent="0.25">
      <c r="A1589">
        <v>1099.5524370000001</v>
      </c>
      <c r="B1589" s="1">
        <f>DATE(2013,5,4) + TIME(13,15,30)</f>
        <v>41398.552430555559</v>
      </c>
      <c r="C1589">
        <v>80</v>
      </c>
      <c r="D1589">
        <v>79.922981261999993</v>
      </c>
      <c r="E1589">
        <v>50</v>
      </c>
      <c r="F1589">
        <v>49.673824310000001</v>
      </c>
      <c r="G1589">
        <v>1356.4146728999999</v>
      </c>
      <c r="H1589">
        <v>1349.3062743999999</v>
      </c>
      <c r="I1589">
        <v>1314.315918</v>
      </c>
      <c r="J1589">
        <v>1306.7718506000001</v>
      </c>
      <c r="K1589">
        <v>2400</v>
      </c>
      <c r="L1589">
        <v>0</v>
      </c>
      <c r="M1589">
        <v>0</v>
      </c>
      <c r="N1589">
        <v>2400</v>
      </c>
    </row>
    <row r="1590" spans="1:14" x14ac:dyDescent="0.25">
      <c r="A1590">
        <v>1099.6828829999999</v>
      </c>
      <c r="B1590" s="1">
        <f>DATE(2013,5,4) + TIME(16,23,21)</f>
        <v>41398.682881944442</v>
      </c>
      <c r="C1590">
        <v>80</v>
      </c>
      <c r="D1590">
        <v>79.930366516000007</v>
      </c>
      <c r="E1590">
        <v>50</v>
      </c>
      <c r="F1590">
        <v>49.664585113999998</v>
      </c>
      <c r="G1590">
        <v>1356.3913574000001</v>
      </c>
      <c r="H1590">
        <v>1349.2901611</v>
      </c>
      <c r="I1590">
        <v>1314.3149414</v>
      </c>
      <c r="J1590">
        <v>1306.7703856999999</v>
      </c>
      <c r="K1590">
        <v>2400</v>
      </c>
      <c r="L1590">
        <v>0</v>
      </c>
      <c r="M1590">
        <v>0</v>
      </c>
      <c r="N1590">
        <v>2400</v>
      </c>
    </row>
    <row r="1591" spans="1:14" x14ac:dyDescent="0.25">
      <c r="A1591">
        <v>1099.81593</v>
      </c>
      <c r="B1591" s="1">
        <f>DATE(2013,5,4) + TIME(19,34,56)</f>
        <v>41398.815925925926</v>
      </c>
      <c r="C1591">
        <v>80</v>
      </c>
      <c r="D1591">
        <v>79.936531067000004</v>
      </c>
      <c r="E1591">
        <v>50</v>
      </c>
      <c r="F1591">
        <v>49.655204773000001</v>
      </c>
      <c r="G1591">
        <v>1356.3680420000001</v>
      </c>
      <c r="H1591">
        <v>1349.2739257999999</v>
      </c>
      <c r="I1591">
        <v>1314.3138428</v>
      </c>
      <c r="J1591">
        <v>1306.769043</v>
      </c>
      <c r="K1591">
        <v>2400</v>
      </c>
      <c r="L1591">
        <v>0</v>
      </c>
      <c r="M1591">
        <v>0</v>
      </c>
      <c r="N1591">
        <v>2400</v>
      </c>
    </row>
    <row r="1592" spans="1:14" x14ac:dyDescent="0.25">
      <c r="A1592">
        <v>1099.9518439999999</v>
      </c>
      <c r="B1592" s="1">
        <f>DATE(2013,5,4) + TIME(22,50,39)</f>
        <v>41398.951840277776</v>
      </c>
      <c r="C1592">
        <v>80</v>
      </c>
      <c r="D1592">
        <v>79.941658020000006</v>
      </c>
      <c r="E1592">
        <v>50</v>
      </c>
      <c r="F1592">
        <v>49.645668030000003</v>
      </c>
      <c r="G1592">
        <v>1356.3446045000001</v>
      </c>
      <c r="H1592">
        <v>1349.2575684000001</v>
      </c>
      <c r="I1592">
        <v>1314.3127440999999</v>
      </c>
      <c r="J1592">
        <v>1306.7675781</v>
      </c>
      <c r="K1592">
        <v>2400</v>
      </c>
      <c r="L1592">
        <v>0</v>
      </c>
      <c r="M1592">
        <v>0</v>
      </c>
      <c r="N1592">
        <v>2400</v>
      </c>
    </row>
    <row r="1593" spans="1:14" x14ac:dyDescent="0.25">
      <c r="A1593">
        <v>1100.0909300000001</v>
      </c>
      <c r="B1593" s="1">
        <f>DATE(2013,5,5) + TIME(2,10,56)</f>
        <v>41399.090925925928</v>
      </c>
      <c r="C1593">
        <v>80</v>
      </c>
      <c r="D1593">
        <v>79.945922851999995</v>
      </c>
      <c r="E1593">
        <v>50</v>
      </c>
      <c r="F1593">
        <v>49.635955811000002</v>
      </c>
      <c r="G1593">
        <v>1356.3211670000001</v>
      </c>
      <c r="H1593">
        <v>1349.2413329999999</v>
      </c>
      <c r="I1593">
        <v>1314.3116454999999</v>
      </c>
      <c r="J1593">
        <v>1306.7661132999999</v>
      </c>
      <c r="K1593">
        <v>2400</v>
      </c>
      <c r="L1593">
        <v>0</v>
      </c>
      <c r="M1593">
        <v>0</v>
      </c>
      <c r="N1593">
        <v>2400</v>
      </c>
    </row>
    <row r="1594" spans="1:14" x14ac:dyDescent="0.25">
      <c r="A1594">
        <v>1100.233432</v>
      </c>
      <c r="B1594" s="1">
        <f>DATE(2013,5,5) + TIME(5,36,8)</f>
        <v>41399.233425925922</v>
      </c>
      <c r="C1594">
        <v>80</v>
      </c>
      <c r="D1594">
        <v>79.949462890999996</v>
      </c>
      <c r="E1594">
        <v>50</v>
      </c>
      <c r="F1594">
        <v>49.626056671000001</v>
      </c>
      <c r="G1594">
        <v>1356.2977295000001</v>
      </c>
      <c r="H1594">
        <v>1349.2250977000001</v>
      </c>
      <c r="I1594">
        <v>1314.3105469</v>
      </c>
      <c r="J1594">
        <v>1306.7645264</v>
      </c>
      <c r="K1594">
        <v>2400</v>
      </c>
      <c r="L1594">
        <v>0</v>
      </c>
      <c r="M1594">
        <v>0</v>
      </c>
      <c r="N1594">
        <v>2400</v>
      </c>
    </row>
    <row r="1595" spans="1:14" x14ac:dyDescent="0.25">
      <c r="A1595">
        <v>1100.3796400000001</v>
      </c>
      <c r="B1595" s="1">
        <f>DATE(2013,5,5) + TIME(9,6,40)</f>
        <v>41399.379629629628</v>
      </c>
      <c r="C1595">
        <v>80</v>
      </c>
      <c r="D1595">
        <v>79.952400208</v>
      </c>
      <c r="E1595">
        <v>50</v>
      </c>
      <c r="F1595">
        <v>49.615955352999997</v>
      </c>
      <c r="G1595">
        <v>1356.2741699000001</v>
      </c>
      <c r="H1595">
        <v>1349.2087402</v>
      </c>
      <c r="I1595">
        <v>1314.3093262</v>
      </c>
      <c r="J1595">
        <v>1306.7630615</v>
      </c>
      <c r="K1595">
        <v>2400</v>
      </c>
      <c r="L1595">
        <v>0</v>
      </c>
      <c r="M1595">
        <v>0</v>
      </c>
      <c r="N1595">
        <v>2400</v>
      </c>
    </row>
    <row r="1596" spans="1:14" x14ac:dyDescent="0.25">
      <c r="A1596">
        <v>1100.529882</v>
      </c>
      <c r="B1596" s="1">
        <f>DATE(2013,5,5) + TIME(12,43,1)</f>
        <v>41399.529872685183</v>
      </c>
      <c r="C1596">
        <v>80</v>
      </c>
      <c r="D1596">
        <v>79.954818725999999</v>
      </c>
      <c r="E1596">
        <v>50</v>
      </c>
      <c r="F1596">
        <v>49.605625152999998</v>
      </c>
      <c r="G1596">
        <v>1356.2504882999999</v>
      </c>
      <c r="H1596">
        <v>1349.1922606999999</v>
      </c>
      <c r="I1596">
        <v>1314.3081055</v>
      </c>
      <c r="J1596">
        <v>1306.7613524999999</v>
      </c>
      <c r="K1596">
        <v>2400</v>
      </c>
      <c r="L1596">
        <v>0</v>
      </c>
      <c r="M1596">
        <v>0</v>
      </c>
      <c r="N1596">
        <v>2400</v>
      </c>
    </row>
    <row r="1597" spans="1:14" x14ac:dyDescent="0.25">
      <c r="A1597">
        <v>1100.6845189999999</v>
      </c>
      <c r="B1597" s="1">
        <f>DATE(2013,5,5) + TIME(16,25,42)</f>
        <v>41399.684513888889</v>
      </c>
      <c r="C1597">
        <v>80</v>
      </c>
      <c r="D1597">
        <v>79.956817627000007</v>
      </c>
      <c r="E1597">
        <v>50</v>
      </c>
      <c r="F1597">
        <v>49.595054626</v>
      </c>
      <c r="G1597">
        <v>1356.2266846</v>
      </c>
      <c r="H1597">
        <v>1349.1757812000001</v>
      </c>
      <c r="I1597">
        <v>1314.3068848</v>
      </c>
      <c r="J1597">
        <v>1306.7597656</v>
      </c>
      <c r="K1597">
        <v>2400</v>
      </c>
      <c r="L1597">
        <v>0</v>
      </c>
      <c r="M1597">
        <v>0</v>
      </c>
      <c r="N1597">
        <v>2400</v>
      </c>
    </row>
    <row r="1598" spans="1:14" x14ac:dyDescent="0.25">
      <c r="A1598">
        <v>1100.843948</v>
      </c>
      <c r="B1598" s="1">
        <f>DATE(2013,5,5) + TIME(20,15,17)</f>
        <v>41399.843946759262</v>
      </c>
      <c r="C1598">
        <v>80</v>
      </c>
      <c r="D1598">
        <v>79.958465575999995</v>
      </c>
      <c r="E1598">
        <v>50</v>
      </c>
      <c r="F1598">
        <v>49.584213257000002</v>
      </c>
      <c r="G1598">
        <v>1356.2026367000001</v>
      </c>
      <c r="H1598">
        <v>1349.1591797000001</v>
      </c>
      <c r="I1598">
        <v>1314.3056641000001</v>
      </c>
      <c r="J1598">
        <v>1306.7580565999999</v>
      </c>
      <c r="K1598">
        <v>2400</v>
      </c>
      <c r="L1598">
        <v>0</v>
      </c>
      <c r="M1598">
        <v>0</v>
      </c>
      <c r="N1598">
        <v>2400</v>
      </c>
    </row>
    <row r="1599" spans="1:14" x14ac:dyDescent="0.25">
      <c r="A1599">
        <v>1101.0086080000001</v>
      </c>
      <c r="B1599" s="1">
        <f>DATE(2013,5,6) + TIME(0,12,23)</f>
        <v>41400.008599537039</v>
      </c>
      <c r="C1599">
        <v>80</v>
      </c>
      <c r="D1599">
        <v>79.959808350000003</v>
      </c>
      <c r="E1599">
        <v>50</v>
      </c>
      <c r="F1599">
        <v>49.573085785000004</v>
      </c>
      <c r="G1599">
        <v>1356.1784668</v>
      </c>
      <c r="H1599">
        <v>1349.1425781</v>
      </c>
      <c r="I1599">
        <v>1314.3043213000001</v>
      </c>
      <c r="J1599">
        <v>1306.7563477000001</v>
      </c>
      <c r="K1599">
        <v>2400</v>
      </c>
      <c r="L1599">
        <v>0</v>
      </c>
      <c r="M1599">
        <v>0</v>
      </c>
      <c r="N1599">
        <v>2400</v>
      </c>
    </row>
    <row r="1600" spans="1:14" x14ac:dyDescent="0.25">
      <c r="A1600">
        <v>1101.178993</v>
      </c>
      <c r="B1600" s="1">
        <f>DATE(2013,5,6) + TIME(4,17,44)</f>
        <v>41400.178981481484</v>
      </c>
      <c r="C1600">
        <v>80</v>
      </c>
      <c r="D1600">
        <v>79.960914611999996</v>
      </c>
      <c r="E1600">
        <v>50</v>
      </c>
      <c r="F1600">
        <v>49.561634064000003</v>
      </c>
      <c r="G1600">
        <v>1356.1540527</v>
      </c>
      <c r="H1600">
        <v>1349.1257324000001</v>
      </c>
      <c r="I1600">
        <v>1314.3028564000001</v>
      </c>
      <c r="J1600">
        <v>1306.7545166</v>
      </c>
      <c r="K1600">
        <v>2400</v>
      </c>
      <c r="L1600">
        <v>0</v>
      </c>
      <c r="M1600">
        <v>0</v>
      </c>
      <c r="N1600">
        <v>2400</v>
      </c>
    </row>
    <row r="1601" spans="1:14" x14ac:dyDescent="0.25">
      <c r="A1601">
        <v>1101.35565</v>
      </c>
      <c r="B1601" s="1">
        <f>DATE(2013,5,6) + TIME(8,32,8)</f>
        <v>41400.35564814815</v>
      </c>
      <c r="C1601">
        <v>80</v>
      </c>
      <c r="D1601">
        <v>79.961814880000006</v>
      </c>
      <c r="E1601">
        <v>50</v>
      </c>
      <c r="F1601">
        <v>49.549835205000001</v>
      </c>
      <c r="G1601">
        <v>1356.1292725000001</v>
      </c>
      <c r="H1601">
        <v>1349.1087646000001</v>
      </c>
      <c r="I1601">
        <v>1314.3015137</v>
      </c>
      <c r="J1601">
        <v>1306.7526855000001</v>
      </c>
      <c r="K1601">
        <v>2400</v>
      </c>
      <c r="L1601">
        <v>0</v>
      </c>
      <c r="M1601">
        <v>0</v>
      </c>
      <c r="N1601">
        <v>2400</v>
      </c>
    </row>
    <row r="1602" spans="1:14" x14ac:dyDescent="0.25">
      <c r="A1602">
        <v>1101.539203</v>
      </c>
      <c r="B1602" s="1">
        <f>DATE(2013,5,6) + TIME(12,56,27)</f>
        <v>41400.539201388892</v>
      </c>
      <c r="C1602">
        <v>80</v>
      </c>
      <c r="D1602">
        <v>79.962547302000004</v>
      </c>
      <c r="E1602">
        <v>50</v>
      </c>
      <c r="F1602">
        <v>49.537654877000001</v>
      </c>
      <c r="G1602">
        <v>1356.1042480000001</v>
      </c>
      <c r="H1602">
        <v>1349.0915527</v>
      </c>
      <c r="I1602">
        <v>1314.3000488</v>
      </c>
      <c r="J1602">
        <v>1306.7507324000001</v>
      </c>
      <c r="K1602">
        <v>2400</v>
      </c>
      <c r="L1602">
        <v>0</v>
      </c>
      <c r="M1602">
        <v>0</v>
      </c>
      <c r="N1602">
        <v>2400</v>
      </c>
    </row>
    <row r="1603" spans="1:14" x14ac:dyDescent="0.25">
      <c r="A1603">
        <v>1101.729525</v>
      </c>
      <c r="B1603" s="1">
        <f>DATE(2013,5,6) + TIME(17,30,30)</f>
        <v>41400.729513888888</v>
      </c>
      <c r="C1603">
        <v>80</v>
      </c>
      <c r="D1603">
        <v>79.963142395000006</v>
      </c>
      <c r="E1603">
        <v>50</v>
      </c>
      <c r="F1603">
        <v>49.525096892999997</v>
      </c>
      <c r="G1603">
        <v>1356.0788574000001</v>
      </c>
      <c r="H1603">
        <v>1349.0742187999999</v>
      </c>
      <c r="I1603">
        <v>1314.2984618999999</v>
      </c>
      <c r="J1603">
        <v>1306.7486572</v>
      </c>
      <c r="K1603">
        <v>2400</v>
      </c>
      <c r="L1603">
        <v>0</v>
      </c>
      <c r="M1603">
        <v>0</v>
      </c>
      <c r="N1603">
        <v>2400</v>
      </c>
    </row>
    <row r="1604" spans="1:14" x14ac:dyDescent="0.25">
      <c r="A1604">
        <v>1101.925479</v>
      </c>
      <c r="B1604" s="1">
        <f>DATE(2013,5,6) + TIME(22,12,41)</f>
        <v>41400.925474537034</v>
      </c>
      <c r="C1604">
        <v>80</v>
      </c>
      <c r="D1604">
        <v>79.963615417</v>
      </c>
      <c r="E1604">
        <v>50</v>
      </c>
      <c r="F1604">
        <v>49.512222289999997</v>
      </c>
      <c r="G1604">
        <v>1356.0532227000001</v>
      </c>
      <c r="H1604">
        <v>1349.0566406</v>
      </c>
      <c r="I1604">
        <v>1314.296875</v>
      </c>
      <c r="J1604">
        <v>1306.746582</v>
      </c>
      <c r="K1604">
        <v>2400</v>
      </c>
      <c r="L1604">
        <v>0</v>
      </c>
      <c r="M1604">
        <v>0</v>
      </c>
      <c r="N1604">
        <v>2400</v>
      </c>
    </row>
    <row r="1605" spans="1:14" x14ac:dyDescent="0.25">
      <c r="A1605">
        <v>1102.1276130000001</v>
      </c>
      <c r="B1605" s="1">
        <f>DATE(2013,5,7) + TIME(3,3,45)</f>
        <v>41401.127604166664</v>
      </c>
      <c r="C1605">
        <v>80</v>
      </c>
      <c r="D1605">
        <v>79.963996886999993</v>
      </c>
      <c r="E1605">
        <v>50</v>
      </c>
      <c r="F1605">
        <v>49.499004364000001</v>
      </c>
      <c r="G1605">
        <v>1356.0273437999999</v>
      </c>
      <c r="H1605">
        <v>1349.0390625</v>
      </c>
      <c r="I1605">
        <v>1314.2951660000001</v>
      </c>
      <c r="J1605">
        <v>1306.7443848</v>
      </c>
      <c r="K1605">
        <v>2400</v>
      </c>
      <c r="L1605">
        <v>0</v>
      </c>
      <c r="M1605">
        <v>0</v>
      </c>
      <c r="N1605">
        <v>2400</v>
      </c>
    </row>
    <row r="1606" spans="1:14" x14ac:dyDescent="0.25">
      <c r="A1606">
        <v>1102.336472</v>
      </c>
      <c r="B1606" s="1">
        <f>DATE(2013,5,7) + TIME(8,4,31)</f>
        <v>41401.336469907408</v>
      </c>
      <c r="C1606">
        <v>80</v>
      </c>
      <c r="D1606">
        <v>79.964302063000005</v>
      </c>
      <c r="E1606">
        <v>50</v>
      </c>
      <c r="F1606">
        <v>49.485416411999999</v>
      </c>
      <c r="G1606">
        <v>1356.0014647999999</v>
      </c>
      <c r="H1606">
        <v>1349.0214844</v>
      </c>
      <c r="I1606">
        <v>1314.293457</v>
      </c>
      <c r="J1606">
        <v>1306.7421875</v>
      </c>
      <c r="K1606">
        <v>2400</v>
      </c>
      <c r="L1606">
        <v>0</v>
      </c>
      <c r="M1606">
        <v>0</v>
      </c>
      <c r="N1606">
        <v>2400</v>
      </c>
    </row>
    <row r="1607" spans="1:14" x14ac:dyDescent="0.25">
      <c r="A1607">
        <v>1102.5526629999999</v>
      </c>
      <c r="B1607" s="1">
        <f>DATE(2013,5,7) + TIME(13,15,50)</f>
        <v>41401.552662037036</v>
      </c>
      <c r="C1607">
        <v>80</v>
      </c>
      <c r="D1607">
        <v>79.964538574000002</v>
      </c>
      <c r="E1607">
        <v>50</v>
      </c>
      <c r="F1607">
        <v>49.471427917</v>
      </c>
      <c r="G1607">
        <v>1355.9752197</v>
      </c>
      <c r="H1607">
        <v>1349.0037841999999</v>
      </c>
      <c r="I1607">
        <v>1314.2917480000001</v>
      </c>
      <c r="J1607">
        <v>1306.7398682</v>
      </c>
      <c r="K1607">
        <v>2400</v>
      </c>
      <c r="L1607">
        <v>0</v>
      </c>
      <c r="M1607">
        <v>0</v>
      </c>
      <c r="N1607">
        <v>2400</v>
      </c>
    </row>
    <row r="1608" spans="1:14" x14ac:dyDescent="0.25">
      <c r="A1608">
        <v>1102.7733820000001</v>
      </c>
      <c r="B1608" s="1">
        <f>DATE(2013,5,7) + TIME(18,33,40)</f>
        <v>41401.773379629631</v>
      </c>
      <c r="C1608">
        <v>80</v>
      </c>
      <c r="D1608">
        <v>79.964729309000006</v>
      </c>
      <c r="E1608">
        <v>50</v>
      </c>
      <c r="F1608">
        <v>49.457180022999999</v>
      </c>
      <c r="G1608">
        <v>1355.9488524999999</v>
      </c>
      <c r="H1608">
        <v>1348.9859618999999</v>
      </c>
      <c r="I1608">
        <v>1314.2899170000001</v>
      </c>
      <c r="J1608">
        <v>1306.7374268000001</v>
      </c>
      <c r="K1608">
        <v>2400</v>
      </c>
      <c r="L1608">
        <v>0</v>
      </c>
      <c r="M1608">
        <v>0</v>
      </c>
      <c r="N1608">
        <v>2400</v>
      </c>
    </row>
    <row r="1609" spans="1:14" x14ac:dyDescent="0.25">
      <c r="A1609">
        <v>1102.9960659999999</v>
      </c>
      <c r="B1609" s="1">
        <f>DATE(2013,5,7) + TIME(23,54,20)</f>
        <v>41401.996064814812</v>
      </c>
      <c r="C1609">
        <v>80</v>
      </c>
      <c r="D1609">
        <v>79.964874268000003</v>
      </c>
      <c r="E1609">
        <v>50</v>
      </c>
      <c r="F1609">
        <v>49.442817687999998</v>
      </c>
      <c r="G1609">
        <v>1355.9226074000001</v>
      </c>
      <c r="H1609">
        <v>1348.9682617000001</v>
      </c>
      <c r="I1609">
        <v>1314.2879639</v>
      </c>
      <c r="J1609">
        <v>1306.7349853999999</v>
      </c>
      <c r="K1609">
        <v>2400</v>
      </c>
      <c r="L1609">
        <v>0</v>
      </c>
      <c r="M1609">
        <v>0</v>
      </c>
      <c r="N1609">
        <v>2400</v>
      </c>
    </row>
    <row r="1610" spans="1:14" x14ac:dyDescent="0.25">
      <c r="A1610">
        <v>1103.2212689999999</v>
      </c>
      <c r="B1610" s="1">
        <f>DATE(2013,5,8) + TIME(5,18,37)</f>
        <v>41402.221261574072</v>
      </c>
      <c r="C1610">
        <v>80</v>
      </c>
      <c r="D1610">
        <v>79.964988708000007</v>
      </c>
      <c r="E1610">
        <v>50</v>
      </c>
      <c r="F1610">
        <v>49.428318023999999</v>
      </c>
      <c r="G1610">
        <v>1355.8967285000001</v>
      </c>
      <c r="H1610">
        <v>1348.9508057</v>
      </c>
      <c r="I1610">
        <v>1314.2861327999999</v>
      </c>
      <c r="J1610">
        <v>1306.7325439000001</v>
      </c>
      <c r="K1610">
        <v>2400</v>
      </c>
      <c r="L1610">
        <v>0</v>
      </c>
      <c r="M1610">
        <v>0</v>
      </c>
      <c r="N1610">
        <v>2400</v>
      </c>
    </row>
    <row r="1611" spans="1:14" x14ac:dyDescent="0.25">
      <c r="A1611">
        <v>1103.4495260000001</v>
      </c>
      <c r="B1611" s="1">
        <f>DATE(2013,5,8) + TIME(10,47,19)</f>
        <v>41402.449525462966</v>
      </c>
      <c r="C1611">
        <v>80</v>
      </c>
      <c r="D1611">
        <v>79.965080260999997</v>
      </c>
      <c r="E1611">
        <v>50</v>
      </c>
      <c r="F1611">
        <v>49.413661957000002</v>
      </c>
      <c r="G1611">
        <v>1355.8712158000001</v>
      </c>
      <c r="H1611">
        <v>1348.9337158000001</v>
      </c>
      <c r="I1611">
        <v>1314.2841797000001</v>
      </c>
      <c r="J1611">
        <v>1306.7299805</v>
      </c>
      <c r="K1611">
        <v>2400</v>
      </c>
      <c r="L1611">
        <v>0</v>
      </c>
      <c r="M1611">
        <v>0</v>
      </c>
      <c r="N1611">
        <v>2400</v>
      </c>
    </row>
    <row r="1612" spans="1:14" x14ac:dyDescent="0.25">
      <c r="A1612">
        <v>1103.681286</v>
      </c>
      <c r="B1612" s="1">
        <f>DATE(2013,5,8) + TIME(16,21,3)</f>
        <v>41402.681284722225</v>
      </c>
      <c r="C1612">
        <v>80</v>
      </c>
      <c r="D1612">
        <v>79.965141295999999</v>
      </c>
      <c r="E1612">
        <v>50</v>
      </c>
      <c r="F1612">
        <v>49.398838042999998</v>
      </c>
      <c r="G1612">
        <v>1355.8460693</v>
      </c>
      <c r="H1612">
        <v>1348.9168701000001</v>
      </c>
      <c r="I1612">
        <v>1314.2822266000001</v>
      </c>
      <c r="J1612">
        <v>1306.7274170000001</v>
      </c>
      <c r="K1612">
        <v>2400</v>
      </c>
      <c r="L1612">
        <v>0</v>
      </c>
      <c r="M1612">
        <v>0</v>
      </c>
      <c r="N1612">
        <v>2400</v>
      </c>
    </row>
    <row r="1613" spans="1:14" x14ac:dyDescent="0.25">
      <c r="A1613">
        <v>1103.917083</v>
      </c>
      <c r="B1613" s="1">
        <f>DATE(2013,5,8) + TIME(22,0,35)</f>
        <v>41402.917071759257</v>
      </c>
      <c r="C1613">
        <v>80</v>
      </c>
      <c r="D1613">
        <v>79.965194702000005</v>
      </c>
      <c r="E1613">
        <v>50</v>
      </c>
      <c r="F1613">
        <v>49.383815765000001</v>
      </c>
      <c r="G1613">
        <v>1355.8210449000001</v>
      </c>
      <c r="H1613">
        <v>1348.9001464999999</v>
      </c>
      <c r="I1613">
        <v>1314.2801514</v>
      </c>
      <c r="J1613">
        <v>1306.7248535000001</v>
      </c>
      <c r="K1613">
        <v>2400</v>
      </c>
      <c r="L1613">
        <v>0</v>
      </c>
      <c r="M1613">
        <v>0</v>
      </c>
      <c r="N1613">
        <v>2400</v>
      </c>
    </row>
    <row r="1614" spans="1:14" x14ac:dyDescent="0.25">
      <c r="A1614">
        <v>1104.1574760000001</v>
      </c>
      <c r="B1614" s="1">
        <f>DATE(2013,5,9) + TIME(3,46,45)</f>
        <v>41403.157465277778</v>
      </c>
      <c r="C1614">
        <v>80</v>
      </c>
      <c r="D1614">
        <v>79.965225219999994</v>
      </c>
      <c r="E1614">
        <v>50</v>
      </c>
      <c r="F1614">
        <v>49.368576050000001</v>
      </c>
      <c r="G1614">
        <v>1355.7961425999999</v>
      </c>
      <c r="H1614">
        <v>1348.8835449000001</v>
      </c>
      <c r="I1614">
        <v>1314.2781981999999</v>
      </c>
      <c r="J1614">
        <v>1306.722168</v>
      </c>
      <c r="K1614">
        <v>2400</v>
      </c>
      <c r="L1614">
        <v>0</v>
      </c>
      <c r="M1614">
        <v>0</v>
      </c>
      <c r="N1614">
        <v>2400</v>
      </c>
    </row>
    <row r="1615" spans="1:14" x14ac:dyDescent="0.25">
      <c r="A1615">
        <v>1104.4002840000001</v>
      </c>
      <c r="B1615" s="1">
        <f>DATE(2013,5,9) + TIME(9,36,24)</f>
        <v>41403.400277777779</v>
      </c>
      <c r="C1615">
        <v>80</v>
      </c>
      <c r="D1615">
        <v>79.965255737000007</v>
      </c>
      <c r="E1615">
        <v>50</v>
      </c>
      <c r="F1615">
        <v>49.353225707999997</v>
      </c>
      <c r="G1615">
        <v>1355.7714844</v>
      </c>
      <c r="H1615">
        <v>1348.8670654</v>
      </c>
      <c r="I1615">
        <v>1314.276001</v>
      </c>
      <c r="J1615">
        <v>1306.7194824000001</v>
      </c>
      <c r="K1615">
        <v>2400</v>
      </c>
      <c r="L1615">
        <v>0</v>
      </c>
      <c r="M1615">
        <v>0</v>
      </c>
      <c r="N1615">
        <v>2400</v>
      </c>
    </row>
    <row r="1616" spans="1:14" x14ac:dyDescent="0.25">
      <c r="A1616">
        <v>1104.6458809999999</v>
      </c>
      <c r="B1616" s="1">
        <f>DATE(2013,5,9) + TIME(15,30,4)</f>
        <v>41403.645879629628</v>
      </c>
      <c r="C1616">
        <v>80</v>
      </c>
      <c r="D1616">
        <v>79.965270996000001</v>
      </c>
      <c r="E1616">
        <v>50</v>
      </c>
      <c r="F1616">
        <v>49.337753296000002</v>
      </c>
      <c r="G1616">
        <v>1355.7470702999999</v>
      </c>
      <c r="H1616">
        <v>1348.8509521000001</v>
      </c>
      <c r="I1616">
        <v>1314.2739257999999</v>
      </c>
      <c r="J1616">
        <v>1306.7166748</v>
      </c>
      <c r="K1616">
        <v>2400</v>
      </c>
      <c r="L1616">
        <v>0</v>
      </c>
      <c r="M1616">
        <v>0</v>
      </c>
      <c r="N1616">
        <v>2400</v>
      </c>
    </row>
    <row r="1617" spans="1:14" x14ac:dyDescent="0.25">
      <c r="A1617">
        <v>1104.894726</v>
      </c>
      <c r="B1617" s="1">
        <f>DATE(2013,5,9) + TIME(21,28,24)</f>
        <v>41403.89472222222</v>
      </c>
      <c r="C1617">
        <v>80</v>
      </c>
      <c r="D1617">
        <v>79.965278624999996</v>
      </c>
      <c r="E1617">
        <v>50</v>
      </c>
      <c r="F1617">
        <v>49.322135924999998</v>
      </c>
      <c r="G1617">
        <v>1355.7229004000001</v>
      </c>
      <c r="H1617">
        <v>1348.8349608999999</v>
      </c>
      <c r="I1617">
        <v>1314.2718506000001</v>
      </c>
      <c r="J1617">
        <v>1306.7139893000001</v>
      </c>
      <c r="K1617">
        <v>2400</v>
      </c>
      <c r="L1617">
        <v>0</v>
      </c>
      <c r="M1617">
        <v>0</v>
      </c>
      <c r="N1617">
        <v>2400</v>
      </c>
    </row>
    <row r="1618" spans="1:14" x14ac:dyDescent="0.25">
      <c r="A1618">
        <v>1105.1473880000001</v>
      </c>
      <c r="B1618" s="1">
        <f>DATE(2013,5,10) + TIME(3,32,14)</f>
        <v>41404.14738425926</v>
      </c>
      <c r="C1618">
        <v>80</v>
      </c>
      <c r="D1618">
        <v>79.965278624999996</v>
      </c>
      <c r="E1618">
        <v>50</v>
      </c>
      <c r="F1618">
        <v>49.306354523000003</v>
      </c>
      <c r="G1618">
        <v>1355.6990966999999</v>
      </c>
      <c r="H1618">
        <v>1348.8192139</v>
      </c>
      <c r="I1618">
        <v>1314.2696533000001</v>
      </c>
      <c r="J1618">
        <v>1306.7110596</v>
      </c>
      <c r="K1618">
        <v>2400</v>
      </c>
      <c r="L1618">
        <v>0</v>
      </c>
      <c r="M1618">
        <v>0</v>
      </c>
      <c r="N1618">
        <v>2400</v>
      </c>
    </row>
    <row r="1619" spans="1:14" x14ac:dyDescent="0.25">
      <c r="A1619">
        <v>1105.404299</v>
      </c>
      <c r="B1619" s="1">
        <f>DATE(2013,5,10) + TIME(9,42,11)</f>
        <v>41404.404293981483</v>
      </c>
      <c r="C1619">
        <v>80</v>
      </c>
      <c r="D1619">
        <v>79.965278624999996</v>
      </c>
      <c r="E1619">
        <v>50</v>
      </c>
      <c r="F1619">
        <v>49.2903862</v>
      </c>
      <c r="G1619">
        <v>1355.6754149999999</v>
      </c>
      <c r="H1619">
        <v>1348.8034668</v>
      </c>
      <c r="I1619">
        <v>1314.2674560999999</v>
      </c>
      <c r="J1619">
        <v>1306.7082519999999</v>
      </c>
      <c r="K1619">
        <v>2400</v>
      </c>
      <c r="L1619">
        <v>0</v>
      </c>
      <c r="M1619">
        <v>0</v>
      </c>
      <c r="N1619">
        <v>2400</v>
      </c>
    </row>
    <row r="1620" spans="1:14" x14ac:dyDescent="0.25">
      <c r="A1620">
        <v>1105.6659669999999</v>
      </c>
      <c r="B1620" s="1">
        <f>DATE(2013,5,10) + TIME(15,58,59)</f>
        <v>41404.665960648148</v>
      </c>
      <c r="C1620">
        <v>80</v>
      </c>
      <c r="D1620">
        <v>79.965263367000006</v>
      </c>
      <c r="E1620">
        <v>50</v>
      </c>
      <c r="F1620">
        <v>49.274211884000003</v>
      </c>
      <c r="G1620">
        <v>1355.6518555</v>
      </c>
      <c r="H1620">
        <v>1348.7879639</v>
      </c>
      <c r="I1620">
        <v>1314.2651367000001</v>
      </c>
      <c r="J1620">
        <v>1306.7053223</v>
      </c>
      <c r="K1620">
        <v>2400</v>
      </c>
      <c r="L1620">
        <v>0</v>
      </c>
      <c r="M1620">
        <v>0</v>
      </c>
      <c r="N1620">
        <v>2400</v>
      </c>
    </row>
    <row r="1621" spans="1:14" x14ac:dyDescent="0.25">
      <c r="A1621">
        <v>1105.932959</v>
      </c>
      <c r="B1621" s="1">
        <f>DATE(2013,5,10) + TIME(22,23,27)</f>
        <v>41404.932951388888</v>
      </c>
      <c r="C1621">
        <v>80</v>
      </c>
      <c r="D1621">
        <v>79.965255737000007</v>
      </c>
      <c r="E1621">
        <v>50</v>
      </c>
      <c r="F1621">
        <v>49.257793427000003</v>
      </c>
      <c r="G1621">
        <v>1355.6282959</v>
      </c>
      <c r="H1621">
        <v>1348.7725829999999</v>
      </c>
      <c r="I1621">
        <v>1314.2628173999999</v>
      </c>
      <c r="J1621">
        <v>1306.7022704999999</v>
      </c>
      <c r="K1621">
        <v>2400</v>
      </c>
      <c r="L1621">
        <v>0</v>
      </c>
      <c r="M1621">
        <v>0</v>
      </c>
      <c r="N1621">
        <v>2400</v>
      </c>
    </row>
    <row r="1622" spans="1:14" x14ac:dyDescent="0.25">
      <c r="A1622">
        <v>1106.2058790000001</v>
      </c>
      <c r="B1622" s="1">
        <f>DATE(2013,5,11) + TIME(4,56,27)</f>
        <v>41405.205868055556</v>
      </c>
      <c r="C1622">
        <v>80</v>
      </c>
      <c r="D1622">
        <v>79.965240479000002</v>
      </c>
      <c r="E1622">
        <v>50</v>
      </c>
      <c r="F1622">
        <v>49.241111754999999</v>
      </c>
      <c r="G1622">
        <v>1355.6048584</v>
      </c>
      <c r="H1622">
        <v>1348.7572021000001</v>
      </c>
      <c r="I1622">
        <v>1314.2604980000001</v>
      </c>
      <c r="J1622">
        <v>1306.6992187999999</v>
      </c>
      <c r="K1622">
        <v>2400</v>
      </c>
      <c r="L1622">
        <v>0</v>
      </c>
      <c r="M1622">
        <v>0</v>
      </c>
      <c r="N1622">
        <v>2400</v>
      </c>
    </row>
    <row r="1623" spans="1:14" x14ac:dyDescent="0.25">
      <c r="A1623">
        <v>1106.485383</v>
      </c>
      <c r="B1623" s="1">
        <f>DATE(2013,5,11) + TIME(11,38,57)</f>
        <v>41405.485381944447</v>
      </c>
      <c r="C1623">
        <v>80</v>
      </c>
      <c r="D1623">
        <v>79.965225219999994</v>
      </c>
      <c r="E1623">
        <v>50</v>
      </c>
      <c r="F1623">
        <v>49.224132537999999</v>
      </c>
      <c r="G1623">
        <v>1355.5814209</v>
      </c>
      <c r="H1623">
        <v>1348.7418213000001</v>
      </c>
      <c r="I1623">
        <v>1314.2581786999999</v>
      </c>
      <c r="J1623">
        <v>1306.6961670000001</v>
      </c>
      <c r="K1623">
        <v>2400</v>
      </c>
      <c r="L1623">
        <v>0</v>
      </c>
      <c r="M1623">
        <v>0</v>
      </c>
      <c r="N1623">
        <v>2400</v>
      </c>
    </row>
    <row r="1624" spans="1:14" x14ac:dyDescent="0.25">
      <c r="A1624">
        <v>1106.772197</v>
      </c>
      <c r="B1624" s="1">
        <f>DATE(2013,5,11) + TIME(18,31,57)</f>
        <v>41405.772187499999</v>
      </c>
      <c r="C1624">
        <v>80</v>
      </c>
      <c r="D1624">
        <v>79.965202332000004</v>
      </c>
      <c r="E1624">
        <v>50</v>
      </c>
      <c r="F1624">
        <v>49.206813812</v>
      </c>
      <c r="G1624">
        <v>1355.5579834</v>
      </c>
      <c r="H1624">
        <v>1348.7264404</v>
      </c>
      <c r="I1624">
        <v>1314.2556152</v>
      </c>
      <c r="J1624">
        <v>1306.6928711</v>
      </c>
      <c r="K1624">
        <v>2400</v>
      </c>
      <c r="L1624">
        <v>0</v>
      </c>
      <c r="M1624">
        <v>0</v>
      </c>
      <c r="N1624">
        <v>2400</v>
      </c>
    </row>
    <row r="1625" spans="1:14" x14ac:dyDescent="0.25">
      <c r="A1625">
        <v>1107.067112</v>
      </c>
      <c r="B1625" s="1">
        <f>DATE(2013,5,12) + TIME(1,36,38)</f>
        <v>41406.067106481481</v>
      </c>
      <c r="C1625">
        <v>80</v>
      </c>
      <c r="D1625">
        <v>79.965179442999997</v>
      </c>
      <c r="E1625">
        <v>50</v>
      </c>
      <c r="F1625">
        <v>49.189125060999999</v>
      </c>
      <c r="G1625">
        <v>1355.5343018000001</v>
      </c>
      <c r="H1625">
        <v>1348.7110596</v>
      </c>
      <c r="I1625">
        <v>1314.2531738</v>
      </c>
      <c r="J1625">
        <v>1306.6895752</v>
      </c>
      <c r="K1625">
        <v>2400</v>
      </c>
      <c r="L1625">
        <v>0</v>
      </c>
      <c r="M1625">
        <v>0</v>
      </c>
      <c r="N1625">
        <v>2400</v>
      </c>
    </row>
    <row r="1626" spans="1:14" x14ac:dyDescent="0.25">
      <c r="A1626">
        <v>1107.371005</v>
      </c>
      <c r="B1626" s="1">
        <f>DATE(2013,5,12) + TIME(8,54,14)</f>
        <v>41406.370995370373</v>
      </c>
      <c r="C1626">
        <v>80</v>
      </c>
      <c r="D1626">
        <v>79.965156554999993</v>
      </c>
      <c r="E1626">
        <v>50</v>
      </c>
      <c r="F1626">
        <v>49.171016692999999</v>
      </c>
      <c r="G1626">
        <v>1355.5106201000001</v>
      </c>
      <c r="H1626">
        <v>1348.6955565999999</v>
      </c>
      <c r="I1626">
        <v>1314.2504882999999</v>
      </c>
      <c r="J1626">
        <v>1306.6862793</v>
      </c>
      <c r="K1626">
        <v>2400</v>
      </c>
      <c r="L1626">
        <v>0</v>
      </c>
      <c r="M1626">
        <v>0</v>
      </c>
      <c r="N1626">
        <v>2400</v>
      </c>
    </row>
    <row r="1627" spans="1:14" x14ac:dyDescent="0.25">
      <c r="A1627">
        <v>1107.683462</v>
      </c>
      <c r="B1627" s="1">
        <f>DATE(2013,5,12) + TIME(16,24,11)</f>
        <v>41406.68346064815</v>
      </c>
      <c r="C1627">
        <v>80</v>
      </c>
      <c r="D1627">
        <v>79.965126037999994</v>
      </c>
      <c r="E1627">
        <v>50</v>
      </c>
      <c r="F1627">
        <v>49.152503967000001</v>
      </c>
      <c r="G1627">
        <v>1355.4866943</v>
      </c>
      <c r="H1627">
        <v>1348.6799315999999</v>
      </c>
      <c r="I1627">
        <v>1314.2478027</v>
      </c>
      <c r="J1627">
        <v>1306.6827393000001</v>
      </c>
      <c r="K1627">
        <v>2400</v>
      </c>
      <c r="L1627">
        <v>0</v>
      </c>
      <c r="M1627">
        <v>0</v>
      </c>
      <c r="N1627">
        <v>2400</v>
      </c>
    </row>
    <row r="1628" spans="1:14" x14ac:dyDescent="0.25">
      <c r="A1628">
        <v>1108.0015960000001</v>
      </c>
      <c r="B1628" s="1">
        <f>DATE(2013,5,13) + TIME(0,2,17)</f>
        <v>41407.001585648148</v>
      </c>
      <c r="C1628">
        <v>80</v>
      </c>
      <c r="D1628">
        <v>79.965103149000001</v>
      </c>
      <c r="E1628">
        <v>50</v>
      </c>
      <c r="F1628">
        <v>49.133712768999999</v>
      </c>
      <c r="G1628">
        <v>1355.4625243999999</v>
      </c>
      <c r="H1628">
        <v>1348.6643065999999</v>
      </c>
      <c r="I1628">
        <v>1314.2449951000001</v>
      </c>
      <c r="J1628">
        <v>1306.6790771000001</v>
      </c>
      <c r="K1628">
        <v>2400</v>
      </c>
      <c r="L1628">
        <v>0</v>
      </c>
      <c r="M1628">
        <v>0</v>
      </c>
      <c r="N1628">
        <v>2400</v>
      </c>
    </row>
    <row r="1629" spans="1:14" x14ac:dyDescent="0.25">
      <c r="A1629">
        <v>1108.3259519999999</v>
      </c>
      <c r="B1629" s="1">
        <f>DATE(2013,5,13) + TIME(7,49,22)</f>
        <v>41407.325949074075</v>
      </c>
      <c r="C1629">
        <v>80</v>
      </c>
      <c r="D1629">
        <v>79.965072632000002</v>
      </c>
      <c r="E1629">
        <v>50</v>
      </c>
      <c r="F1629">
        <v>49.114624022999998</v>
      </c>
      <c r="G1629">
        <v>1355.4385986</v>
      </c>
      <c r="H1629">
        <v>1348.6486815999999</v>
      </c>
      <c r="I1629">
        <v>1314.2421875</v>
      </c>
      <c r="J1629">
        <v>1306.6754149999999</v>
      </c>
      <c r="K1629">
        <v>2400</v>
      </c>
      <c r="L1629">
        <v>0</v>
      </c>
      <c r="M1629">
        <v>0</v>
      </c>
      <c r="N1629">
        <v>2400</v>
      </c>
    </row>
    <row r="1630" spans="1:14" x14ac:dyDescent="0.25">
      <c r="A1630">
        <v>1108.6571879999999</v>
      </c>
      <c r="B1630" s="1">
        <f>DATE(2013,5,13) + TIME(15,46,21)</f>
        <v>41407.657187500001</v>
      </c>
      <c r="C1630">
        <v>80</v>
      </c>
      <c r="D1630">
        <v>79.965042113999999</v>
      </c>
      <c r="E1630">
        <v>50</v>
      </c>
      <c r="F1630">
        <v>49.095222473</v>
      </c>
      <c r="G1630">
        <v>1355.4146728999999</v>
      </c>
      <c r="H1630">
        <v>1348.6331786999999</v>
      </c>
      <c r="I1630">
        <v>1314.2392577999999</v>
      </c>
      <c r="J1630">
        <v>1306.6716309000001</v>
      </c>
      <c r="K1630">
        <v>2400</v>
      </c>
      <c r="L1630">
        <v>0</v>
      </c>
      <c r="M1630">
        <v>0</v>
      </c>
      <c r="N1630">
        <v>2400</v>
      </c>
    </row>
    <row r="1631" spans="1:14" x14ac:dyDescent="0.25">
      <c r="A1631">
        <v>1108.9960149999999</v>
      </c>
      <c r="B1631" s="1">
        <f>DATE(2013,5,13) + TIME(23,54,15)</f>
        <v>41407.996006944442</v>
      </c>
      <c r="C1631">
        <v>80</v>
      </c>
      <c r="D1631">
        <v>79.965011597</v>
      </c>
      <c r="E1631">
        <v>50</v>
      </c>
      <c r="F1631">
        <v>49.075481414999999</v>
      </c>
      <c r="G1631">
        <v>1355.3907471</v>
      </c>
      <c r="H1631">
        <v>1348.6176757999999</v>
      </c>
      <c r="I1631">
        <v>1314.2362060999999</v>
      </c>
      <c r="J1631">
        <v>1306.6677245999999</v>
      </c>
      <c r="K1631">
        <v>2400</v>
      </c>
      <c r="L1631">
        <v>0</v>
      </c>
      <c r="M1631">
        <v>0</v>
      </c>
      <c r="N1631">
        <v>2400</v>
      </c>
    </row>
    <row r="1632" spans="1:14" x14ac:dyDescent="0.25">
      <c r="A1632">
        <v>1109.34321</v>
      </c>
      <c r="B1632" s="1">
        <f>DATE(2013,5,14) + TIME(8,14,13)</f>
        <v>41408.343206018515</v>
      </c>
      <c r="C1632">
        <v>80</v>
      </c>
      <c r="D1632">
        <v>79.964973450000002</v>
      </c>
      <c r="E1632">
        <v>50</v>
      </c>
      <c r="F1632">
        <v>49.055366515999999</v>
      </c>
      <c r="G1632">
        <v>1355.3666992000001</v>
      </c>
      <c r="H1632">
        <v>1348.6022949000001</v>
      </c>
      <c r="I1632">
        <v>1314.2331543</v>
      </c>
      <c r="J1632">
        <v>1306.6636963000001</v>
      </c>
      <c r="K1632">
        <v>2400</v>
      </c>
      <c r="L1632">
        <v>0</v>
      </c>
      <c r="M1632">
        <v>0</v>
      </c>
      <c r="N1632">
        <v>2400</v>
      </c>
    </row>
    <row r="1633" spans="1:14" x14ac:dyDescent="0.25">
      <c r="A1633">
        <v>1109.698809</v>
      </c>
      <c r="B1633" s="1">
        <f>DATE(2013,5,14) + TIME(16,46,17)</f>
        <v>41408.698807870373</v>
      </c>
      <c r="C1633">
        <v>80</v>
      </c>
      <c r="D1633">
        <v>79.964942932</v>
      </c>
      <c r="E1633">
        <v>50</v>
      </c>
      <c r="F1633">
        <v>49.034881591999998</v>
      </c>
      <c r="G1633">
        <v>1355.3426514</v>
      </c>
      <c r="H1633">
        <v>1348.5866699000001</v>
      </c>
      <c r="I1633">
        <v>1314.2299805</v>
      </c>
      <c r="J1633">
        <v>1306.659668</v>
      </c>
      <c r="K1633">
        <v>2400</v>
      </c>
      <c r="L1633">
        <v>0</v>
      </c>
      <c r="M1633">
        <v>0</v>
      </c>
      <c r="N1633">
        <v>2400</v>
      </c>
    </row>
    <row r="1634" spans="1:14" x14ac:dyDescent="0.25">
      <c r="A1634">
        <v>1110.058998</v>
      </c>
      <c r="B1634" s="1">
        <f>DATE(2013,5,15) + TIME(1,24,57)</f>
        <v>41409.058993055558</v>
      </c>
      <c r="C1634">
        <v>80</v>
      </c>
      <c r="D1634">
        <v>79.964912415000001</v>
      </c>
      <c r="E1634">
        <v>50</v>
      </c>
      <c r="F1634">
        <v>49.014171599999997</v>
      </c>
      <c r="G1634">
        <v>1355.3186035000001</v>
      </c>
      <c r="H1634">
        <v>1348.5711670000001</v>
      </c>
      <c r="I1634">
        <v>1314.2268065999999</v>
      </c>
      <c r="J1634">
        <v>1306.6553954999999</v>
      </c>
      <c r="K1634">
        <v>2400</v>
      </c>
      <c r="L1634">
        <v>0</v>
      </c>
      <c r="M1634">
        <v>0</v>
      </c>
      <c r="N1634">
        <v>2400</v>
      </c>
    </row>
    <row r="1635" spans="1:14" x14ac:dyDescent="0.25">
      <c r="A1635">
        <v>1110.4245579999999</v>
      </c>
      <c r="B1635" s="1">
        <f>DATE(2013,5,15) + TIME(10,11,21)</f>
        <v>41409.42454861111</v>
      </c>
      <c r="C1635">
        <v>80</v>
      </c>
      <c r="D1635">
        <v>79.964874268000003</v>
      </c>
      <c r="E1635">
        <v>50</v>
      </c>
      <c r="F1635">
        <v>48.993232726999999</v>
      </c>
      <c r="G1635">
        <v>1355.2946777</v>
      </c>
      <c r="H1635">
        <v>1348.5557861</v>
      </c>
      <c r="I1635">
        <v>1314.2235106999999</v>
      </c>
      <c r="J1635">
        <v>1306.6511230000001</v>
      </c>
      <c r="K1635">
        <v>2400</v>
      </c>
      <c r="L1635">
        <v>0</v>
      </c>
      <c r="M1635">
        <v>0</v>
      </c>
      <c r="N1635">
        <v>2400</v>
      </c>
    </row>
    <row r="1636" spans="1:14" x14ac:dyDescent="0.25">
      <c r="A1636">
        <v>1110.792651</v>
      </c>
      <c r="B1636" s="1">
        <f>DATE(2013,5,15) + TIME(19,1,25)</f>
        <v>41409.792650462965</v>
      </c>
      <c r="C1636">
        <v>80</v>
      </c>
      <c r="D1636">
        <v>79.96484375</v>
      </c>
      <c r="E1636">
        <v>50</v>
      </c>
      <c r="F1636">
        <v>48.972187042000002</v>
      </c>
      <c r="G1636">
        <v>1355.270874</v>
      </c>
      <c r="H1636">
        <v>1348.5405272999999</v>
      </c>
      <c r="I1636">
        <v>1314.2200928</v>
      </c>
      <c r="J1636">
        <v>1306.6468506000001</v>
      </c>
      <c r="K1636">
        <v>2400</v>
      </c>
      <c r="L1636">
        <v>0</v>
      </c>
      <c r="M1636">
        <v>0</v>
      </c>
      <c r="N1636">
        <v>2400</v>
      </c>
    </row>
    <row r="1637" spans="1:14" x14ac:dyDescent="0.25">
      <c r="A1637">
        <v>1111.163812</v>
      </c>
      <c r="B1637" s="1">
        <f>DATE(2013,5,16) + TIME(3,55,53)</f>
        <v>41410.163807870369</v>
      </c>
      <c r="C1637">
        <v>80</v>
      </c>
      <c r="D1637">
        <v>79.964805603000002</v>
      </c>
      <c r="E1637">
        <v>50</v>
      </c>
      <c r="F1637">
        <v>48.951030731000003</v>
      </c>
      <c r="G1637">
        <v>1355.2473144999999</v>
      </c>
      <c r="H1637">
        <v>1348.5253906</v>
      </c>
      <c r="I1637">
        <v>1314.2166748</v>
      </c>
      <c r="J1637">
        <v>1306.6424560999999</v>
      </c>
      <c r="K1637">
        <v>2400</v>
      </c>
      <c r="L1637">
        <v>0</v>
      </c>
      <c r="M1637">
        <v>0</v>
      </c>
      <c r="N1637">
        <v>2400</v>
      </c>
    </row>
    <row r="1638" spans="1:14" x14ac:dyDescent="0.25">
      <c r="A1638">
        <v>1111.538841</v>
      </c>
      <c r="B1638" s="1">
        <f>DATE(2013,5,16) + TIME(12,55,55)</f>
        <v>41410.538831018515</v>
      </c>
      <c r="C1638">
        <v>80</v>
      </c>
      <c r="D1638">
        <v>79.964775084999999</v>
      </c>
      <c r="E1638">
        <v>50</v>
      </c>
      <c r="F1638">
        <v>48.929752350000001</v>
      </c>
      <c r="G1638">
        <v>1355.2242432</v>
      </c>
      <c r="H1638">
        <v>1348.5106201000001</v>
      </c>
      <c r="I1638">
        <v>1314.2132568</v>
      </c>
      <c r="J1638">
        <v>1306.6379394999999</v>
      </c>
      <c r="K1638">
        <v>2400</v>
      </c>
      <c r="L1638">
        <v>0</v>
      </c>
      <c r="M1638">
        <v>0</v>
      </c>
      <c r="N1638">
        <v>2400</v>
      </c>
    </row>
    <row r="1639" spans="1:14" x14ac:dyDescent="0.25">
      <c r="A1639">
        <v>1111.9186319999999</v>
      </c>
      <c r="B1639" s="1">
        <f>DATE(2013,5,16) + TIME(22,2,49)</f>
        <v>41410.918622685182</v>
      </c>
      <c r="C1639">
        <v>80</v>
      </c>
      <c r="D1639">
        <v>79.964736938000001</v>
      </c>
      <c r="E1639">
        <v>50</v>
      </c>
      <c r="F1639">
        <v>48.908317566000001</v>
      </c>
      <c r="G1639">
        <v>1355.2011719</v>
      </c>
      <c r="H1639">
        <v>1348.4958495999999</v>
      </c>
      <c r="I1639">
        <v>1314.2098389</v>
      </c>
      <c r="J1639">
        <v>1306.6334228999999</v>
      </c>
      <c r="K1639">
        <v>2400</v>
      </c>
      <c r="L1639">
        <v>0</v>
      </c>
      <c r="M1639">
        <v>0</v>
      </c>
      <c r="N1639">
        <v>2400</v>
      </c>
    </row>
    <row r="1640" spans="1:14" x14ac:dyDescent="0.25">
      <c r="A1640">
        <v>1112.3038710000001</v>
      </c>
      <c r="B1640" s="1">
        <f>DATE(2013,5,17) + TIME(7,17,34)</f>
        <v>41411.303865740738</v>
      </c>
      <c r="C1640">
        <v>80</v>
      </c>
      <c r="D1640">
        <v>79.964706421000002</v>
      </c>
      <c r="E1640">
        <v>50</v>
      </c>
      <c r="F1640">
        <v>48.886699677000003</v>
      </c>
      <c r="G1640">
        <v>1355.1783447</v>
      </c>
      <c r="H1640">
        <v>1348.4812012</v>
      </c>
      <c r="I1640">
        <v>1314.2062988</v>
      </c>
      <c r="J1640">
        <v>1306.6287841999999</v>
      </c>
      <c r="K1640">
        <v>2400</v>
      </c>
      <c r="L1640">
        <v>0</v>
      </c>
      <c r="M1640">
        <v>0</v>
      </c>
      <c r="N1640">
        <v>2400</v>
      </c>
    </row>
    <row r="1641" spans="1:14" x14ac:dyDescent="0.25">
      <c r="A1641">
        <v>1112.6949649999999</v>
      </c>
      <c r="B1641" s="1">
        <f>DATE(2013,5,17) + TIME(16,40,44)</f>
        <v>41411.694953703707</v>
      </c>
      <c r="C1641">
        <v>80</v>
      </c>
      <c r="D1641">
        <v>79.964668274000005</v>
      </c>
      <c r="E1641">
        <v>50</v>
      </c>
      <c r="F1641">
        <v>48.864887238000001</v>
      </c>
      <c r="G1641">
        <v>1355.1556396000001</v>
      </c>
      <c r="H1641">
        <v>1348.4666748</v>
      </c>
      <c r="I1641">
        <v>1314.2026367000001</v>
      </c>
      <c r="J1641">
        <v>1306.6241454999999</v>
      </c>
      <c r="K1641">
        <v>2400</v>
      </c>
      <c r="L1641">
        <v>0</v>
      </c>
      <c r="M1641">
        <v>0</v>
      </c>
      <c r="N1641">
        <v>2400</v>
      </c>
    </row>
    <row r="1642" spans="1:14" x14ac:dyDescent="0.25">
      <c r="A1642">
        <v>1113.0918180000001</v>
      </c>
      <c r="B1642" s="1">
        <f>DATE(2013,5,18) + TIME(2,12,13)</f>
        <v>41412.091817129629</v>
      </c>
      <c r="C1642">
        <v>80</v>
      </c>
      <c r="D1642">
        <v>79.964637756000002</v>
      </c>
      <c r="E1642">
        <v>50</v>
      </c>
      <c r="F1642">
        <v>48.842876433999997</v>
      </c>
      <c r="G1642">
        <v>1355.1330565999999</v>
      </c>
      <c r="H1642">
        <v>1348.4522704999999</v>
      </c>
      <c r="I1642">
        <v>1314.1989745999999</v>
      </c>
      <c r="J1642">
        <v>1306.6192627</v>
      </c>
      <c r="K1642">
        <v>2400</v>
      </c>
      <c r="L1642">
        <v>0</v>
      </c>
      <c r="M1642">
        <v>0</v>
      </c>
      <c r="N1642">
        <v>2400</v>
      </c>
    </row>
    <row r="1643" spans="1:14" x14ac:dyDescent="0.25">
      <c r="A1643">
        <v>1113.4951430000001</v>
      </c>
      <c r="B1643" s="1">
        <f>DATE(2013,5,18) + TIME(11,53,0)</f>
        <v>41412.495138888888</v>
      </c>
      <c r="C1643">
        <v>80</v>
      </c>
      <c r="D1643">
        <v>79.964607239000003</v>
      </c>
      <c r="E1643">
        <v>50</v>
      </c>
      <c r="F1643">
        <v>48.820640564000001</v>
      </c>
      <c r="G1643">
        <v>1355.1105957</v>
      </c>
      <c r="H1643">
        <v>1348.4378661999999</v>
      </c>
      <c r="I1643">
        <v>1314.1951904</v>
      </c>
      <c r="J1643">
        <v>1306.6143798999999</v>
      </c>
      <c r="K1643">
        <v>2400</v>
      </c>
      <c r="L1643">
        <v>0</v>
      </c>
      <c r="M1643">
        <v>0</v>
      </c>
      <c r="N1643">
        <v>2400</v>
      </c>
    </row>
    <row r="1644" spans="1:14" x14ac:dyDescent="0.25">
      <c r="A1644">
        <v>1113.905784</v>
      </c>
      <c r="B1644" s="1">
        <f>DATE(2013,5,18) + TIME(21,44,19)</f>
        <v>41412.905775462961</v>
      </c>
      <c r="C1644">
        <v>80</v>
      </c>
      <c r="D1644">
        <v>79.964569092000005</v>
      </c>
      <c r="E1644">
        <v>50</v>
      </c>
      <c r="F1644">
        <v>48.798145294000001</v>
      </c>
      <c r="G1644">
        <v>1355.0881348</v>
      </c>
      <c r="H1644">
        <v>1348.4235839999999</v>
      </c>
      <c r="I1644">
        <v>1314.1914062000001</v>
      </c>
      <c r="J1644">
        <v>1306.609375</v>
      </c>
      <c r="K1644">
        <v>2400</v>
      </c>
      <c r="L1644">
        <v>0</v>
      </c>
      <c r="M1644">
        <v>0</v>
      </c>
      <c r="N1644">
        <v>2400</v>
      </c>
    </row>
    <row r="1645" spans="1:14" x14ac:dyDescent="0.25">
      <c r="A1645">
        <v>1114.3246630000001</v>
      </c>
      <c r="B1645" s="1">
        <f>DATE(2013,5,19) + TIME(7,47,30)</f>
        <v>41413.324652777781</v>
      </c>
      <c r="C1645">
        <v>80</v>
      </c>
      <c r="D1645">
        <v>79.964538574000002</v>
      </c>
      <c r="E1645">
        <v>50</v>
      </c>
      <c r="F1645">
        <v>48.775356293000002</v>
      </c>
      <c r="G1645">
        <v>1355.0656738</v>
      </c>
      <c r="H1645">
        <v>1348.4093018000001</v>
      </c>
      <c r="I1645">
        <v>1314.1875</v>
      </c>
      <c r="J1645">
        <v>1306.6043701000001</v>
      </c>
      <c r="K1645">
        <v>2400</v>
      </c>
      <c r="L1645">
        <v>0</v>
      </c>
      <c r="M1645">
        <v>0</v>
      </c>
      <c r="N1645">
        <v>2400</v>
      </c>
    </row>
    <row r="1646" spans="1:14" x14ac:dyDescent="0.25">
      <c r="A1646">
        <v>1114.752774</v>
      </c>
      <c r="B1646" s="1">
        <f>DATE(2013,5,19) + TIME(18,3,59)</f>
        <v>41413.752766203703</v>
      </c>
      <c r="C1646">
        <v>80</v>
      </c>
      <c r="D1646">
        <v>79.964500427000004</v>
      </c>
      <c r="E1646">
        <v>50</v>
      </c>
      <c r="F1646">
        <v>48.752227783000002</v>
      </c>
      <c r="G1646">
        <v>1355.0432129000001</v>
      </c>
      <c r="H1646">
        <v>1348.3950195</v>
      </c>
      <c r="I1646">
        <v>1314.1834716999999</v>
      </c>
      <c r="J1646">
        <v>1306.5991211</v>
      </c>
      <c r="K1646">
        <v>2400</v>
      </c>
      <c r="L1646">
        <v>0</v>
      </c>
      <c r="M1646">
        <v>0</v>
      </c>
      <c r="N1646">
        <v>2400</v>
      </c>
    </row>
    <row r="1647" spans="1:14" x14ac:dyDescent="0.25">
      <c r="A1647">
        <v>1115.191198</v>
      </c>
      <c r="B1647" s="1">
        <f>DATE(2013,5,20) + TIME(4,35,19)</f>
        <v>41414.191192129627</v>
      </c>
      <c r="C1647">
        <v>80</v>
      </c>
      <c r="D1647">
        <v>79.964469910000005</v>
      </c>
      <c r="E1647">
        <v>50</v>
      </c>
      <c r="F1647">
        <v>48.728710175000003</v>
      </c>
      <c r="G1647">
        <v>1355.0206298999999</v>
      </c>
      <c r="H1647">
        <v>1348.3806152</v>
      </c>
      <c r="I1647">
        <v>1314.1793213000001</v>
      </c>
      <c r="J1647">
        <v>1306.59375</v>
      </c>
      <c r="K1647">
        <v>2400</v>
      </c>
      <c r="L1647">
        <v>0</v>
      </c>
      <c r="M1647">
        <v>0</v>
      </c>
      <c r="N1647">
        <v>2400</v>
      </c>
    </row>
    <row r="1648" spans="1:14" x14ac:dyDescent="0.25">
      <c r="A1648">
        <v>1115.6411230000001</v>
      </c>
      <c r="B1648" s="1">
        <f>DATE(2013,5,20) + TIME(15,23,12)</f>
        <v>41414.641111111108</v>
      </c>
      <c r="C1648">
        <v>80</v>
      </c>
      <c r="D1648">
        <v>79.964431762999993</v>
      </c>
      <c r="E1648">
        <v>50</v>
      </c>
      <c r="F1648">
        <v>48.704757690000001</v>
      </c>
      <c r="G1648">
        <v>1354.9979248</v>
      </c>
      <c r="H1648">
        <v>1348.3662108999999</v>
      </c>
      <c r="I1648">
        <v>1314.1751709</v>
      </c>
      <c r="J1648">
        <v>1306.5881348</v>
      </c>
      <c r="K1648">
        <v>2400</v>
      </c>
      <c r="L1648">
        <v>0</v>
      </c>
      <c r="M1648">
        <v>0</v>
      </c>
      <c r="N1648">
        <v>2400</v>
      </c>
    </row>
    <row r="1649" spans="1:14" x14ac:dyDescent="0.25">
      <c r="A1649">
        <v>1116.1038590000001</v>
      </c>
      <c r="B1649" s="1">
        <f>DATE(2013,5,21) + TIME(2,29,33)</f>
        <v>41415.103854166664</v>
      </c>
      <c r="C1649">
        <v>80</v>
      </c>
      <c r="D1649">
        <v>79.964401245000005</v>
      </c>
      <c r="E1649">
        <v>50</v>
      </c>
      <c r="F1649">
        <v>48.68031311</v>
      </c>
      <c r="G1649">
        <v>1354.9750977000001</v>
      </c>
      <c r="H1649">
        <v>1348.3516846</v>
      </c>
      <c r="I1649">
        <v>1314.1707764</v>
      </c>
      <c r="J1649">
        <v>1306.5823975000001</v>
      </c>
      <c r="K1649">
        <v>2400</v>
      </c>
      <c r="L1649">
        <v>0</v>
      </c>
      <c r="M1649">
        <v>0</v>
      </c>
      <c r="N1649">
        <v>2400</v>
      </c>
    </row>
    <row r="1650" spans="1:14" x14ac:dyDescent="0.25">
      <c r="A1650">
        <v>1116.577033</v>
      </c>
      <c r="B1650" s="1">
        <f>DATE(2013,5,21) + TIME(13,50,55)</f>
        <v>41415.577025462961</v>
      </c>
      <c r="C1650">
        <v>80</v>
      </c>
      <c r="D1650">
        <v>79.964363098000007</v>
      </c>
      <c r="E1650">
        <v>50</v>
      </c>
      <c r="F1650">
        <v>48.655445098999998</v>
      </c>
      <c r="G1650">
        <v>1354.9520264</v>
      </c>
      <c r="H1650">
        <v>1348.3370361</v>
      </c>
      <c r="I1650">
        <v>1314.1662598</v>
      </c>
      <c r="J1650">
        <v>1306.5765381000001</v>
      </c>
      <c r="K1650">
        <v>2400</v>
      </c>
      <c r="L1650">
        <v>0</v>
      </c>
      <c r="M1650">
        <v>0</v>
      </c>
      <c r="N1650">
        <v>2400</v>
      </c>
    </row>
    <row r="1651" spans="1:14" x14ac:dyDescent="0.25">
      <c r="A1651">
        <v>1117.0552049999999</v>
      </c>
      <c r="B1651" s="1">
        <f>DATE(2013,5,22) + TIME(1,19,29)</f>
        <v>41416.055196759262</v>
      </c>
      <c r="C1651">
        <v>80</v>
      </c>
      <c r="D1651">
        <v>79.964332580999994</v>
      </c>
      <c r="E1651">
        <v>50</v>
      </c>
      <c r="F1651">
        <v>48.630340576000002</v>
      </c>
      <c r="G1651">
        <v>1354.9289550999999</v>
      </c>
      <c r="H1651">
        <v>1348.3223877</v>
      </c>
      <c r="I1651">
        <v>1314.1616211</v>
      </c>
      <c r="J1651">
        <v>1306.5704346</v>
      </c>
      <c r="K1651">
        <v>2400</v>
      </c>
      <c r="L1651">
        <v>0</v>
      </c>
      <c r="M1651">
        <v>0</v>
      </c>
      <c r="N1651">
        <v>2400</v>
      </c>
    </row>
    <row r="1652" spans="1:14" x14ac:dyDescent="0.25">
      <c r="A1652">
        <v>1117.539548</v>
      </c>
      <c r="B1652" s="1">
        <f>DATE(2013,5,22) + TIME(12,56,56)</f>
        <v>41416.539537037039</v>
      </c>
      <c r="C1652">
        <v>80</v>
      </c>
      <c r="D1652">
        <v>79.964294433999996</v>
      </c>
      <c r="E1652">
        <v>50</v>
      </c>
      <c r="F1652">
        <v>48.605007172000001</v>
      </c>
      <c r="G1652">
        <v>1354.9060059000001</v>
      </c>
      <c r="H1652">
        <v>1348.3077393000001</v>
      </c>
      <c r="I1652">
        <v>1314.1568603999999</v>
      </c>
      <c r="J1652">
        <v>1306.5642089999999</v>
      </c>
      <c r="K1652">
        <v>2400</v>
      </c>
      <c r="L1652">
        <v>0</v>
      </c>
      <c r="M1652">
        <v>0</v>
      </c>
      <c r="N1652">
        <v>2400</v>
      </c>
    </row>
    <row r="1653" spans="1:14" x14ac:dyDescent="0.25">
      <c r="A1653">
        <v>1118.0312349999999</v>
      </c>
      <c r="B1653" s="1">
        <f>DATE(2013,5,23) + TIME(0,44,58)</f>
        <v>41417.031226851854</v>
      </c>
      <c r="C1653">
        <v>80</v>
      </c>
      <c r="D1653">
        <v>79.964263915999993</v>
      </c>
      <c r="E1653">
        <v>50</v>
      </c>
      <c r="F1653">
        <v>48.579425811999997</v>
      </c>
      <c r="G1653">
        <v>1354.8831786999999</v>
      </c>
      <c r="H1653">
        <v>1348.2933350000001</v>
      </c>
      <c r="I1653">
        <v>1314.1519774999999</v>
      </c>
      <c r="J1653">
        <v>1306.5578613</v>
      </c>
      <c r="K1653">
        <v>2400</v>
      </c>
      <c r="L1653">
        <v>0</v>
      </c>
      <c r="M1653">
        <v>0</v>
      </c>
      <c r="N1653">
        <v>2400</v>
      </c>
    </row>
    <row r="1654" spans="1:14" x14ac:dyDescent="0.25">
      <c r="A1654">
        <v>1118.530113</v>
      </c>
      <c r="B1654" s="1">
        <f>DATE(2013,5,23) + TIME(12,43,21)</f>
        <v>41417.530104166668</v>
      </c>
      <c r="C1654">
        <v>80</v>
      </c>
      <c r="D1654">
        <v>79.964225768999995</v>
      </c>
      <c r="E1654">
        <v>50</v>
      </c>
      <c r="F1654">
        <v>48.553611754999999</v>
      </c>
      <c r="G1654">
        <v>1354.8603516000001</v>
      </c>
      <c r="H1654">
        <v>1348.2789307</v>
      </c>
      <c r="I1654">
        <v>1314.1470947</v>
      </c>
      <c r="J1654">
        <v>1306.5513916</v>
      </c>
      <c r="K1654">
        <v>2400</v>
      </c>
      <c r="L1654">
        <v>0</v>
      </c>
      <c r="M1654">
        <v>0</v>
      </c>
      <c r="N1654">
        <v>2400</v>
      </c>
    </row>
    <row r="1655" spans="1:14" x14ac:dyDescent="0.25">
      <c r="A1655">
        <v>1119.0302589999999</v>
      </c>
      <c r="B1655" s="1">
        <f>DATE(2013,5,24) + TIME(0,43,34)</f>
        <v>41418.03025462963</v>
      </c>
      <c r="C1655">
        <v>80</v>
      </c>
      <c r="D1655">
        <v>79.964195251000007</v>
      </c>
      <c r="E1655">
        <v>50</v>
      </c>
      <c r="F1655">
        <v>48.527759551999999</v>
      </c>
      <c r="G1655">
        <v>1354.8376464999999</v>
      </c>
      <c r="H1655">
        <v>1348.2645264</v>
      </c>
      <c r="I1655">
        <v>1314.1420897999999</v>
      </c>
      <c r="J1655">
        <v>1306.5447998</v>
      </c>
      <c r="K1655">
        <v>2400</v>
      </c>
      <c r="L1655">
        <v>0</v>
      </c>
      <c r="M1655">
        <v>0</v>
      </c>
      <c r="N1655">
        <v>2400</v>
      </c>
    </row>
    <row r="1656" spans="1:14" x14ac:dyDescent="0.25">
      <c r="A1656">
        <v>1119.5330289999999</v>
      </c>
      <c r="B1656" s="1">
        <f>DATE(2013,5,24) + TIME(12,47,33)</f>
        <v>41418.533020833333</v>
      </c>
      <c r="C1656">
        <v>80</v>
      </c>
      <c r="D1656">
        <v>79.964164733999993</v>
      </c>
      <c r="E1656">
        <v>50</v>
      </c>
      <c r="F1656">
        <v>48.501873015999998</v>
      </c>
      <c r="G1656">
        <v>1354.8153076000001</v>
      </c>
      <c r="H1656">
        <v>1348.2503661999999</v>
      </c>
      <c r="I1656">
        <v>1314.1369629000001</v>
      </c>
      <c r="J1656">
        <v>1306.5380858999999</v>
      </c>
      <c r="K1656">
        <v>2400</v>
      </c>
      <c r="L1656">
        <v>0</v>
      </c>
      <c r="M1656">
        <v>0</v>
      </c>
      <c r="N1656">
        <v>2400</v>
      </c>
    </row>
    <row r="1657" spans="1:14" x14ac:dyDescent="0.25">
      <c r="A1657">
        <v>1120.039444</v>
      </c>
      <c r="B1657" s="1">
        <f>DATE(2013,5,25) + TIME(0,56,47)</f>
        <v>41419.03943287037</v>
      </c>
      <c r="C1657">
        <v>80</v>
      </c>
      <c r="D1657">
        <v>79.964134216000005</v>
      </c>
      <c r="E1657">
        <v>50</v>
      </c>
      <c r="F1657">
        <v>48.47593689</v>
      </c>
      <c r="G1657">
        <v>1354.7932129000001</v>
      </c>
      <c r="H1657">
        <v>1348.2363281</v>
      </c>
      <c r="I1657">
        <v>1314.1318358999999</v>
      </c>
      <c r="J1657">
        <v>1306.5313721</v>
      </c>
      <c r="K1657">
        <v>2400</v>
      </c>
      <c r="L1657">
        <v>0</v>
      </c>
      <c r="M1657">
        <v>0</v>
      </c>
      <c r="N1657">
        <v>2400</v>
      </c>
    </row>
    <row r="1658" spans="1:14" x14ac:dyDescent="0.25">
      <c r="A1658">
        <v>1120.5505370000001</v>
      </c>
      <c r="B1658" s="1">
        <f>DATE(2013,5,25) + TIME(13,12,46)</f>
        <v>41419.550532407404</v>
      </c>
      <c r="C1658">
        <v>80</v>
      </c>
      <c r="D1658">
        <v>79.964096068999993</v>
      </c>
      <c r="E1658">
        <v>50</v>
      </c>
      <c r="F1658">
        <v>48.449928284000002</v>
      </c>
      <c r="G1658">
        <v>1354.7713623</v>
      </c>
      <c r="H1658">
        <v>1348.2225341999999</v>
      </c>
      <c r="I1658">
        <v>1314.1265868999999</v>
      </c>
      <c r="J1658">
        <v>1306.5245361</v>
      </c>
      <c r="K1658">
        <v>2400</v>
      </c>
      <c r="L1658">
        <v>0</v>
      </c>
      <c r="M1658">
        <v>0</v>
      </c>
      <c r="N1658">
        <v>2400</v>
      </c>
    </row>
    <row r="1659" spans="1:14" x14ac:dyDescent="0.25">
      <c r="A1659">
        <v>1121.067487</v>
      </c>
      <c r="B1659" s="1">
        <f>DATE(2013,5,26) + TIME(1,37,10)</f>
        <v>41420.067476851851</v>
      </c>
      <c r="C1659">
        <v>80</v>
      </c>
      <c r="D1659">
        <v>79.964065551999994</v>
      </c>
      <c r="E1659">
        <v>50</v>
      </c>
      <c r="F1659">
        <v>48.423805237000003</v>
      </c>
      <c r="G1659">
        <v>1354.7497559000001</v>
      </c>
      <c r="H1659">
        <v>1348.2087402</v>
      </c>
      <c r="I1659">
        <v>1314.1213379000001</v>
      </c>
      <c r="J1659">
        <v>1306.5174560999999</v>
      </c>
      <c r="K1659">
        <v>2400</v>
      </c>
      <c r="L1659">
        <v>0</v>
      </c>
      <c r="M1659">
        <v>0</v>
      </c>
      <c r="N1659">
        <v>2400</v>
      </c>
    </row>
    <row r="1660" spans="1:14" x14ac:dyDescent="0.25">
      <c r="A1660">
        <v>1121.5914049999999</v>
      </c>
      <c r="B1660" s="1">
        <f>DATE(2013,5,26) + TIME(14,11,37)</f>
        <v>41420.591400462959</v>
      </c>
      <c r="C1660">
        <v>80</v>
      </c>
      <c r="D1660">
        <v>79.964035034000005</v>
      </c>
      <c r="E1660">
        <v>50</v>
      </c>
      <c r="F1660">
        <v>48.397521973000003</v>
      </c>
      <c r="G1660">
        <v>1354.7281493999999</v>
      </c>
      <c r="H1660">
        <v>1348.1950684000001</v>
      </c>
      <c r="I1660">
        <v>1314.1159668</v>
      </c>
      <c r="J1660">
        <v>1306.510376</v>
      </c>
      <c r="K1660">
        <v>2400</v>
      </c>
      <c r="L1660">
        <v>0</v>
      </c>
      <c r="M1660">
        <v>0</v>
      </c>
      <c r="N1660">
        <v>2400</v>
      </c>
    </row>
    <row r="1661" spans="1:14" x14ac:dyDescent="0.25">
      <c r="A1661">
        <v>1122.123333</v>
      </c>
      <c r="B1661" s="1">
        <f>DATE(2013,5,27) + TIME(2,57,35)</f>
        <v>41421.12332175926</v>
      </c>
      <c r="C1661">
        <v>80</v>
      </c>
      <c r="D1661">
        <v>79.964004517000006</v>
      </c>
      <c r="E1661">
        <v>50</v>
      </c>
      <c r="F1661">
        <v>48.371040344000001</v>
      </c>
      <c r="G1661">
        <v>1354.7066649999999</v>
      </c>
      <c r="H1661">
        <v>1348.1815185999999</v>
      </c>
      <c r="I1661">
        <v>1314.1104736</v>
      </c>
      <c r="J1661">
        <v>1306.5030518000001</v>
      </c>
      <c r="K1661">
        <v>2400</v>
      </c>
      <c r="L1661">
        <v>0</v>
      </c>
      <c r="M1661">
        <v>0</v>
      </c>
      <c r="N1661">
        <v>2400</v>
      </c>
    </row>
    <row r="1662" spans="1:14" x14ac:dyDescent="0.25">
      <c r="A1662">
        <v>1122.6644799999999</v>
      </c>
      <c r="B1662" s="1">
        <f>DATE(2013,5,27) + TIME(15,56,51)</f>
        <v>41421.664479166669</v>
      </c>
      <c r="C1662">
        <v>80</v>
      </c>
      <c r="D1662">
        <v>79.963973999000004</v>
      </c>
      <c r="E1662">
        <v>50</v>
      </c>
      <c r="F1662">
        <v>48.344306946000003</v>
      </c>
      <c r="G1662">
        <v>1354.6851807</v>
      </c>
      <c r="H1662">
        <v>1348.1678466999999</v>
      </c>
      <c r="I1662">
        <v>1314.1047363</v>
      </c>
      <c r="J1662">
        <v>1306.4954834</v>
      </c>
      <c r="K1662">
        <v>2400</v>
      </c>
      <c r="L1662">
        <v>0</v>
      </c>
      <c r="M1662">
        <v>0</v>
      </c>
      <c r="N1662">
        <v>2400</v>
      </c>
    </row>
    <row r="1663" spans="1:14" x14ac:dyDescent="0.25">
      <c r="A1663">
        <v>1123.216138</v>
      </c>
      <c r="B1663" s="1">
        <f>DATE(2013,5,28) + TIME(5,11,14)</f>
        <v>41422.216134259259</v>
      </c>
      <c r="C1663">
        <v>80</v>
      </c>
      <c r="D1663">
        <v>79.963943481000001</v>
      </c>
      <c r="E1663">
        <v>50</v>
      </c>
      <c r="F1663">
        <v>48.317268372000001</v>
      </c>
      <c r="G1663">
        <v>1354.6636963000001</v>
      </c>
      <c r="H1663">
        <v>1348.1542969</v>
      </c>
      <c r="I1663">
        <v>1314.098999</v>
      </c>
      <c r="J1663">
        <v>1306.4879149999999</v>
      </c>
      <c r="K1663">
        <v>2400</v>
      </c>
      <c r="L1663">
        <v>0</v>
      </c>
      <c r="M1663">
        <v>0</v>
      </c>
      <c r="N1663">
        <v>2400</v>
      </c>
    </row>
    <row r="1664" spans="1:14" x14ac:dyDescent="0.25">
      <c r="A1664">
        <v>1123.779708</v>
      </c>
      <c r="B1664" s="1">
        <f>DATE(2013,5,28) + TIME(18,42,46)</f>
        <v>41422.779699074075</v>
      </c>
      <c r="C1664">
        <v>80</v>
      </c>
      <c r="D1664">
        <v>79.963912964000002</v>
      </c>
      <c r="E1664">
        <v>50</v>
      </c>
      <c r="F1664">
        <v>48.289871216000002</v>
      </c>
      <c r="G1664">
        <v>1354.6420897999999</v>
      </c>
      <c r="H1664">
        <v>1348.140625</v>
      </c>
      <c r="I1664">
        <v>1314.0930175999999</v>
      </c>
      <c r="J1664">
        <v>1306.4799805</v>
      </c>
      <c r="K1664">
        <v>2400</v>
      </c>
      <c r="L1664">
        <v>0</v>
      </c>
      <c r="M1664">
        <v>0</v>
      </c>
      <c r="N1664">
        <v>2400</v>
      </c>
    </row>
    <row r="1665" spans="1:14" x14ac:dyDescent="0.25">
      <c r="A1665">
        <v>1124.356718</v>
      </c>
      <c r="B1665" s="1">
        <f>DATE(2013,5,29) + TIME(8,33,40)</f>
        <v>41423.356712962966</v>
      </c>
      <c r="C1665">
        <v>80</v>
      </c>
      <c r="D1665">
        <v>79.963882446</v>
      </c>
      <c r="E1665">
        <v>50</v>
      </c>
      <c r="F1665">
        <v>48.262050629000001</v>
      </c>
      <c r="G1665">
        <v>1354.6204834</v>
      </c>
      <c r="H1665">
        <v>1348.1268310999999</v>
      </c>
      <c r="I1665">
        <v>1314.0869141000001</v>
      </c>
      <c r="J1665">
        <v>1306.4718018000001</v>
      </c>
      <c r="K1665">
        <v>2400</v>
      </c>
      <c r="L1665">
        <v>0</v>
      </c>
      <c r="M1665">
        <v>0</v>
      </c>
      <c r="N1665">
        <v>2400</v>
      </c>
    </row>
    <row r="1666" spans="1:14" x14ac:dyDescent="0.25">
      <c r="A1666">
        <v>1124.9488449999999</v>
      </c>
      <c r="B1666" s="1">
        <f>DATE(2013,5,29) + TIME(22,46,20)</f>
        <v>41423.948842592596</v>
      </c>
      <c r="C1666">
        <v>80</v>
      </c>
      <c r="D1666">
        <v>79.963851929</v>
      </c>
      <c r="E1666">
        <v>50</v>
      </c>
      <c r="F1666">
        <v>48.233745575</v>
      </c>
      <c r="G1666">
        <v>1354.5986327999999</v>
      </c>
      <c r="H1666">
        <v>1348.1130370999999</v>
      </c>
      <c r="I1666">
        <v>1314.0806885</v>
      </c>
      <c r="J1666">
        <v>1306.4633789</v>
      </c>
      <c r="K1666">
        <v>2400</v>
      </c>
      <c r="L1666">
        <v>0</v>
      </c>
      <c r="M1666">
        <v>0</v>
      </c>
      <c r="N1666">
        <v>2400</v>
      </c>
    </row>
    <row r="1667" spans="1:14" x14ac:dyDescent="0.25">
      <c r="A1667">
        <v>1125.5579479999999</v>
      </c>
      <c r="B1667" s="1">
        <f>DATE(2013,5,30) + TIME(13,23,26)</f>
        <v>41424.557939814818</v>
      </c>
      <c r="C1667">
        <v>80</v>
      </c>
      <c r="D1667">
        <v>79.963821410999998</v>
      </c>
      <c r="E1667">
        <v>50</v>
      </c>
      <c r="F1667">
        <v>48.204879761000001</v>
      </c>
      <c r="G1667">
        <v>1354.5766602000001</v>
      </c>
      <c r="H1667">
        <v>1348.098999</v>
      </c>
      <c r="I1667">
        <v>1314.0740966999999</v>
      </c>
      <c r="J1667">
        <v>1306.4545897999999</v>
      </c>
      <c r="K1667">
        <v>2400</v>
      </c>
      <c r="L1667">
        <v>0</v>
      </c>
      <c r="M1667">
        <v>0</v>
      </c>
      <c r="N1667">
        <v>2400</v>
      </c>
    </row>
    <row r="1668" spans="1:14" x14ac:dyDescent="0.25">
      <c r="A1668">
        <v>1126.1817269999999</v>
      </c>
      <c r="B1668" s="1">
        <f>DATE(2013,5,31) + TIME(4,21,41)</f>
        <v>41425.18172453704</v>
      </c>
      <c r="C1668">
        <v>80</v>
      </c>
      <c r="D1668">
        <v>79.963790893999999</v>
      </c>
      <c r="E1668">
        <v>50</v>
      </c>
      <c r="F1668">
        <v>48.175491332999997</v>
      </c>
      <c r="G1668">
        <v>1354.5543213000001</v>
      </c>
      <c r="H1668">
        <v>1348.0848389</v>
      </c>
      <c r="I1668">
        <v>1314.0673827999999</v>
      </c>
      <c r="J1668">
        <v>1306.4455565999999</v>
      </c>
      <c r="K1668">
        <v>2400</v>
      </c>
      <c r="L1668">
        <v>0</v>
      </c>
      <c r="M1668">
        <v>0</v>
      </c>
      <c r="N1668">
        <v>2400</v>
      </c>
    </row>
    <row r="1669" spans="1:14" x14ac:dyDescent="0.25">
      <c r="A1669">
        <v>1126.8145079999999</v>
      </c>
      <c r="B1669" s="1">
        <f>DATE(2013,5,31) + TIME(19,32,53)</f>
        <v>41425.814502314817</v>
      </c>
      <c r="C1669">
        <v>80</v>
      </c>
      <c r="D1669">
        <v>79.963760375999996</v>
      </c>
      <c r="E1669">
        <v>50</v>
      </c>
      <c r="F1669">
        <v>48.145751953000001</v>
      </c>
      <c r="G1669">
        <v>1354.5318603999999</v>
      </c>
      <c r="H1669">
        <v>1348.0706786999999</v>
      </c>
      <c r="I1669">
        <v>1314.0603027</v>
      </c>
      <c r="J1669">
        <v>1306.4361572</v>
      </c>
      <c r="K1669">
        <v>2400</v>
      </c>
      <c r="L1669">
        <v>0</v>
      </c>
      <c r="M1669">
        <v>0</v>
      </c>
      <c r="N1669">
        <v>2400</v>
      </c>
    </row>
    <row r="1670" spans="1:14" x14ac:dyDescent="0.25">
      <c r="A1670">
        <v>1127</v>
      </c>
      <c r="B1670" s="1">
        <f>DATE(2013,6,1) + TIME(0,0,0)</f>
        <v>41426</v>
      </c>
      <c r="C1670">
        <v>80</v>
      </c>
      <c r="D1670">
        <v>79.963737488000007</v>
      </c>
      <c r="E1670">
        <v>50</v>
      </c>
      <c r="F1670">
        <v>48.133304596000002</v>
      </c>
      <c r="G1670">
        <v>1354.5093993999999</v>
      </c>
      <c r="H1670">
        <v>1348.0563964999999</v>
      </c>
      <c r="I1670">
        <v>1314.0526123</v>
      </c>
      <c r="J1670">
        <v>1306.4274902</v>
      </c>
      <c r="K1670">
        <v>2400</v>
      </c>
      <c r="L1670">
        <v>0</v>
      </c>
      <c r="M1670">
        <v>0</v>
      </c>
      <c r="N1670">
        <v>2400</v>
      </c>
    </row>
    <row r="1671" spans="1:14" x14ac:dyDescent="0.25">
      <c r="A1671">
        <v>1127.6435469999999</v>
      </c>
      <c r="B1671" s="1">
        <f>DATE(2013,6,1) + TIME(15,26,42)</f>
        <v>41426.643541666665</v>
      </c>
      <c r="C1671">
        <v>80</v>
      </c>
      <c r="D1671">
        <v>79.963714600000003</v>
      </c>
      <c r="E1671">
        <v>50</v>
      </c>
      <c r="F1671">
        <v>48.104801178000002</v>
      </c>
      <c r="G1671">
        <v>1354.5029297000001</v>
      </c>
      <c r="H1671">
        <v>1348.0522461</v>
      </c>
      <c r="I1671">
        <v>1314.0509033000001</v>
      </c>
      <c r="J1671">
        <v>1306.4233397999999</v>
      </c>
      <c r="K1671">
        <v>2400</v>
      </c>
      <c r="L1671">
        <v>0</v>
      </c>
      <c r="M1671">
        <v>0</v>
      </c>
      <c r="N1671">
        <v>2400</v>
      </c>
    </row>
    <row r="1672" spans="1:14" x14ac:dyDescent="0.25">
      <c r="A1672">
        <v>1128.2902369999999</v>
      </c>
      <c r="B1672" s="1">
        <f>DATE(2013,6,2) + TIME(6,57,56)</f>
        <v>41427.290231481478</v>
      </c>
      <c r="C1672">
        <v>80</v>
      </c>
      <c r="D1672">
        <v>79.963684082</v>
      </c>
      <c r="E1672">
        <v>50</v>
      </c>
      <c r="F1672">
        <v>48.075523376</v>
      </c>
      <c r="G1672">
        <v>1354.4805908000001</v>
      </c>
      <c r="H1672">
        <v>1348.0380858999999</v>
      </c>
      <c r="I1672">
        <v>1314.0435791</v>
      </c>
      <c r="J1672">
        <v>1306.4134521000001</v>
      </c>
      <c r="K1672">
        <v>2400</v>
      </c>
      <c r="L1672">
        <v>0</v>
      </c>
      <c r="M1672">
        <v>0</v>
      </c>
      <c r="N1672">
        <v>2400</v>
      </c>
    </row>
    <row r="1673" spans="1:14" x14ac:dyDescent="0.25">
      <c r="A1673">
        <v>1128.9387059999999</v>
      </c>
      <c r="B1673" s="1">
        <f>DATE(2013,6,2) + TIME(22,31,44)</f>
        <v>41427.938703703701</v>
      </c>
      <c r="C1673">
        <v>80</v>
      </c>
      <c r="D1673">
        <v>79.963661193999997</v>
      </c>
      <c r="E1673">
        <v>50</v>
      </c>
      <c r="F1673">
        <v>48.045852660999998</v>
      </c>
      <c r="G1673">
        <v>1354.4586182</v>
      </c>
      <c r="H1673">
        <v>1348.0240478999999</v>
      </c>
      <c r="I1673">
        <v>1314.0360106999999</v>
      </c>
      <c r="J1673">
        <v>1306.4034423999999</v>
      </c>
      <c r="K1673">
        <v>2400</v>
      </c>
      <c r="L1673">
        <v>0</v>
      </c>
      <c r="M1673">
        <v>0</v>
      </c>
      <c r="N1673">
        <v>2400</v>
      </c>
    </row>
    <row r="1674" spans="1:14" x14ac:dyDescent="0.25">
      <c r="A1674">
        <v>1129.59086</v>
      </c>
      <c r="B1674" s="1">
        <f>DATE(2013,6,3) + TIME(14,10,50)</f>
        <v>41428.590856481482</v>
      </c>
      <c r="C1674">
        <v>80</v>
      </c>
      <c r="D1674">
        <v>79.963630675999994</v>
      </c>
      <c r="E1674">
        <v>50</v>
      </c>
      <c r="F1674">
        <v>48.015956879000001</v>
      </c>
      <c r="G1674">
        <v>1354.4367675999999</v>
      </c>
      <c r="H1674">
        <v>1348.0102539</v>
      </c>
      <c r="I1674">
        <v>1314.0284423999999</v>
      </c>
      <c r="J1674">
        <v>1306.3930664</v>
      </c>
      <c r="K1674">
        <v>2400</v>
      </c>
      <c r="L1674">
        <v>0</v>
      </c>
      <c r="M1674">
        <v>0</v>
      </c>
      <c r="N1674">
        <v>2400</v>
      </c>
    </row>
    <row r="1675" spans="1:14" x14ac:dyDescent="0.25">
      <c r="A1675">
        <v>1130.248118</v>
      </c>
      <c r="B1675" s="1">
        <f>DATE(2013,6,4) + TIME(5,57,17)</f>
        <v>41429.248113425929</v>
      </c>
      <c r="C1675">
        <v>80</v>
      </c>
      <c r="D1675">
        <v>79.963600158999995</v>
      </c>
      <c r="E1675">
        <v>50</v>
      </c>
      <c r="F1675">
        <v>47.985908508000001</v>
      </c>
      <c r="G1675">
        <v>1354.4151611</v>
      </c>
      <c r="H1675">
        <v>1347.9964600000001</v>
      </c>
      <c r="I1675">
        <v>1314.0206298999999</v>
      </c>
      <c r="J1675">
        <v>1306.3825684000001</v>
      </c>
      <c r="K1675">
        <v>2400</v>
      </c>
      <c r="L1675">
        <v>0</v>
      </c>
      <c r="M1675">
        <v>0</v>
      </c>
      <c r="N1675">
        <v>2400</v>
      </c>
    </row>
    <row r="1676" spans="1:14" x14ac:dyDescent="0.25">
      <c r="A1676">
        <v>1130.9120399999999</v>
      </c>
      <c r="B1676" s="1">
        <f>DATE(2013,6,4) + TIME(21,53,20)</f>
        <v>41429.912037037036</v>
      </c>
      <c r="C1676">
        <v>80</v>
      </c>
      <c r="D1676">
        <v>79.963569641000007</v>
      </c>
      <c r="E1676">
        <v>50</v>
      </c>
      <c r="F1676">
        <v>47.955711364999999</v>
      </c>
      <c r="G1676">
        <v>1354.3937988</v>
      </c>
      <c r="H1676">
        <v>1347.9827881000001</v>
      </c>
      <c r="I1676">
        <v>1314.0126952999999</v>
      </c>
      <c r="J1676">
        <v>1306.3718262</v>
      </c>
      <c r="K1676">
        <v>2400</v>
      </c>
      <c r="L1676">
        <v>0</v>
      </c>
      <c r="M1676">
        <v>0</v>
      </c>
      <c r="N1676">
        <v>2400</v>
      </c>
    </row>
    <row r="1677" spans="1:14" x14ac:dyDescent="0.25">
      <c r="A1677">
        <v>1131.584251</v>
      </c>
      <c r="B1677" s="1">
        <f>DATE(2013,6,5) + TIME(14,1,19)</f>
        <v>41430.584247685183</v>
      </c>
      <c r="C1677">
        <v>80</v>
      </c>
      <c r="D1677">
        <v>79.963546753000003</v>
      </c>
      <c r="E1677">
        <v>50</v>
      </c>
      <c r="F1677">
        <v>47.925346374999997</v>
      </c>
      <c r="G1677">
        <v>1354.3724365</v>
      </c>
      <c r="H1677">
        <v>1347.9692382999999</v>
      </c>
      <c r="I1677">
        <v>1314.0046387</v>
      </c>
      <c r="J1677">
        <v>1306.3608397999999</v>
      </c>
      <c r="K1677">
        <v>2400</v>
      </c>
      <c r="L1677">
        <v>0</v>
      </c>
      <c r="M1677">
        <v>0</v>
      </c>
      <c r="N1677">
        <v>2400</v>
      </c>
    </row>
    <row r="1678" spans="1:14" x14ac:dyDescent="0.25">
      <c r="A1678">
        <v>1132.2661230000001</v>
      </c>
      <c r="B1678" s="1">
        <f>DATE(2013,6,6) + TIME(6,23,13)</f>
        <v>41431.266122685185</v>
      </c>
      <c r="C1678">
        <v>80</v>
      </c>
      <c r="D1678">
        <v>79.963516235</v>
      </c>
      <c r="E1678">
        <v>50</v>
      </c>
      <c r="F1678">
        <v>47.894779204999999</v>
      </c>
      <c r="G1678">
        <v>1354.3511963000001</v>
      </c>
      <c r="H1678">
        <v>1347.9556885</v>
      </c>
      <c r="I1678">
        <v>1313.9963379000001</v>
      </c>
      <c r="J1678">
        <v>1306.3496094</v>
      </c>
      <c r="K1678">
        <v>2400</v>
      </c>
      <c r="L1678">
        <v>0</v>
      </c>
      <c r="M1678">
        <v>0</v>
      </c>
      <c r="N1678">
        <v>2400</v>
      </c>
    </row>
    <row r="1679" spans="1:14" x14ac:dyDescent="0.25">
      <c r="A1679">
        <v>1132.9592929999999</v>
      </c>
      <c r="B1679" s="1">
        <f>DATE(2013,6,6) + TIME(23,1,22)</f>
        <v>41431.959282407406</v>
      </c>
      <c r="C1679">
        <v>80</v>
      </c>
      <c r="D1679">
        <v>79.963493346999996</v>
      </c>
      <c r="E1679">
        <v>50</v>
      </c>
      <c r="F1679">
        <v>47.863952636999997</v>
      </c>
      <c r="G1679">
        <v>1354.3300781</v>
      </c>
      <c r="H1679">
        <v>1347.9421387</v>
      </c>
      <c r="I1679">
        <v>1313.9879149999999</v>
      </c>
      <c r="J1679">
        <v>1306.3380127</v>
      </c>
      <c r="K1679">
        <v>2400</v>
      </c>
      <c r="L1679">
        <v>0</v>
      </c>
      <c r="M1679">
        <v>0</v>
      </c>
      <c r="N1679">
        <v>2400</v>
      </c>
    </row>
    <row r="1680" spans="1:14" x14ac:dyDescent="0.25">
      <c r="A1680">
        <v>1133.6655060000001</v>
      </c>
      <c r="B1680" s="1">
        <f>DATE(2013,6,7) + TIME(15,58,19)</f>
        <v>41432.665497685186</v>
      </c>
      <c r="C1680">
        <v>80</v>
      </c>
      <c r="D1680">
        <v>79.963462829999997</v>
      </c>
      <c r="E1680">
        <v>50</v>
      </c>
      <c r="F1680">
        <v>47.832809447999999</v>
      </c>
      <c r="G1680">
        <v>1354.3087158000001</v>
      </c>
      <c r="H1680">
        <v>1347.9285889</v>
      </c>
      <c r="I1680">
        <v>1313.979126</v>
      </c>
      <c r="J1680">
        <v>1306.3260498</v>
      </c>
      <c r="K1680">
        <v>2400</v>
      </c>
      <c r="L1680">
        <v>0</v>
      </c>
      <c r="M1680">
        <v>0</v>
      </c>
      <c r="N1680">
        <v>2400</v>
      </c>
    </row>
    <row r="1681" spans="1:14" x14ac:dyDescent="0.25">
      <c r="A1681">
        <v>1134.386645</v>
      </c>
      <c r="B1681" s="1">
        <f>DATE(2013,6,8) + TIME(9,16,46)</f>
        <v>41433.386643518519</v>
      </c>
      <c r="C1681">
        <v>80</v>
      </c>
      <c r="D1681">
        <v>79.963432311999995</v>
      </c>
      <c r="E1681">
        <v>50</v>
      </c>
      <c r="F1681">
        <v>47.801284789999997</v>
      </c>
      <c r="G1681">
        <v>1354.2874756000001</v>
      </c>
      <c r="H1681">
        <v>1347.9149170000001</v>
      </c>
      <c r="I1681">
        <v>1313.9702147999999</v>
      </c>
      <c r="J1681">
        <v>1306.3137207</v>
      </c>
      <c r="K1681">
        <v>2400</v>
      </c>
      <c r="L1681">
        <v>0</v>
      </c>
      <c r="M1681">
        <v>0</v>
      </c>
      <c r="N1681">
        <v>2400</v>
      </c>
    </row>
    <row r="1682" spans="1:14" x14ac:dyDescent="0.25">
      <c r="A1682">
        <v>1135.1247619999999</v>
      </c>
      <c r="B1682" s="1">
        <f>DATE(2013,6,9) + TIME(2,59,39)</f>
        <v>41434.124756944446</v>
      </c>
      <c r="C1682">
        <v>80</v>
      </c>
      <c r="D1682">
        <v>79.963409424000005</v>
      </c>
      <c r="E1682">
        <v>50</v>
      </c>
      <c r="F1682">
        <v>47.769302367999998</v>
      </c>
      <c r="G1682">
        <v>1354.2659911999999</v>
      </c>
      <c r="H1682">
        <v>1347.9012451000001</v>
      </c>
      <c r="I1682">
        <v>1313.9609375</v>
      </c>
      <c r="J1682">
        <v>1306.3009033000001</v>
      </c>
      <c r="K1682">
        <v>2400</v>
      </c>
      <c r="L1682">
        <v>0</v>
      </c>
      <c r="M1682">
        <v>0</v>
      </c>
      <c r="N1682">
        <v>2400</v>
      </c>
    </row>
    <row r="1683" spans="1:14" x14ac:dyDescent="0.25">
      <c r="A1683">
        <v>1135.879171</v>
      </c>
      <c r="B1683" s="1">
        <f>DATE(2013,6,9) + TIME(21,6,0)</f>
        <v>41434.879166666666</v>
      </c>
      <c r="C1683">
        <v>80</v>
      </c>
      <c r="D1683">
        <v>79.963386536000002</v>
      </c>
      <c r="E1683">
        <v>50</v>
      </c>
      <c r="F1683">
        <v>47.736854553000001</v>
      </c>
      <c r="G1683">
        <v>1354.2442627</v>
      </c>
      <c r="H1683">
        <v>1347.8873291</v>
      </c>
      <c r="I1683">
        <v>1313.9512939000001</v>
      </c>
      <c r="J1683">
        <v>1306.2875977000001</v>
      </c>
      <c r="K1683">
        <v>2400</v>
      </c>
      <c r="L1683">
        <v>0</v>
      </c>
      <c r="M1683">
        <v>0</v>
      </c>
      <c r="N1683">
        <v>2400</v>
      </c>
    </row>
    <row r="1684" spans="1:14" x14ac:dyDescent="0.25">
      <c r="A1684">
        <v>1136.6492310000001</v>
      </c>
      <c r="B1684" s="1">
        <f>DATE(2013,6,10) + TIME(15,34,53)</f>
        <v>41435.649224537039</v>
      </c>
      <c r="C1684">
        <v>80</v>
      </c>
      <c r="D1684">
        <v>79.963356017999999</v>
      </c>
      <c r="E1684">
        <v>50</v>
      </c>
      <c r="F1684">
        <v>47.703948975000003</v>
      </c>
      <c r="G1684">
        <v>1354.2225341999999</v>
      </c>
      <c r="H1684">
        <v>1347.8734131000001</v>
      </c>
      <c r="I1684">
        <v>1313.9412841999999</v>
      </c>
      <c r="J1684">
        <v>1306.2738036999999</v>
      </c>
      <c r="K1684">
        <v>2400</v>
      </c>
      <c r="L1684">
        <v>0</v>
      </c>
      <c r="M1684">
        <v>0</v>
      </c>
      <c r="N1684">
        <v>2400</v>
      </c>
    </row>
    <row r="1685" spans="1:14" x14ac:dyDescent="0.25">
      <c r="A1685">
        <v>1137.4320190000001</v>
      </c>
      <c r="B1685" s="1">
        <f>DATE(2013,6,11) + TIME(10,22,6)</f>
        <v>41436.432013888887</v>
      </c>
      <c r="C1685">
        <v>80</v>
      </c>
      <c r="D1685">
        <v>79.963333129999995</v>
      </c>
      <c r="E1685">
        <v>50</v>
      </c>
      <c r="F1685">
        <v>47.670658111999998</v>
      </c>
      <c r="G1685">
        <v>1354.2005615</v>
      </c>
      <c r="H1685">
        <v>1347.8592529</v>
      </c>
      <c r="I1685">
        <v>1313.9310303</v>
      </c>
      <c r="J1685">
        <v>1306.2595214999999</v>
      </c>
      <c r="K1685">
        <v>2400</v>
      </c>
      <c r="L1685">
        <v>0</v>
      </c>
      <c r="M1685">
        <v>0</v>
      </c>
      <c r="N1685">
        <v>2400</v>
      </c>
    </row>
    <row r="1686" spans="1:14" x14ac:dyDescent="0.25">
      <c r="A1686">
        <v>1138.2251759999999</v>
      </c>
      <c r="B1686" s="1">
        <f>DATE(2013,6,12) + TIME(5,24,15)</f>
        <v>41437.225173611114</v>
      </c>
      <c r="C1686">
        <v>80</v>
      </c>
      <c r="D1686">
        <v>79.963302612000007</v>
      </c>
      <c r="E1686">
        <v>50</v>
      </c>
      <c r="F1686">
        <v>47.637069701999998</v>
      </c>
      <c r="G1686">
        <v>1354.1785889</v>
      </c>
      <c r="H1686">
        <v>1347.8452147999999</v>
      </c>
      <c r="I1686">
        <v>1313.9204102000001</v>
      </c>
      <c r="J1686">
        <v>1306.2448730000001</v>
      </c>
      <c r="K1686">
        <v>2400</v>
      </c>
      <c r="L1686">
        <v>0</v>
      </c>
      <c r="M1686">
        <v>0</v>
      </c>
      <c r="N1686">
        <v>2400</v>
      </c>
    </row>
    <row r="1687" spans="1:14" x14ac:dyDescent="0.25">
      <c r="A1687">
        <v>1139.0308070000001</v>
      </c>
      <c r="B1687" s="1">
        <f>DATE(2013,6,13) + TIME(0,44,21)</f>
        <v>41438.030798611115</v>
      </c>
      <c r="C1687">
        <v>80</v>
      </c>
      <c r="D1687">
        <v>79.963279724000003</v>
      </c>
      <c r="E1687">
        <v>50</v>
      </c>
      <c r="F1687">
        <v>47.603183745999999</v>
      </c>
      <c r="G1687">
        <v>1354.1567382999999</v>
      </c>
      <c r="H1687">
        <v>1347.8310547000001</v>
      </c>
      <c r="I1687">
        <v>1313.9095459</v>
      </c>
      <c r="J1687">
        <v>1306.2296143000001</v>
      </c>
      <c r="K1687">
        <v>2400</v>
      </c>
      <c r="L1687">
        <v>0</v>
      </c>
      <c r="M1687">
        <v>0</v>
      </c>
      <c r="N1687">
        <v>2400</v>
      </c>
    </row>
    <row r="1688" spans="1:14" x14ac:dyDescent="0.25">
      <c r="A1688">
        <v>1139.8510960000001</v>
      </c>
      <c r="B1688" s="1">
        <f>DATE(2013,6,13) + TIME(20,25,34)</f>
        <v>41438.851087962961</v>
      </c>
      <c r="C1688">
        <v>80</v>
      </c>
      <c r="D1688">
        <v>79.963249207000004</v>
      </c>
      <c r="E1688">
        <v>50</v>
      </c>
      <c r="F1688">
        <v>47.568954468000001</v>
      </c>
      <c r="G1688">
        <v>1354.1347656</v>
      </c>
      <c r="H1688">
        <v>1347.8168945</v>
      </c>
      <c r="I1688">
        <v>1313.8983154</v>
      </c>
      <c r="J1688">
        <v>1306.2139893000001</v>
      </c>
      <c r="K1688">
        <v>2400</v>
      </c>
      <c r="L1688">
        <v>0</v>
      </c>
      <c r="M1688">
        <v>0</v>
      </c>
      <c r="N1688">
        <v>2400</v>
      </c>
    </row>
    <row r="1689" spans="1:14" x14ac:dyDescent="0.25">
      <c r="A1689">
        <v>1140.6756949999999</v>
      </c>
      <c r="B1689" s="1">
        <f>DATE(2013,6,14) + TIME(16,13,0)</f>
        <v>41439.675694444442</v>
      </c>
      <c r="C1689">
        <v>80</v>
      </c>
      <c r="D1689">
        <v>79.963226317999997</v>
      </c>
      <c r="E1689">
        <v>50</v>
      </c>
      <c r="F1689">
        <v>47.534595490000001</v>
      </c>
      <c r="G1689">
        <v>1354.1126709</v>
      </c>
      <c r="H1689">
        <v>1347.8027344</v>
      </c>
      <c r="I1689">
        <v>1313.8867187999999</v>
      </c>
      <c r="J1689">
        <v>1306.1977539</v>
      </c>
      <c r="K1689">
        <v>2400</v>
      </c>
      <c r="L1689">
        <v>0</v>
      </c>
      <c r="M1689">
        <v>0</v>
      </c>
      <c r="N1689">
        <v>2400</v>
      </c>
    </row>
    <row r="1690" spans="1:14" x14ac:dyDescent="0.25">
      <c r="A1690">
        <v>1141.505549</v>
      </c>
      <c r="B1690" s="1">
        <f>DATE(2013,6,15) + TIME(12,7,59)</f>
        <v>41440.505543981482</v>
      </c>
      <c r="C1690">
        <v>80</v>
      </c>
      <c r="D1690">
        <v>79.963203429999993</v>
      </c>
      <c r="E1690">
        <v>50</v>
      </c>
      <c r="F1690">
        <v>47.500175476000003</v>
      </c>
      <c r="G1690">
        <v>1354.0909423999999</v>
      </c>
      <c r="H1690">
        <v>1347.7885742000001</v>
      </c>
      <c r="I1690">
        <v>1313.8748779</v>
      </c>
      <c r="J1690">
        <v>1306.1812743999999</v>
      </c>
      <c r="K1690">
        <v>2400</v>
      </c>
      <c r="L1690">
        <v>0</v>
      </c>
      <c r="M1690">
        <v>0</v>
      </c>
      <c r="N1690">
        <v>2400</v>
      </c>
    </row>
    <row r="1691" spans="1:14" x14ac:dyDescent="0.25">
      <c r="A1691">
        <v>1142.3426159999999</v>
      </c>
      <c r="B1691" s="1">
        <f>DATE(2013,6,16) + TIME(8,13,22)</f>
        <v>41441.342615740738</v>
      </c>
      <c r="C1691">
        <v>80</v>
      </c>
      <c r="D1691">
        <v>79.963180542000003</v>
      </c>
      <c r="E1691">
        <v>50</v>
      </c>
      <c r="F1691">
        <v>47.465694427000003</v>
      </c>
      <c r="G1691">
        <v>1354.0693358999999</v>
      </c>
      <c r="H1691">
        <v>1347.7746582</v>
      </c>
      <c r="I1691">
        <v>1313.862793</v>
      </c>
      <c r="J1691">
        <v>1306.1643065999999</v>
      </c>
      <c r="K1691">
        <v>2400</v>
      </c>
      <c r="L1691">
        <v>0</v>
      </c>
      <c r="M1691">
        <v>0</v>
      </c>
      <c r="N1691">
        <v>2400</v>
      </c>
    </row>
    <row r="1692" spans="1:14" x14ac:dyDescent="0.25">
      <c r="A1692">
        <v>1143.1891969999999</v>
      </c>
      <c r="B1692" s="1">
        <f>DATE(2013,6,17) + TIME(4,32,26)</f>
        <v>41442.189189814817</v>
      </c>
      <c r="C1692">
        <v>80</v>
      </c>
      <c r="D1692">
        <v>79.963150024000001</v>
      </c>
      <c r="E1692">
        <v>50</v>
      </c>
      <c r="F1692">
        <v>47.431102752999998</v>
      </c>
      <c r="G1692">
        <v>1354.0477295000001</v>
      </c>
      <c r="H1692">
        <v>1347.7607422000001</v>
      </c>
      <c r="I1692">
        <v>1313.8504639</v>
      </c>
      <c r="J1692">
        <v>1306.1468506000001</v>
      </c>
      <c r="K1692">
        <v>2400</v>
      </c>
      <c r="L1692">
        <v>0</v>
      </c>
      <c r="M1692">
        <v>0</v>
      </c>
      <c r="N1692">
        <v>2400</v>
      </c>
    </row>
    <row r="1693" spans="1:14" x14ac:dyDescent="0.25">
      <c r="A1693">
        <v>1144.0447999999999</v>
      </c>
      <c r="B1693" s="1">
        <f>DATE(2013,6,18) + TIME(1,4,30)</f>
        <v>41443.044791666667</v>
      </c>
      <c r="C1693">
        <v>80</v>
      </c>
      <c r="D1693">
        <v>79.963127135999997</v>
      </c>
      <c r="E1693">
        <v>50</v>
      </c>
      <c r="F1693">
        <v>47.396400452000002</v>
      </c>
      <c r="G1693">
        <v>1354.0263672000001</v>
      </c>
      <c r="H1693">
        <v>1347.7468262</v>
      </c>
      <c r="I1693">
        <v>1313.8378906</v>
      </c>
      <c r="J1693">
        <v>1306.1290283000001</v>
      </c>
      <c r="K1693">
        <v>2400</v>
      </c>
      <c r="L1693">
        <v>0</v>
      </c>
      <c r="M1693">
        <v>0</v>
      </c>
      <c r="N1693">
        <v>2400</v>
      </c>
    </row>
    <row r="1694" spans="1:14" x14ac:dyDescent="0.25">
      <c r="A1694">
        <v>1144.9089059999999</v>
      </c>
      <c r="B1694" s="1">
        <f>DATE(2013,6,18) + TIME(21,48,49)</f>
        <v>41443.908900462964</v>
      </c>
      <c r="C1694">
        <v>80</v>
      </c>
      <c r="D1694">
        <v>79.963104247999993</v>
      </c>
      <c r="E1694">
        <v>50</v>
      </c>
      <c r="F1694">
        <v>47.361587524000001</v>
      </c>
      <c r="G1694">
        <v>1354.0048827999999</v>
      </c>
      <c r="H1694">
        <v>1347.7329102000001</v>
      </c>
      <c r="I1694">
        <v>1313.8248291</v>
      </c>
      <c r="J1694">
        <v>1306.1105957</v>
      </c>
      <c r="K1694">
        <v>2400</v>
      </c>
      <c r="L1694">
        <v>0</v>
      </c>
      <c r="M1694">
        <v>0</v>
      </c>
      <c r="N1694">
        <v>2400</v>
      </c>
    </row>
    <row r="1695" spans="1:14" x14ac:dyDescent="0.25">
      <c r="A1695">
        <v>1145.7836930000001</v>
      </c>
      <c r="B1695" s="1">
        <f>DATE(2013,6,19) + TIME(18,48,31)</f>
        <v>41444.783692129633</v>
      </c>
      <c r="C1695">
        <v>80</v>
      </c>
      <c r="D1695">
        <v>79.963081360000004</v>
      </c>
      <c r="E1695">
        <v>50</v>
      </c>
      <c r="F1695">
        <v>47.326629638999997</v>
      </c>
      <c r="G1695">
        <v>1353.9836425999999</v>
      </c>
      <c r="H1695">
        <v>1347.7189940999999</v>
      </c>
      <c r="I1695">
        <v>1313.8116454999999</v>
      </c>
      <c r="J1695">
        <v>1306.0917969</v>
      </c>
      <c r="K1695">
        <v>2400</v>
      </c>
      <c r="L1695">
        <v>0</v>
      </c>
      <c r="M1695">
        <v>0</v>
      </c>
      <c r="N1695">
        <v>2400</v>
      </c>
    </row>
    <row r="1696" spans="1:14" x14ac:dyDescent="0.25">
      <c r="A1696">
        <v>1146.6714340000001</v>
      </c>
      <c r="B1696" s="1">
        <f>DATE(2013,6,20) + TIME(16,6,51)</f>
        <v>41445.671423611115</v>
      </c>
      <c r="C1696">
        <v>80</v>
      </c>
      <c r="D1696">
        <v>79.963058472</v>
      </c>
      <c r="E1696">
        <v>50</v>
      </c>
      <c r="F1696">
        <v>47.291461945000002</v>
      </c>
      <c r="G1696">
        <v>1353.9624022999999</v>
      </c>
      <c r="H1696">
        <v>1347.7052002</v>
      </c>
      <c r="I1696">
        <v>1313.7979736</v>
      </c>
      <c r="J1696">
        <v>1306.0723877</v>
      </c>
      <c r="K1696">
        <v>2400</v>
      </c>
      <c r="L1696">
        <v>0</v>
      </c>
      <c r="M1696">
        <v>0</v>
      </c>
      <c r="N1696">
        <v>2400</v>
      </c>
    </row>
    <row r="1697" spans="1:14" x14ac:dyDescent="0.25">
      <c r="A1697">
        <v>1147.5741210000001</v>
      </c>
      <c r="B1697" s="1">
        <f>DATE(2013,6,21) + TIME(13,46,44)</f>
        <v>41446.574120370373</v>
      </c>
      <c r="C1697">
        <v>80</v>
      </c>
      <c r="D1697">
        <v>79.963035583000007</v>
      </c>
      <c r="E1697">
        <v>50</v>
      </c>
      <c r="F1697">
        <v>47.256019592000001</v>
      </c>
      <c r="G1697">
        <v>1353.9410399999999</v>
      </c>
      <c r="H1697">
        <v>1347.6912841999999</v>
      </c>
      <c r="I1697">
        <v>1313.7839355000001</v>
      </c>
      <c r="J1697">
        <v>1306.0523682</v>
      </c>
      <c r="K1697">
        <v>2400</v>
      </c>
      <c r="L1697">
        <v>0</v>
      </c>
      <c r="M1697">
        <v>0</v>
      </c>
      <c r="N1697">
        <v>2400</v>
      </c>
    </row>
    <row r="1698" spans="1:14" x14ac:dyDescent="0.25">
      <c r="A1698">
        <v>1148.494117</v>
      </c>
      <c r="B1698" s="1">
        <f>DATE(2013,6,22) + TIME(11,51,31)</f>
        <v>41447.494108796294</v>
      </c>
      <c r="C1698">
        <v>80</v>
      </c>
      <c r="D1698">
        <v>79.963020325000002</v>
      </c>
      <c r="E1698">
        <v>50</v>
      </c>
      <c r="F1698">
        <v>47.220226287999999</v>
      </c>
      <c r="G1698">
        <v>1353.9196777</v>
      </c>
      <c r="H1698">
        <v>1347.6773682</v>
      </c>
      <c r="I1698">
        <v>1313.7695312000001</v>
      </c>
      <c r="J1698">
        <v>1306.0316161999999</v>
      </c>
      <c r="K1698">
        <v>2400</v>
      </c>
      <c r="L1698">
        <v>0</v>
      </c>
      <c r="M1698">
        <v>0</v>
      </c>
      <c r="N1698">
        <v>2400</v>
      </c>
    </row>
    <row r="1699" spans="1:14" x14ac:dyDescent="0.25">
      <c r="A1699">
        <v>1149.434</v>
      </c>
      <c r="B1699" s="1">
        <f>DATE(2013,6,23) + TIME(10,24,57)</f>
        <v>41448.433993055558</v>
      </c>
      <c r="C1699">
        <v>80</v>
      </c>
      <c r="D1699">
        <v>79.962997436999999</v>
      </c>
      <c r="E1699">
        <v>50</v>
      </c>
      <c r="F1699">
        <v>47.184005737</v>
      </c>
      <c r="G1699">
        <v>1353.8981934000001</v>
      </c>
      <c r="H1699">
        <v>1347.6633300999999</v>
      </c>
      <c r="I1699">
        <v>1313.7546387</v>
      </c>
      <c r="J1699">
        <v>1306.0102539</v>
      </c>
      <c r="K1699">
        <v>2400</v>
      </c>
      <c r="L1699">
        <v>0</v>
      </c>
      <c r="M1699">
        <v>0</v>
      </c>
      <c r="N1699">
        <v>2400</v>
      </c>
    </row>
    <row r="1700" spans="1:14" x14ac:dyDescent="0.25">
      <c r="A1700">
        <v>1150.394227</v>
      </c>
      <c r="B1700" s="1">
        <f>DATE(2013,6,24) + TIME(9,27,41)</f>
        <v>41449.394224537034</v>
      </c>
      <c r="C1700">
        <v>80</v>
      </c>
      <c r="D1700">
        <v>79.962974548000005</v>
      </c>
      <c r="E1700">
        <v>50</v>
      </c>
      <c r="F1700">
        <v>47.147308350000003</v>
      </c>
      <c r="G1700">
        <v>1353.8765868999999</v>
      </c>
      <c r="H1700">
        <v>1347.6490478999999</v>
      </c>
      <c r="I1700">
        <v>1313.7391356999999</v>
      </c>
      <c r="J1700">
        <v>1305.9879149999999</v>
      </c>
      <c r="K1700">
        <v>2400</v>
      </c>
      <c r="L1700">
        <v>0</v>
      </c>
      <c r="M1700">
        <v>0</v>
      </c>
      <c r="N1700">
        <v>2400</v>
      </c>
    </row>
    <row r="1701" spans="1:14" x14ac:dyDescent="0.25">
      <c r="A1701">
        <v>1151.3713</v>
      </c>
      <c r="B1701" s="1">
        <f>DATE(2013,6,25) + TIME(8,54,40)</f>
        <v>41450.371296296296</v>
      </c>
      <c r="C1701">
        <v>80</v>
      </c>
      <c r="D1701">
        <v>79.962951660000002</v>
      </c>
      <c r="E1701">
        <v>50</v>
      </c>
      <c r="F1701">
        <v>47.110183716000002</v>
      </c>
      <c r="G1701">
        <v>1353.8548584</v>
      </c>
      <c r="H1701">
        <v>1347.6347656</v>
      </c>
      <c r="I1701">
        <v>1313.7231445</v>
      </c>
      <c r="J1701">
        <v>1305.9648437999999</v>
      </c>
      <c r="K1701">
        <v>2400</v>
      </c>
      <c r="L1701">
        <v>0</v>
      </c>
      <c r="M1701">
        <v>0</v>
      </c>
      <c r="N1701">
        <v>2400</v>
      </c>
    </row>
    <row r="1702" spans="1:14" x14ac:dyDescent="0.25">
      <c r="A1702">
        <v>1152.3682020000001</v>
      </c>
      <c r="B1702" s="1">
        <f>DATE(2013,6,26) + TIME(8,50,12)</f>
        <v>41451.368194444447</v>
      </c>
      <c r="C1702">
        <v>80</v>
      </c>
      <c r="D1702">
        <v>79.962936400999993</v>
      </c>
      <c r="E1702">
        <v>50</v>
      </c>
      <c r="F1702">
        <v>47.072608948000003</v>
      </c>
      <c r="G1702">
        <v>1353.8328856999999</v>
      </c>
      <c r="H1702">
        <v>1347.6203613</v>
      </c>
      <c r="I1702">
        <v>1313.706543</v>
      </c>
      <c r="J1702">
        <v>1305.940918</v>
      </c>
      <c r="K1702">
        <v>2400</v>
      </c>
      <c r="L1702">
        <v>0</v>
      </c>
      <c r="M1702">
        <v>0</v>
      </c>
      <c r="N1702">
        <v>2400</v>
      </c>
    </row>
    <row r="1703" spans="1:14" x14ac:dyDescent="0.25">
      <c r="A1703">
        <v>1153.388044</v>
      </c>
      <c r="B1703" s="1">
        <f>DATE(2013,6,27) + TIME(9,18,47)</f>
        <v>41452.388043981482</v>
      </c>
      <c r="C1703">
        <v>80</v>
      </c>
      <c r="D1703">
        <v>79.962913513000004</v>
      </c>
      <c r="E1703">
        <v>50</v>
      </c>
      <c r="F1703">
        <v>47.034526825</v>
      </c>
      <c r="G1703">
        <v>1353.8109131000001</v>
      </c>
      <c r="H1703">
        <v>1347.6058350000001</v>
      </c>
      <c r="I1703">
        <v>1313.6894531</v>
      </c>
      <c r="J1703">
        <v>1305.9160156</v>
      </c>
      <c r="K1703">
        <v>2400</v>
      </c>
      <c r="L1703">
        <v>0</v>
      </c>
      <c r="M1703">
        <v>0</v>
      </c>
      <c r="N1703">
        <v>2400</v>
      </c>
    </row>
    <row r="1704" spans="1:14" x14ac:dyDescent="0.25">
      <c r="A1704">
        <v>1154.423061</v>
      </c>
      <c r="B1704" s="1">
        <f>DATE(2013,6,28) + TIME(10,9,12)</f>
        <v>41453.423055555555</v>
      </c>
      <c r="C1704">
        <v>80</v>
      </c>
      <c r="D1704">
        <v>79.962890625</v>
      </c>
      <c r="E1704">
        <v>50</v>
      </c>
      <c r="F1704">
        <v>46.996040344000001</v>
      </c>
      <c r="G1704">
        <v>1353.7886963000001</v>
      </c>
      <c r="H1704">
        <v>1347.5911865</v>
      </c>
      <c r="I1704">
        <v>1313.6717529</v>
      </c>
      <c r="J1704">
        <v>1305.8902588000001</v>
      </c>
      <c r="K1704">
        <v>2400</v>
      </c>
      <c r="L1704">
        <v>0</v>
      </c>
      <c r="M1704">
        <v>0</v>
      </c>
      <c r="N1704">
        <v>2400</v>
      </c>
    </row>
    <row r="1705" spans="1:14" x14ac:dyDescent="0.25">
      <c r="A1705">
        <v>1155.4584850000001</v>
      </c>
      <c r="B1705" s="1">
        <f>DATE(2013,6,29) + TIME(11,0,13)</f>
        <v>41454.458483796298</v>
      </c>
      <c r="C1705">
        <v>80</v>
      </c>
      <c r="D1705">
        <v>79.962875366000006</v>
      </c>
      <c r="E1705">
        <v>50</v>
      </c>
      <c r="F1705">
        <v>46.957477570000002</v>
      </c>
      <c r="G1705">
        <v>1353.7664795000001</v>
      </c>
      <c r="H1705">
        <v>1347.5764160000001</v>
      </c>
      <c r="I1705">
        <v>1313.6534423999999</v>
      </c>
      <c r="J1705">
        <v>1305.8636475000001</v>
      </c>
      <c r="K1705">
        <v>2400</v>
      </c>
      <c r="L1705">
        <v>0</v>
      </c>
      <c r="M1705">
        <v>0</v>
      </c>
      <c r="N1705">
        <v>2400</v>
      </c>
    </row>
    <row r="1706" spans="1:14" x14ac:dyDescent="0.25">
      <c r="A1706">
        <v>1156.4962599999999</v>
      </c>
      <c r="B1706" s="1">
        <f>DATE(2013,6,30) + TIME(11,54,36)</f>
        <v>41455.496249999997</v>
      </c>
      <c r="C1706">
        <v>80</v>
      </c>
      <c r="D1706">
        <v>79.962852478000002</v>
      </c>
      <c r="E1706">
        <v>50</v>
      </c>
      <c r="F1706">
        <v>46.918998717999997</v>
      </c>
      <c r="G1706">
        <v>1353.7445068</v>
      </c>
      <c r="H1706">
        <v>1347.5618896000001</v>
      </c>
      <c r="I1706">
        <v>1313.6348877</v>
      </c>
      <c r="J1706">
        <v>1305.8364257999999</v>
      </c>
      <c r="K1706">
        <v>2400</v>
      </c>
      <c r="L1706">
        <v>0</v>
      </c>
      <c r="M1706">
        <v>0</v>
      </c>
      <c r="N1706">
        <v>2400</v>
      </c>
    </row>
    <row r="1707" spans="1:14" x14ac:dyDescent="0.25">
      <c r="A1707">
        <v>1157</v>
      </c>
      <c r="B1707" s="1">
        <f>DATE(2013,7,1) + TIME(0,0,0)</f>
        <v>41456</v>
      </c>
      <c r="C1707">
        <v>80</v>
      </c>
      <c r="D1707">
        <v>79.962837218999994</v>
      </c>
      <c r="E1707">
        <v>50</v>
      </c>
      <c r="F1707">
        <v>46.893188477000002</v>
      </c>
      <c r="G1707">
        <v>1353.7226562000001</v>
      </c>
      <c r="H1707">
        <v>1347.5473632999999</v>
      </c>
      <c r="I1707">
        <v>1313.6165771000001</v>
      </c>
      <c r="J1707">
        <v>1305.8111572</v>
      </c>
      <c r="K1707">
        <v>2400</v>
      </c>
      <c r="L1707">
        <v>0</v>
      </c>
      <c r="M1707">
        <v>0</v>
      </c>
      <c r="N1707">
        <v>2400</v>
      </c>
    </row>
    <row r="1708" spans="1:14" x14ac:dyDescent="0.25">
      <c r="A1708">
        <v>1158.042436</v>
      </c>
      <c r="B1708" s="1">
        <f>DATE(2013,7,2) + TIME(1,1,6)</f>
        <v>41457.042430555557</v>
      </c>
      <c r="C1708">
        <v>80</v>
      </c>
      <c r="D1708">
        <v>79.962821959999999</v>
      </c>
      <c r="E1708">
        <v>50</v>
      </c>
      <c r="F1708">
        <v>46.858890533</v>
      </c>
      <c r="G1708">
        <v>1353.7122803</v>
      </c>
      <c r="H1708">
        <v>1347.5405272999999</v>
      </c>
      <c r="I1708">
        <v>1313.6062012</v>
      </c>
      <c r="J1708">
        <v>1305.7938231999999</v>
      </c>
      <c r="K1708">
        <v>2400</v>
      </c>
      <c r="L1708">
        <v>0</v>
      </c>
      <c r="M1708">
        <v>0</v>
      </c>
      <c r="N1708">
        <v>2400</v>
      </c>
    </row>
    <row r="1709" spans="1:14" x14ac:dyDescent="0.25">
      <c r="A1709">
        <v>1159.096309</v>
      </c>
      <c r="B1709" s="1">
        <f>DATE(2013,7,3) + TIME(2,18,41)</f>
        <v>41458.096307870372</v>
      </c>
      <c r="C1709">
        <v>80</v>
      </c>
      <c r="D1709">
        <v>79.962806701999995</v>
      </c>
      <c r="E1709">
        <v>50</v>
      </c>
      <c r="F1709">
        <v>46.822479248</v>
      </c>
      <c r="G1709">
        <v>1353.690918</v>
      </c>
      <c r="H1709">
        <v>1347.5262451000001</v>
      </c>
      <c r="I1709">
        <v>1313.5871582</v>
      </c>
      <c r="J1709">
        <v>1305.7659911999999</v>
      </c>
      <c r="K1709">
        <v>2400</v>
      </c>
      <c r="L1709">
        <v>0</v>
      </c>
      <c r="M1709">
        <v>0</v>
      </c>
      <c r="N1709">
        <v>2400</v>
      </c>
    </row>
    <row r="1710" spans="1:14" x14ac:dyDescent="0.25">
      <c r="A1710">
        <v>1160.1639500000001</v>
      </c>
      <c r="B1710" s="1">
        <f>DATE(2013,7,4) + TIME(3,56,5)</f>
        <v>41459.163946759261</v>
      </c>
      <c r="C1710">
        <v>80</v>
      </c>
      <c r="D1710">
        <v>79.962791443</v>
      </c>
      <c r="E1710">
        <v>50</v>
      </c>
      <c r="F1710">
        <v>46.785015106000003</v>
      </c>
      <c r="G1710">
        <v>1353.6696777</v>
      </c>
      <c r="H1710">
        <v>1347.5119629000001</v>
      </c>
      <c r="I1710">
        <v>1313.5673827999999</v>
      </c>
      <c r="J1710">
        <v>1305.7370605000001</v>
      </c>
      <c r="K1710">
        <v>2400</v>
      </c>
      <c r="L1710">
        <v>0</v>
      </c>
      <c r="M1710">
        <v>0</v>
      </c>
      <c r="N1710">
        <v>2400</v>
      </c>
    </row>
    <row r="1711" spans="1:14" x14ac:dyDescent="0.25">
      <c r="A1711">
        <v>1161.2484549999999</v>
      </c>
      <c r="B1711" s="1">
        <f>DATE(2013,7,5) + TIME(5,57,46)</f>
        <v>41460.248449074075</v>
      </c>
      <c r="C1711">
        <v>80</v>
      </c>
      <c r="D1711">
        <v>79.962776184000006</v>
      </c>
      <c r="E1711">
        <v>50</v>
      </c>
      <c r="F1711">
        <v>46.746929168999998</v>
      </c>
      <c r="G1711">
        <v>1353.6483154</v>
      </c>
      <c r="H1711">
        <v>1347.4976807</v>
      </c>
      <c r="I1711">
        <v>1313.5471190999999</v>
      </c>
      <c r="J1711">
        <v>1305.7071533000001</v>
      </c>
      <c r="K1711">
        <v>2400</v>
      </c>
      <c r="L1711">
        <v>0</v>
      </c>
      <c r="M1711">
        <v>0</v>
      </c>
      <c r="N1711">
        <v>2400</v>
      </c>
    </row>
    <row r="1712" spans="1:14" x14ac:dyDescent="0.25">
      <c r="A1712">
        <v>1162.3525279999999</v>
      </c>
      <c r="B1712" s="1">
        <f>DATE(2013,7,6) + TIME(8,27,38)</f>
        <v>41461.352523148147</v>
      </c>
      <c r="C1712">
        <v>80</v>
      </c>
      <c r="D1712">
        <v>79.962760924999998</v>
      </c>
      <c r="E1712">
        <v>50</v>
      </c>
      <c r="F1712">
        <v>46.708377837999997</v>
      </c>
      <c r="G1712">
        <v>1353.6269531</v>
      </c>
      <c r="H1712">
        <v>1347.4833983999999</v>
      </c>
      <c r="I1712">
        <v>1313.5262451000001</v>
      </c>
      <c r="J1712">
        <v>1305.6761475000001</v>
      </c>
      <c r="K1712">
        <v>2400</v>
      </c>
      <c r="L1712">
        <v>0</v>
      </c>
      <c r="M1712">
        <v>0</v>
      </c>
      <c r="N1712">
        <v>2400</v>
      </c>
    </row>
    <row r="1713" spans="1:14" x14ac:dyDescent="0.25">
      <c r="A1713">
        <v>1163.479343</v>
      </c>
      <c r="B1713" s="1">
        <f>DATE(2013,7,7) + TIME(11,30,15)</f>
        <v>41462.47934027778</v>
      </c>
      <c r="C1713">
        <v>80</v>
      </c>
      <c r="D1713">
        <v>79.962745666999993</v>
      </c>
      <c r="E1713">
        <v>50</v>
      </c>
      <c r="F1713">
        <v>46.669384002999998</v>
      </c>
      <c r="G1713">
        <v>1353.6053466999999</v>
      </c>
      <c r="H1713">
        <v>1347.4688721</v>
      </c>
      <c r="I1713">
        <v>1313.5046387</v>
      </c>
      <c r="J1713">
        <v>1305.644043</v>
      </c>
      <c r="K1713">
        <v>2400</v>
      </c>
      <c r="L1713">
        <v>0</v>
      </c>
      <c r="M1713">
        <v>0</v>
      </c>
      <c r="N1713">
        <v>2400</v>
      </c>
    </row>
    <row r="1714" spans="1:14" x14ac:dyDescent="0.25">
      <c r="A1714">
        <v>1164.632366</v>
      </c>
      <c r="B1714" s="1">
        <f>DATE(2013,7,8) + TIME(15,10,36)</f>
        <v>41463.632361111115</v>
      </c>
      <c r="C1714">
        <v>80</v>
      </c>
      <c r="D1714">
        <v>79.962722778</v>
      </c>
      <c r="E1714">
        <v>50</v>
      </c>
      <c r="F1714">
        <v>46.629905700999998</v>
      </c>
      <c r="G1714">
        <v>1353.5837402</v>
      </c>
      <c r="H1714">
        <v>1347.4543457</v>
      </c>
      <c r="I1714">
        <v>1313.4824219</v>
      </c>
      <c r="J1714">
        <v>1305.6108397999999</v>
      </c>
      <c r="K1714">
        <v>2400</v>
      </c>
      <c r="L1714">
        <v>0</v>
      </c>
      <c r="M1714">
        <v>0</v>
      </c>
      <c r="N1714">
        <v>2400</v>
      </c>
    </row>
    <row r="1715" spans="1:14" x14ac:dyDescent="0.25">
      <c r="A1715">
        <v>1165.8011289999999</v>
      </c>
      <c r="B1715" s="1">
        <f>DATE(2013,7,9) + TIME(19,13,37)</f>
        <v>41464.801122685189</v>
      </c>
      <c r="C1715">
        <v>80</v>
      </c>
      <c r="D1715">
        <v>79.962707519999995</v>
      </c>
      <c r="E1715">
        <v>50</v>
      </c>
      <c r="F1715">
        <v>46.590080260999997</v>
      </c>
      <c r="G1715">
        <v>1353.5617675999999</v>
      </c>
      <c r="H1715">
        <v>1347.4395752</v>
      </c>
      <c r="I1715">
        <v>1313.4593506000001</v>
      </c>
      <c r="J1715">
        <v>1305.5762939000001</v>
      </c>
      <c r="K1715">
        <v>2400</v>
      </c>
      <c r="L1715">
        <v>0</v>
      </c>
      <c r="M1715">
        <v>0</v>
      </c>
      <c r="N1715">
        <v>2400</v>
      </c>
    </row>
    <row r="1716" spans="1:14" x14ac:dyDescent="0.25">
      <c r="A1716">
        <v>1166.9879980000001</v>
      </c>
      <c r="B1716" s="1">
        <f>DATE(2013,7,10) + TIME(23,42,43)</f>
        <v>41465.987997685188</v>
      </c>
      <c r="C1716">
        <v>80</v>
      </c>
      <c r="D1716">
        <v>79.962692261000001</v>
      </c>
      <c r="E1716">
        <v>50</v>
      </c>
      <c r="F1716">
        <v>46.549999237000002</v>
      </c>
      <c r="G1716">
        <v>1353.5399170000001</v>
      </c>
      <c r="H1716">
        <v>1347.4246826000001</v>
      </c>
      <c r="I1716">
        <v>1313.4356689000001</v>
      </c>
      <c r="J1716">
        <v>1305.5408935999999</v>
      </c>
      <c r="K1716">
        <v>2400</v>
      </c>
      <c r="L1716">
        <v>0</v>
      </c>
      <c r="M1716">
        <v>0</v>
      </c>
      <c r="N1716">
        <v>2400</v>
      </c>
    </row>
    <row r="1717" spans="1:14" x14ac:dyDescent="0.25">
      <c r="A1717">
        <v>1168.1964350000001</v>
      </c>
      <c r="B1717" s="1">
        <f>DATE(2013,7,12) + TIME(4,42,52)</f>
        <v>41467.196435185186</v>
      </c>
      <c r="C1717">
        <v>80</v>
      </c>
      <c r="D1717">
        <v>79.962684631000002</v>
      </c>
      <c r="E1717">
        <v>50</v>
      </c>
      <c r="F1717">
        <v>46.509651183999999</v>
      </c>
      <c r="G1717">
        <v>1353.5179443</v>
      </c>
      <c r="H1717">
        <v>1347.4097899999999</v>
      </c>
      <c r="I1717">
        <v>1313.4113769999999</v>
      </c>
      <c r="J1717">
        <v>1305.5042725000001</v>
      </c>
      <c r="K1717">
        <v>2400</v>
      </c>
      <c r="L1717">
        <v>0</v>
      </c>
      <c r="M1717">
        <v>0</v>
      </c>
      <c r="N1717">
        <v>2400</v>
      </c>
    </row>
    <row r="1718" spans="1:14" x14ac:dyDescent="0.25">
      <c r="A1718">
        <v>1169.4301519999999</v>
      </c>
      <c r="B1718" s="1">
        <f>DATE(2013,7,13) + TIME(10,19,25)</f>
        <v>41468.430150462962</v>
      </c>
      <c r="C1718">
        <v>80</v>
      </c>
      <c r="D1718">
        <v>79.962669372999997</v>
      </c>
      <c r="E1718">
        <v>50</v>
      </c>
      <c r="F1718">
        <v>46.468990325999997</v>
      </c>
      <c r="G1718">
        <v>1353.4958495999999</v>
      </c>
      <c r="H1718">
        <v>1347.3947754000001</v>
      </c>
      <c r="I1718">
        <v>1313.3863524999999</v>
      </c>
      <c r="J1718">
        <v>1305.4664307</v>
      </c>
      <c r="K1718">
        <v>2400</v>
      </c>
      <c r="L1718">
        <v>0</v>
      </c>
      <c r="M1718">
        <v>0</v>
      </c>
      <c r="N1718">
        <v>2400</v>
      </c>
    </row>
    <row r="1719" spans="1:14" x14ac:dyDescent="0.25">
      <c r="A1719">
        <v>1170.6931689999999</v>
      </c>
      <c r="B1719" s="1">
        <f>DATE(2013,7,14) + TIME(16,38,9)</f>
        <v>41469.693159722221</v>
      </c>
      <c r="C1719">
        <v>80</v>
      </c>
      <c r="D1719">
        <v>79.962654114000003</v>
      </c>
      <c r="E1719">
        <v>50</v>
      </c>
      <c r="F1719">
        <v>46.427936553999999</v>
      </c>
      <c r="G1719">
        <v>1353.4736327999999</v>
      </c>
      <c r="H1719">
        <v>1347.3796387</v>
      </c>
      <c r="I1719">
        <v>1313.3604736</v>
      </c>
      <c r="J1719">
        <v>1305.4272461</v>
      </c>
      <c r="K1719">
        <v>2400</v>
      </c>
      <c r="L1719">
        <v>0</v>
      </c>
      <c r="M1719">
        <v>0</v>
      </c>
      <c r="N1719">
        <v>2400</v>
      </c>
    </row>
    <row r="1720" spans="1:14" x14ac:dyDescent="0.25">
      <c r="A1720">
        <v>1171.9601009999999</v>
      </c>
      <c r="B1720" s="1">
        <f>DATE(2013,7,15) + TIME(23,2,32)</f>
        <v>41470.960092592592</v>
      </c>
      <c r="C1720">
        <v>80</v>
      </c>
      <c r="D1720">
        <v>79.962638854999994</v>
      </c>
      <c r="E1720">
        <v>50</v>
      </c>
      <c r="F1720">
        <v>46.386798859000002</v>
      </c>
      <c r="G1720">
        <v>1353.4510498</v>
      </c>
      <c r="H1720">
        <v>1347.3642577999999</v>
      </c>
      <c r="I1720">
        <v>1313.3337402</v>
      </c>
      <c r="J1720">
        <v>1305.3867187999999</v>
      </c>
      <c r="K1720">
        <v>2400</v>
      </c>
      <c r="L1720">
        <v>0</v>
      </c>
      <c r="M1720">
        <v>0</v>
      </c>
      <c r="N1720">
        <v>2400</v>
      </c>
    </row>
    <row r="1721" spans="1:14" x14ac:dyDescent="0.25">
      <c r="A1721">
        <v>1173.231413</v>
      </c>
      <c r="B1721" s="1">
        <f>DATE(2013,7,17) + TIME(5,33,14)</f>
        <v>41472.231412037036</v>
      </c>
      <c r="C1721">
        <v>80</v>
      </c>
      <c r="D1721">
        <v>79.962623596</v>
      </c>
      <c r="E1721">
        <v>50</v>
      </c>
      <c r="F1721">
        <v>46.345867157000001</v>
      </c>
      <c r="G1721">
        <v>1353.4288329999999</v>
      </c>
      <c r="H1721">
        <v>1347.348999</v>
      </c>
      <c r="I1721">
        <v>1313.3065185999999</v>
      </c>
      <c r="J1721">
        <v>1305.3454589999999</v>
      </c>
      <c r="K1721">
        <v>2400</v>
      </c>
      <c r="L1721">
        <v>0</v>
      </c>
      <c r="M1721">
        <v>0</v>
      </c>
      <c r="N1721">
        <v>2400</v>
      </c>
    </row>
    <row r="1722" spans="1:14" x14ac:dyDescent="0.25">
      <c r="A1722">
        <v>1174.510117</v>
      </c>
      <c r="B1722" s="1">
        <f>DATE(2013,7,18) + TIME(12,14,34)</f>
        <v>41473.510115740741</v>
      </c>
      <c r="C1722">
        <v>80</v>
      </c>
      <c r="D1722">
        <v>79.962615967000005</v>
      </c>
      <c r="E1722">
        <v>50</v>
      </c>
      <c r="F1722">
        <v>46.305225372000002</v>
      </c>
      <c r="G1722">
        <v>1353.4067382999999</v>
      </c>
      <c r="H1722">
        <v>1347.3338623</v>
      </c>
      <c r="I1722">
        <v>1313.2789307</v>
      </c>
      <c r="J1722">
        <v>1305.3033447</v>
      </c>
      <c r="K1722">
        <v>2400</v>
      </c>
      <c r="L1722">
        <v>0</v>
      </c>
      <c r="M1722">
        <v>0</v>
      </c>
      <c r="N1722">
        <v>2400</v>
      </c>
    </row>
    <row r="1723" spans="1:14" x14ac:dyDescent="0.25">
      <c r="A1723">
        <v>1175.7992690000001</v>
      </c>
      <c r="B1723" s="1">
        <f>DATE(2013,7,19) + TIME(19,10,56)</f>
        <v>41474.799259259256</v>
      </c>
      <c r="C1723">
        <v>80</v>
      </c>
      <c r="D1723">
        <v>79.962600707999997</v>
      </c>
      <c r="E1723">
        <v>50</v>
      </c>
      <c r="F1723">
        <v>46.264873504999997</v>
      </c>
      <c r="G1723">
        <v>1353.3847656</v>
      </c>
      <c r="H1723">
        <v>1347.3187256000001</v>
      </c>
      <c r="I1723">
        <v>1313.2509766000001</v>
      </c>
      <c r="J1723">
        <v>1305.2604980000001</v>
      </c>
      <c r="K1723">
        <v>2400</v>
      </c>
      <c r="L1723">
        <v>0</v>
      </c>
      <c r="M1723">
        <v>0</v>
      </c>
      <c r="N1723">
        <v>2400</v>
      </c>
    </row>
    <row r="1724" spans="1:14" x14ac:dyDescent="0.25">
      <c r="A1724">
        <v>1177.1042090000001</v>
      </c>
      <c r="B1724" s="1">
        <f>DATE(2013,7,21) + TIME(2,30,3)</f>
        <v>41476.104201388887</v>
      </c>
      <c r="C1724">
        <v>80</v>
      </c>
      <c r="D1724">
        <v>79.962593079000001</v>
      </c>
      <c r="E1724">
        <v>50</v>
      </c>
      <c r="F1724">
        <v>46.224746703999998</v>
      </c>
      <c r="G1724">
        <v>1353.3629149999999</v>
      </c>
      <c r="H1724">
        <v>1347.3037108999999</v>
      </c>
      <c r="I1724">
        <v>1313.2224120999999</v>
      </c>
      <c r="J1724">
        <v>1305.2166748</v>
      </c>
      <c r="K1724">
        <v>2400</v>
      </c>
      <c r="L1724">
        <v>0</v>
      </c>
      <c r="M1724">
        <v>0</v>
      </c>
      <c r="N1724">
        <v>2400</v>
      </c>
    </row>
    <row r="1725" spans="1:14" x14ac:dyDescent="0.25">
      <c r="A1725">
        <v>1178.4262080000001</v>
      </c>
      <c r="B1725" s="1">
        <f>DATE(2013,7,22) + TIME(10,13,44)</f>
        <v>41477.426203703704</v>
      </c>
      <c r="C1725">
        <v>80</v>
      </c>
      <c r="D1725">
        <v>79.962577820000007</v>
      </c>
      <c r="E1725">
        <v>50</v>
      </c>
      <c r="F1725">
        <v>46.184799194</v>
      </c>
      <c r="G1725">
        <v>1353.3410644999999</v>
      </c>
      <c r="H1725">
        <v>1347.2885742000001</v>
      </c>
      <c r="I1725">
        <v>1313.1933594</v>
      </c>
      <c r="J1725">
        <v>1305.171875</v>
      </c>
      <c r="K1725">
        <v>2400</v>
      </c>
      <c r="L1725">
        <v>0</v>
      </c>
      <c r="M1725">
        <v>0</v>
      </c>
      <c r="N1725">
        <v>2400</v>
      </c>
    </row>
    <row r="1726" spans="1:14" x14ac:dyDescent="0.25">
      <c r="A1726">
        <v>1179.7642639999999</v>
      </c>
      <c r="B1726" s="1">
        <f>DATE(2013,7,23) + TIME(18,20,32)</f>
        <v>41478.76425925926</v>
      </c>
      <c r="C1726">
        <v>80</v>
      </c>
      <c r="D1726">
        <v>79.962570189999994</v>
      </c>
      <c r="E1726">
        <v>50</v>
      </c>
      <c r="F1726">
        <v>46.145053863999998</v>
      </c>
      <c r="G1726">
        <v>1353.3192139</v>
      </c>
      <c r="H1726">
        <v>1347.2734375</v>
      </c>
      <c r="I1726">
        <v>1313.1636963000001</v>
      </c>
      <c r="J1726">
        <v>1305.1260986</v>
      </c>
      <c r="K1726">
        <v>2400</v>
      </c>
      <c r="L1726">
        <v>0</v>
      </c>
      <c r="M1726">
        <v>0</v>
      </c>
      <c r="N1726">
        <v>2400</v>
      </c>
    </row>
    <row r="1727" spans="1:14" x14ac:dyDescent="0.25">
      <c r="A1727">
        <v>1181.1221740000001</v>
      </c>
      <c r="B1727" s="1">
        <f>DATE(2013,7,25) + TIME(2,55,55)</f>
        <v>41480.122164351851</v>
      </c>
      <c r="C1727">
        <v>80</v>
      </c>
      <c r="D1727">
        <v>79.962562560999999</v>
      </c>
      <c r="E1727">
        <v>50</v>
      </c>
      <c r="F1727">
        <v>46.105510711999997</v>
      </c>
      <c r="G1727">
        <v>1353.2973632999999</v>
      </c>
      <c r="H1727">
        <v>1347.2581786999999</v>
      </c>
      <c r="I1727">
        <v>1313.1333007999999</v>
      </c>
      <c r="J1727">
        <v>1305.0791016000001</v>
      </c>
      <c r="K1727">
        <v>2400</v>
      </c>
      <c r="L1727">
        <v>0</v>
      </c>
      <c r="M1727">
        <v>0</v>
      </c>
      <c r="N1727">
        <v>2400</v>
      </c>
    </row>
    <row r="1728" spans="1:14" x14ac:dyDescent="0.25">
      <c r="A1728">
        <v>1182.5038</v>
      </c>
      <c r="B1728" s="1">
        <f>DATE(2013,7,26) + TIME(12,5,28)</f>
        <v>41481.503796296296</v>
      </c>
      <c r="C1728">
        <v>80</v>
      </c>
      <c r="D1728">
        <v>79.962554932000003</v>
      </c>
      <c r="E1728">
        <v>50</v>
      </c>
      <c r="F1728">
        <v>46.066150665000002</v>
      </c>
      <c r="G1728">
        <v>1353.2753906</v>
      </c>
      <c r="H1728">
        <v>1347.2429199000001</v>
      </c>
      <c r="I1728">
        <v>1313.1022949000001</v>
      </c>
      <c r="J1728">
        <v>1305.0310059000001</v>
      </c>
      <c r="K1728">
        <v>2400</v>
      </c>
      <c r="L1728">
        <v>0</v>
      </c>
      <c r="M1728">
        <v>0</v>
      </c>
      <c r="N1728">
        <v>2400</v>
      </c>
    </row>
    <row r="1729" spans="1:14" x14ac:dyDescent="0.25">
      <c r="A1729">
        <v>1183.913526</v>
      </c>
      <c r="B1729" s="1">
        <f>DATE(2013,7,27) + TIME(21,55,28)</f>
        <v>41482.913518518515</v>
      </c>
      <c r="C1729">
        <v>80</v>
      </c>
      <c r="D1729">
        <v>79.962547302000004</v>
      </c>
      <c r="E1729">
        <v>50</v>
      </c>
      <c r="F1729">
        <v>46.026939392000003</v>
      </c>
      <c r="G1729">
        <v>1353.253418</v>
      </c>
      <c r="H1729">
        <v>1347.2275391000001</v>
      </c>
      <c r="I1729">
        <v>1313.0705565999999</v>
      </c>
      <c r="J1729">
        <v>1304.9815673999999</v>
      </c>
      <c r="K1729">
        <v>2400</v>
      </c>
      <c r="L1729">
        <v>0</v>
      </c>
      <c r="M1729">
        <v>0</v>
      </c>
      <c r="N1729">
        <v>2400</v>
      </c>
    </row>
    <row r="1730" spans="1:14" x14ac:dyDescent="0.25">
      <c r="A1730">
        <v>1185.356121</v>
      </c>
      <c r="B1730" s="1">
        <f>DATE(2013,7,29) + TIME(8,32,48)</f>
        <v>41484.356111111112</v>
      </c>
      <c r="C1730">
        <v>80</v>
      </c>
      <c r="D1730">
        <v>79.962532042999996</v>
      </c>
      <c r="E1730">
        <v>50</v>
      </c>
      <c r="F1730">
        <v>45.987842559999997</v>
      </c>
      <c r="G1730">
        <v>1353.2312012</v>
      </c>
      <c r="H1730">
        <v>1347.2120361</v>
      </c>
      <c r="I1730">
        <v>1313.0379639</v>
      </c>
      <c r="J1730">
        <v>1304.9306641000001</v>
      </c>
      <c r="K1730">
        <v>2400</v>
      </c>
      <c r="L1730">
        <v>0</v>
      </c>
      <c r="M1730">
        <v>0</v>
      </c>
      <c r="N1730">
        <v>2400</v>
      </c>
    </row>
    <row r="1731" spans="1:14" x14ac:dyDescent="0.25">
      <c r="A1731">
        <v>1186.836828</v>
      </c>
      <c r="B1731" s="1">
        <f>DATE(2013,7,30) + TIME(20,5,1)</f>
        <v>41485.836817129632</v>
      </c>
      <c r="C1731">
        <v>80</v>
      </c>
      <c r="D1731">
        <v>79.962532042999996</v>
      </c>
      <c r="E1731">
        <v>50</v>
      </c>
      <c r="F1731">
        <v>45.948833466000004</v>
      </c>
      <c r="G1731">
        <v>1353.2086182</v>
      </c>
      <c r="H1731">
        <v>1347.1961670000001</v>
      </c>
      <c r="I1731">
        <v>1313.0045166</v>
      </c>
      <c r="J1731">
        <v>1304.8780518000001</v>
      </c>
      <c r="K1731">
        <v>2400</v>
      </c>
      <c r="L1731">
        <v>0</v>
      </c>
      <c r="M1731">
        <v>0</v>
      </c>
      <c r="N1731">
        <v>2400</v>
      </c>
    </row>
    <row r="1732" spans="1:14" x14ac:dyDescent="0.25">
      <c r="A1732">
        <v>1188</v>
      </c>
      <c r="B1732" s="1">
        <f>DATE(2013,8,1) + TIME(0,0,0)</f>
        <v>41487</v>
      </c>
      <c r="C1732">
        <v>80</v>
      </c>
      <c r="D1732">
        <v>79.962516785000005</v>
      </c>
      <c r="E1732">
        <v>50</v>
      </c>
      <c r="F1732">
        <v>45.913791656000001</v>
      </c>
      <c r="G1732">
        <v>1353.1857910000001</v>
      </c>
      <c r="H1732">
        <v>1347.1800536999999</v>
      </c>
      <c r="I1732">
        <v>1312.9705810999999</v>
      </c>
      <c r="J1732">
        <v>1304.8254394999999</v>
      </c>
      <c r="K1732">
        <v>2400</v>
      </c>
      <c r="L1732">
        <v>0</v>
      </c>
      <c r="M1732">
        <v>0</v>
      </c>
      <c r="N1732">
        <v>2400</v>
      </c>
    </row>
    <row r="1733" spans="1:14" x14ac:dyDescent="0.25">
      <c r="A1733">
        <v>1189.5074729999999</v>
      </c>
      <c r="B1733" s="1">
        <f>DATE(2013,8,2) + TIME(12,10,45)</f>
        <v>41488.507465277777</v>
      </c>
      <c r="C1733">
        <v>80</v>
      </c>
      <c r="D1733">
        <v>79.962516785000005</v>
      </c>
      <c r="E1733">
        <v>50</v>
      </c>
      <c r="F1733">
        <v>45.878803253000001</v>
      </c>
      <c r="G1733">
        <v>1353.1682129000001</v>
      </c>
      <c r="H1733">
        <v>1347.1676024999999</v>
      </c>
      <c r="I1733">
        <v>1312.9416504000001</v>
      </c>
      <c r="J1733">
        <v>1304.7789307</v>
      </c>
      <c r="K1733">
        <v>2400</v>
      </c>
      <c r="L1733">
        <v>0</v>
      </c>
      <c r="M1733">
        <v>0</v>
      </c>
      <c r="N1733">
        <v>2400</v>
      </c>
    </row>
    <row r="1734" spans="1:14" x14ac:dyDescent="0.25">
      <c r="A1734">
        <v>1191.023835</v>
      </c>
      <c r="B1734" s="1">
        <f>DATE(2013,8,4) + TIME(0,34,19)</f>
        <v>41490.023831018516</v>
      </c>
      <c r="C1734">
        <v>80</v>
      </c>
      <c r="D1734">
        <v>79.962509155000006</v>
      </c>
      <c r="E1734">
        <v>50</v>
      </c>
      <c r="F1734">
        <v>45.842651367000002</v>
      </c>
      <c r="G1734">
        <v>1353.1455077999999</v>
      </c>
      <c r="H1734">
        <v>1347.1514893000001</v>
      </c>
      <c r="I1734">
        <v>1312.9067382999999</v>
      </c>
      <c r="J1734">
        <v>1304.723999</v>
      </c>
      <c r="K1734">
        <v>2400</v>
      </c>
      <c r="L1734">
        <v>0</v>
      </c>
      <c r="M1734">
        <v>0</v>
      </c>
      <c r="N1734">
        <v>2400</v>
      </c>
    </row>
    <row r="1735" spans="1:14" x14ac:dyDescent="0.25">
      <c r="A1735">
        <v>1192.5413189999999</v>
      </c>
      <c r="B1735" s="1">
        <f>DATE(2013,8,5) + TIME(12,59,29)</f>
        <v>41491.541307870371</v>
      </c>
      <c r="C1735">
        <v>80</v>
      </c>
      <c r="D1735">
        <v>79.962501525999997</v>
      </c>
      <c r="E1735">
        <v>50</v>
      </c>
      <c r="F1735">
        <v>45.806919098000002</v>
      </c>
      <c r="G1735">
        <v>1353.1229248</v>
      </c>
      <c r="H1735">
        <v>1347.1354980000001</v>
      </c>
      <c r="I1735">
        <v>1312.8710937999999</v>
      </c>
      <c r="J1735">
        <v>1304.6674805</v>
      </c>
      <c r="K1735">
        <v>2400</v>
      </c>
      <c r="L1735">
        <v>0</v>
      </c>
      <c r="M1735">
        <v>0</v>
      </c>
      <c r="N1735">
        <v>2400</v>
      </c>
    </row>
    <row r="1736" spans="1:14" x14ac:dyDescent="0.25">
      <c r="A1736">
        <v>1194.0641639999999</v>
      </c>
      <c r="B1736" s="1">
        <f>DATE(2013,8,7) + TIME(1,32,23)</f>
        <v>41493.064155092594</v>
      </c>
      <c r="C1736">
        <v>80</v>
      </c>
      <c r="D1736">
        <v>79.962501525999997</v>
      </c>
      <c r="E1736">
        <v>50</v>
      </c>
      <c r="F1736">
        <v>45.772239685000002</v>
      </c>
      <c r="G1736">
        <v>1353.1004639</v>
      </c>
      <c r="H1736">
        <v>1347.1195068</v>
      </c>
      <c r="I1736">
        <v>1312.8350829999999</v>
      </c>
      <c r="J1736">
        <v>1304.6103516000001</v>
      </c>
      <c r="K1736">
        <v>2400</v>
      </c>
      <c r="L1736">
        <v>0</v>
      </c>
      <c r="M1736">
        <v>0</v>
      </c>
      <c r="N1736">
        <v>2400</v>
      </c>
    </row>
    <row r="1737" spans="1:14" x14ac:dyDescent="0.25">
      <c r="A1737">
        <v>1195.5996110000001</v>
      </c>
      <c r="B1737" s="1">
        <f>DATE(2013,8,8) + TIME(14,23,26)</f>
        <v>41494.599606481483</v>
      </c>
      <c r="C1737">
        <v>80</v>
      </c>
      <c r="D1737">
        <v>79.962493895999998</v>
      </c>
      <c r="E1737">
        <v>50</v>
      </c>
      <c r="F1737">
        <v>45.738830565999997</v>
      </c>
      <c r="G1737">
        <v>1353.0783690999999</v>
      </c>
      <c r="H1737">
        <v>1347.1037598</v>
      </c>
      <c r="I1737">
        <v>1312.7989502</v>
      </c>
      <c r="J1737">
        <v>1304.5524902</v>
      </c>
      <c r="K1737">
        <v>2400</v>
      </c>
      <c r="L1737">
        <v>0</v>
      </c>
      <c r="M1737">
        <v>0</v>
      </c>
      <c r="N1737">
        <v>2400</v>
      </c>
    </row>
    <row r="1738" spans="1:14" x14ac:dyDescent="0.25">
      <c r="A1738">
        <v>1197.1577339999999</v>
      </c>
      <c r="B1738" s="1">
        <f>DATE(2013,8,10) + TIME(3,47,8)</f>
        <v>41496.157731481479</v>
      </c>
      <c r="C1738">
        <v>80</v>
      </c>
      <c r="D1738">
        <v>79.962486267000003</v>
      </c>
      <c r="E1738">
        <v>50</v>
      </c>
      <c r="F1738">
        <v>45.706726074000002</v>
      </c>
      <c r="G1738">
        <v>1353.0562743999999</v>
      </c>
      <c r="H1738">
        <v>1347.0878906</v>
      </c>
      <c r="I1738">
        <v>1312.7623291</v>
      </c>
      <c r="J1738">
        <v>1304.4938964999999</v>
      </c>
      <c r="K1738">
        <v>2400</v>
      </c>
      <c r="L1738">
        <v>0</v>
      </c>
      <c r="M1738">
        <v>0</v>
      </c>
      <c r="N1738">
        <v>2400</v>
      </c>
    </row>
    <row r="1739" spans="1:14" x14ac:dyDescent="0.25">
      <c r="A1739">
        <v>1198.7429709999999</v>
      </c>
      <c r="B1739" s="1">
        <f>DATE(2013,8,11) + TIME(17,49,52)</f>
        <v>41497.742962962962</v>
      </c>
      <c r="C1739">
        <v>80</v>
      </c>
      <c r="D1739">
        <v>79.962486267000003</v>
      </c>
      <c r="E1739">
        <v>50</v>
      </c>
      <c r="F1739">
        <v>45.675975800000003</v>
      </c>
      <c r="G1739">
        <v>1353.0340576000001</v>
      </c>
      <c r="H1739">
        <v>1347.0720214999999</v>
      </c>
      <c r="I1739">
        <v>1312.7252197</v>
      </c>
      <c r="J1739">
        <v>1304.4342041</v>
      </c>
      <c r="K1739">
        <v>2400</v>
      </c>
      <c r="L1739">
        <v>0</v>
      </c>
      <c r="M1739">
        <v>0</v>
      </c>
      <c r="N1739">
        <v>2400</v>
      </c>
    </row>
    <row r="1740" spans="1:14" x14ac:dyDescent="0.25">
      <c r="A1740">
        <v>1200.3604829999999</v>
      </c>
      <c r="B1740" s="1">
        <f>DATE(2013,8,13) + TIME(8,39,5)</f>
        <v>41499.360474537039</v>
      </c>
      <c r="C1740">
        <v>80</v>
      </c>
      <c r="D1740">
        <v>79.962486267000003</v>
      </c>
      <c r="E1740">
        <v>50</v>
      </c>
      <c r="F1740">
        <v>45.646678925000003</v>
      </c>
      <c r="G1740">
        <v>1353.0117187999999</v>
      </c>
      <c r="H1740">
        <v>1347.0559082</v>
      </c>
      <c r="I1740">
        <v>1312.6875</v>
      </c>
      <c r="J1740">
        <v>1304.3734131000001</v>
      </c>
      <c r="K1740">
        <v>2400</v>
      </c>
      <c r="L1740">
        <v>0</v>
      </c>
      <c r="M1740">
        <v>0</v>
      </c>
      <c r="N1740">
        <v>2400</v>
      </c>
    </row>
    <row r="1741" spans="1:14" x14ac:dyDescent="0.25">
      <c r="A1741">
        <v>1202.0132739999999</v>
      </c>
      <c r="B1741" s="1">
        <f>DATE(2013,8,15) + TIME(0,19,6)</f>
        <v>41501.01326388889</v>
      </c>
      <c r="C1741">
        <v>80</v>
      </c>
      <c r="D1741">
        <v>79.962478637999993</v>
      </c>
      <c r="E1741">
        <v>50</v>
      </c>
      <c r="F1741">
        <v>45.619003296000002</v>
      </c>
      <c r="G1741">
        <v>1352.9892577999999</v>
      </c>
      <c r="H1741">
        <v>1347.0396728999999</v>
      </c>
      <c r="I1741">
        <v>1312.6491699000001</v>
      </c>
      <c r="J1741">
        <v>1304.3112793</v>
      </c>
      <c r="K1741">
        <v>2400</v>
      </c>
      <c r="L1741">
        <v>0</v>
      </c>
      <c r="M1741">
        <v>0</v>
      </c>
      <c r="N1741">
        <v>2400</v>
      </c>
    </row>
    <row r="1742" spans="1:14" x14ac:dyDescent="0.25">
      <c r="A1742">
        <v>1203.680597</v>
      </c>
      <c r="B1742" s="1">
        <f>DATE(2013,8,16) + TIME(16,20,3)</f>
        <v>41502.680590277778</v>
      </c>
      <c r="C1742">
        <v>80</v>
      </c>
      <c r="D1742">
        <v>79.962478637999993</v>
      </c>
      <c r="E1742">
        <v>50</v>
      </c>
      <c r="F1742">
        <v>45.593280792000002</v>
      </c>
      <c r="G1742">
        <v>1352.9664307</v>
      </c>
      <c r="H1742">
        <v>1347.0231934000001</v>
      </c>
      <c r="I1742">
        <v>1312.6101074000001</v>
      </c>
      <c r="J1742">
        <v>1304.2479248</v>
      </c>
      <c r="K1742">
        <v>2400</v>
      </c>
      <c r="L1742">
        <v>0</v>
      </c>
      <c r="M1742">
        <v>0</v>
      </c>
      <c r="N1742">
        <v>2400</v>
      </c>
    </row>
    <row r="1743" spans="1:14" x14ac:dyDescent="0.25">
      <c r="A1743">
        <v>1205.3772690000001</v>
      </c>
      <c r="B1743" s="1">
        <f>DATE(2013,8,18) + TIME(9,3,16)</f>
        <v>41504.377268518518</v>
      </c>
      <c r="C1743">
        <v>80</v>
      </c>
      <c r="D1743">
        <v>79.962478637999993</v>
      </c>
      <c r="E1743">
        <v>50</v>
      </c>
      <c r="F1743">
        <v>45.569828033</v>
      </c>
      <c r="G1743">
        <v>1352.9437256000001</v>
      </c>
      <c r="H1743">
        <v>1347.0065918</v>
      </c>
      <c r="I1743">
        <v>1312.5706786999999</v>
      </c>
      <c r="J1743">
        <v>1304.1837158000001</v>
      </c>
      <c r="K1743">
        <v>2400</v>
      </c>
      <c r="L1743">
        <v>0</v>
      </c>
      <c r="M1743">
        <v>0</v>
      </c>
      <c r="N1743">
        <v>2400</v>
      </c>
    </row>
    <row r="1744" spans="1:14" x14ac:dyDescent="0.25">
      <c r="A1744">
        <v>1207.108925</v>
      </c>
      <c r="B1744" s="1">
        <f>DATE(2013,8,20) + TIME(2,36,51)</f>
        <v>41506.108923611115</v>
      </c>
      <c r="C1744">
        <v>80</v>
      </c>
      <c r="D1744">
        <v>79.962478637999993</v>
      </c>
      <c r="E1744">
        <v>50</v>
      </c>
      <c r="F1744">
        <v>45.548858643000003</v>
      </c>
      <c r="G1744">
        <v>1352.9208983999999</v>
      </c>
      <c r="H1744">
        <v>1346.9899902</v>
      </c>
      <c r="I1744">
        <v>1312.5308838000001</v>
      </c>
      <c r="J1744">
        <v>1304.1185303</v>
      </c>
      <c r="K1744">
        <v>2400</v>
      </c>
      <c r="L1744">
        <v>0</v>
      </c>
      <c r="M1744">
        <v>0</v>
      </c>
      <c r="N1744">
        <v>2400</v>
      </c>
    </row>
    <row r="1745" spans="1:14" x14ac:dyDescent="0.25">
      <c r="A1745">
        <v>1208.8734260000001</v>
      </c>
      <c r="B1745" s="1">
        <f>DATE(2013,8,21) + TIME(20,57,44)</f>
        <v>41507.873425925929</v>
      </c>
      <c r="C1745">
        <v>80</v>
      </c>
      <c r="D1745">
        <v>79.962478637999993</v>
      </c>
      <c r="E1745">
        <v>50</v>
      </c>
      <c r="F1745">
        <v>45.530689240000001</v>
      </c>
      <c r="G1745">
        <v>1352.8978271000001</v>
      </c>
      <c r="H1745">
        <v>1346.9731445</v>
      </c>
      <c r="I1745">
        <v>1312.4904785000001</v>
      </c>
      <c r="J1745">
        <v>1304.052124</v>
      </c>
      <c r="K1745">
        <v>2400</v>
      </c>
      <c r="L1745">
        <v>0</v>
      </c>
      <c r="M1745">
        <v>0</v>
      </c>
      <c r="N1745">
        <v>2400</v>
      </c>
    </row>
    <row r="1746" spans="1:14" x14ac:dyDescent="0.25">
      <c r="A1746">
        <v>1210.638659</v>
      </c>
      <c r="B1746" s="1">
        <f>DATE(2013,8,23) + TIME(15,19,40)</f>
        <v>41509.638657407406</v>
      </c>
      <c r="C1746">
        <v>80</v>
      </c>
      <c r="D1746">
        <v>79.962478637999993</v>
      </c>
      <c r="E1746">
        <v>50</v>
      </c>
      <c r="F1746">
        <v>45.515777587999999</v>
      </c>
      <c r="G1746">
        <v>1352.8745117000001</v>
      </c>
      <c r="H1746">
        <v>1346.9560547000001</v>
      </c>
      <c r="I1746">
        <v>1312.449707</v>
      </c>
      <c r="J1746">
        <v>1303.9848632999999</v>
      </c>
      <c r="K1746">
        <v>2400</v>
      </c>
      <c r="L1746">
        <v>0</v>
      </c>
      <c r="M1746">
        <v>0</v>
      </c>
      <c r="N1746">
        <v>2400</v>
      </c>
    </row>
    <row r="1747" spans="1:14" x14ac:dyDescent="0.25">
      <c r="A1747">
        <v>1212.409897</v>
      </c>
      <c r="B1747" s="1">
        <f>DATE(2013,8,25) + TIME(9,50,15)</f>
        <v>41511.409895833334</v>
      </c>
      <c r="C1747">
        <v>80</v>
      </c>
      <c r="D1747">
        <v>79.962478637999993</v>
      </c>
      <c r="E1747">
        <v>50</v>
      </c>
      <c r="F1747">
        <v>45.504570006999998</v>
      </c>
      <c r="G1747">
        <v>1352.8515625</v>
      </c>
      <c r="H1747">
        <v>1346.9390868999999</v>
      </c>
      <c r="I1747">
        <v>1312.4090576000001</v>
      </c>
      <c r="J1747">
        <v>1303.9177245999999</v>
      </c>
      <c r="K1747">
        <v>2400</v>
      </c>
      <c r="L1747">
        <v>0</v>
      </c>
      <c r="M1747">
        <v>0</v>
      </c>
      <c r="N1747">
        <v>2400</v>
      </c>
    </row>
    <row r="1748" spans="1:14" x14ac:dyDescent="0.25">
      <c r="A1748">
        <v>1214.1926089999999</v>
      </c>
      <c r="B1748" s="1">
        <f>DATE(2013,8,27) + TIME(4,37,21)</f>
        <v>41513.192604166667</v>
      </c>
      <c r="C1748">
        <v>80</v>
      </c>
      <c r="D1748">
        <v>79.962478637999993</v>
      </c>
      <c r="E1748">
        <v>50</v>
      </c>
      <c r="F1748">
        <v>45.497383118000002</v>
      </c>
      <c r="G1748">
        <v>1352.8286132999999</v>
      </c>
      <c r="H1748">
        <v>1346.9222411999999</v>
      </c>
      <c r="I1748">
        <v>1312.3686522999999</v>
      </c>
      <c r="J1748">
        <v>1303.8505858999999</v>
      </c>
      <c r="K1748">
        <v>2400</v>
      </c>
      <c r="L1748">
        <v>0</v>
      </c>
      <c r="M1748">
        <v>0</v>
      </c>
      <c r="N1748">
        <v>2400</v>
      </c>
    </row>
    <row r="1749" spans="1:14" x14ac:dyDescent="0.25">
      <c r="A1749">
        <v>1215.9969619999999</v>
      </c>
      <c r="B1749" s="1">
        <f>DATE(2013,8,28) + TIME(23,55,37)</f>
        <v>41514.99695601852</v>
      </c>
      <c r="C1749">
        <v>80</v>
      </c>
      <c r="D1749">
        <v>79.962486267000003</v>
      </c>
      <c r="E1749">
        <v>50</v>
      </c>
      <c r="F1749">
        <v>45.494556426999999</v>
      </c>
      <c r="G1749">
        <v>1352.8059082</v>
      </c>
      <c r="H1749">
        <v>1346.9053954999999</v>
      </c>
      <c r="I1749">
        <v>1312.3284911999999</v>
      </c>
      <c r="J1749">
        <v>1303.7835693</v>
      </c>
      <c r="K1749">
        <v>2400</v>
      </c>
      <c r="L1749">
        <v>0</v>
      </c>
      <c r="M1749">
        <v>0</v>
      </c>
      <c r="N1749">
        <v>2400</v>
      </c>
    </row>
    <row r="1750" spans="1:14" x14ac:dyDescent="0.25">
      <c r="A1750">
        <v>1217.8362420000001</v>
      </c>
      <c r="B1750" s="1">
        <f>DATE(2013,8,30) + TIME(20,4,11)</f>
        <v>41516.836238425924</v>
      </c>
      <c r="C1750">
        <v>80</v>
      </c>
      <c r="D1750">
        <v>79.962486267000003</v>
      </c>
      <c r="E1750">
        <v>50</v>
      </c>
      <c r="F1750">
        <v>45.496513366999999</v>
      </c>
      <c r="G1750">
        <v>1352.7830810999999</v>
      </c>
      <c r="H1750">
        <v>1346.8884277</v>
      </c>
      <c r="I1750">
        <v>1312.2883300999999</v>
      </c>
      <c r="J1750">
        <v>1303.7163086</v>
      </c>
      <c r="K1750">
        <v>2400</v>
      </c>
      <c r="L1750">
        <v>0</v>
      </c>
      <c r="M1750">
        <v>0</v>
      </c>
      <c r="N1750">
        <v>2400</v>
      </c>
    </row>
    <row r="1751" spans="1:14" x14ac:dyDescent="0.25">
      <c r="A1751">
        <v>1219</v>
      </c>
      <c r="B1751" s="1">
        <f>DATE(2013,9,1) + TIME(0,0,0)</f>
        <v>41518</v>
      </c>
      <c r="C1751">
        <v>80</v>
      </c>
      <c r="D1751">
        <v>79.962478637999993</v>
      </c>
      <c r="E1751">
        <v>50</v>
      </c>
      <c r="F1751">
        <v>45.502674102999997</v>
      </c>
      <c r="G1751">
        <v>1352.7600098</v>
      </c>
      <c r="H1751">
        <v>1346.8712158000001</v>
      </c>
      <c r="I1751">
        <v>1312.2503661999999</v>
      </c>
      <c r="J1751">
        <v>1303.6524658000001</v>
      </c>
      <c r="K1751">
        <v>2400</v>
      </c>
      <c r="L1751">
        <v>0</v>
      </c>
      <c r="M1751">
        <v>0</v>
      </c>
      <c r="N1751">
        <v>2400</v>
      </c>
    </row>
    <row r="1752" spans="1:14" x14ac:dyDescent="0.25">
      <c r="A1752">
        <v>1220.880384</v>
      </c>
      <c r="B1752" s="1">
        <f>DATE(2013,9,2) + TIME(21,7,45)</f>
        <v>41519.880381944444</v>
      </c>
      <c r="C1752">
        <v>80</v>
      </c>
      <c r="D1752">
        <v>79.962493895999998</v>
      </c>
      <c r="E1752">
        <v>50</v>
      </c>
      <c r="F1752">
        <v>45.512466431</v>
      </c>
      <c r="G1752">
        <v>1352.7456055</v>
      </c>
      <c r="H1752">
        <v>1346.8604736</v>
      </c>
      <c r="I1752">
        <v>1312.2205810999999</v>
      </c>
      <c r="J1752">
        <v>1303.6026611</v>
      </c>
      <c r="K1752">
        <v>2400</v>
      </c>
      <c r="L1752">
        <v>0</v>
      </c>
      <c r="M1752">
        <v>0</v>
      </c>
      <c r="N1752">
        <v>2400</v>
      </c>
    </row>
    <row r="1753" spans="1:14" x14ac:dyDescent="0.25">
      <c r="A1753">
        <v>1222.785787</v>
      </c>
      <c r="B1753" s="1">
        <f>DATE(2013,9,4) + TIME(18,51,31)</f>
        <v>41521.785775462966</v>
      </c>
      <c r="C1753">
        <v>80</v>
      </c>
      <c r="D1753">
        <v>79.962501525999997</v>
      </c>
      <c r="E1753">
        <v>50</v>
      </c>
      <c r="F1753">
        <v>45.529338836999997</v>
      </c>
      <c r="G1753">
        <v>1352.7225341999999</v>
      </c>
      <c r="H1753">
        <v>1346.8431396000001</v>
      </c>
      <c r="I1753">
        <v>1312.1820068</v>
      </c>
      <c r="J1753">
        <v>1303.5374756000001</v>
      </c>
      <c r="K1753">
        <v>2400</v>
      </c>
      <c r="L1753">
        <v>0</v>
      </c>
      <c r="M1753">
        <v>0</v>
      </c>
      <c r="N1753">
        <v>2400</v>
      </c>
    </row>
    <row r="1754" spans="1:14" x14ac:dyDescent="0.25">
      <c r="A1754">
        <v>1224.7139770000001</v>
      </c>
      <c r="B1754" s="1">
        <f>DATE(2013,9,6) + TIME(17,8,7)</f>
        <v>41523.713969907411</v>
      </c>
      <c r="C1754">
        <v>80</v>
      </c>
      <c r="D1754">
        <v>79.962501525999997</v>
      </c>
      <c r="E1754">
        <v>50</v>
      </c>
      <c r="F1754">
        <v>45.553379059000001</v>
      </c>
      <c r="G1754">
        <v>1352.6993408000001</v>
      </c>
      <c r="H1754">
        <v>1346.8256836</v>
      </c>
      <c r="I1754">
        <v>1312.1427002</v>
      </c>
      <c r="J1754">
        <v>1303.4705810999999</v>
      </c>
      <c r="K1754">
        <v>2400</v>
      </c>
      <c r="L1754">
        <v>0</v>
      </c>
      <c r="M1754">
        <v>0</v>
      </c>
      <c r="N1754">
        <v>2400</v>
      </c>
    </row>
    <row r="1755" spans="1:14" x14ac:dyDescent="0.25">
      <c r="A1755">
        <v>1226.678582</v>
      </c>
      <c r="B1755" s="1">
        <f>DATE(2013,9,8) + TIME(16,17,9)</f>
        <v>41525.678576388891</v>
      </c>
      <c r="C1755">
        <v>80</v>
      </c>
      <c r="D1755">
        <v>79.962509155000006</v>
      </c>
      <c r="E1755">
        <v>50</v>
      </c>
      <c r="F1755">
        <v>45.585155487000002</v>
      </c>
      <c r="G1755">
        <v>1352.6760254000001</v>
      </c>
      <c r="H1755">
        <v>1346.8081055</v>
      </c>
      <c r="I1755">
        <v>1312.1031493999999</v>
      </c>
      <c r="J1755">
        <v>1303.4035644999999</v>
      </c>
      <c r="K1755">
        <v>2400</v>
      </c>
      <c r="L1755">
        <v>0</v>
      </c>
      <c r="M1755">
        <v>0</v>
      </c>
      <c r="N1755">
        <v>2400</v>
      </c>
    </row>
    <row r="1756" spans="1:14" x14ac:dyDescent="0.25">
      <c r="A1756">
        <v>1228.6933799999999</v>
      </c>
      <c r="B1756" s="1">
        <f>DATE(2013,9,10) + TIME(16,38,28)</f>
        <v>41527.693379629629</v>
      </c>
      <c r="C1756">
        <v>80</v>
      </c>
      <c r="D1756">
        <v>79.962516785000005</v>
      </c>
      <c r="E1756">
        <v>50</v>
      </c>
      <c r="F1756">
        <v>45.625598906999997</v>
      </c>
      <c r="G1756">
        <v>1352.6525879000001</v>
      </c>
      <c r="H1756">
        <v>1346.7904053</v>
      </c>
      <c r="I1756">
        <v>1312.0638428</v>
      </c>
      <c r="J1756">
        <v>1303.3364257999999</v>
      </c>
      <c r="K1756">
        <v>2400</v>
      </c>
      <c r="L1756">
        <v>0</v>
      </c>
      <c r="M1756">
        <v>0</v>
      </c>
      <c r="N1756">
        <v>2400</v>
      </c>
    </row>
    <row r="1757" spans="1:14" x14ac:dyDescent="0.25">
      <c r="A1757">
        <v>1230.7292210000001</v>
      </c>
      <c r="B1757" s="1">
        <f>DATE(2013,9,12) + TIME(17,30,4)</f>
        <v>41529.729212962964</v>
      </c>
      <c r="C1757">
        <v>80</v>
      </c>
      <c r="D1757">
        <v>79.962524414000001</v>
      </c>
      <c r="E1757">
        <v>50</v>
      </c>
      <c r="F1757">
        <v>45.675659179999997</v>
      </c>
      <c r="G1757">
        <v>1352.6287841999999</v>
      </c>
      <c r="H1757">
        <v>1346.7723389</v>
      </c>
      <c r="I1757">
        <v>1312.0245361</v>
      </c>
      <c r="J1757">
        <v>1303.2692870999999</v>
      </c>
      <c r="K1757">
        <v>2400</v>
      </c>
      <c r="L1757">
        <v>0</v>
      </c>
      <c r="M1757">
        <v>0</v>
      </c>
      <c r="N1757">
        <v>2400</v>
      </c>
    </row>
    <row r="1758" spans="1:14" x14ac:dyDescent="0.25">
      <c r="A1758">
        <v>1232.774615</v>
      </c>
      <c r="B1758" s="1">
        <f>DATE(2013,9,14) + TIME(18,35,26)</f>
        <v>41531.774606481478</v>
      </c>
      <c r="C1758">
        <v>80</v>
      </c>
      <c r="D1758">
        <v>79.962532042999996</v>
      </c>
      <c r="E1758">
        <v>50</v>
      </c>
      <c r="F1758">
        <v>45.735836028999998</v>
      </c>
      <c r="G1758">
        <v>1352.6049805</v>
      </c>
      <c r="H1758">
        <v>1346.7541504000001</v>
      </c>
      <c r="I1758">
        <v>1311.9859618999999</v>
      </c>
      <c r="J1758">
        <v>1303.203125</v>
      </c>
      <c r="K1758">
        <v>2400</v>
      </c>
      <c r="L1758">
        <v>0</v>
      </c>
      <c r="M1758">
        <v>0</v>
      </c>
      <c r="N1758">
        <v>2400</v>
      </c>
    </row>
    <row r="1759" spans="1:14" x14ac:dyDescent="0.25">
      <c r="A1759">
        <v>1234.8411599999999</v>
      </c>
      <c r="B1759" s="1">
        <f>DATE(2013,9,16) + TIME(20,11,16)</f>
        <v>41533.841157407405</v>
      </c>
      <c r="C1759">
        <v>80</v>
      </c>
      <c r="D1759">
        <v>79.962539672999995</v>
      </c>
      <c r="E1759">
        <v>50</v>
      </c>
      <c r="F1759">
        <v>45.806724547999998</v>
      </c>
      <c r="G1759">
        <v>1352.5812988</v>
      </c>
      <c r="H1759">
        <v>1346.7360839999999</v>
      </c>
      <c r="I1759">
        <v>1311.9481201000001</v>
      </c>
      <c r="J1759">
        <v>1303.1384277</v>
      </c>
      <c r="K1759">
        <v>2400</v>
      </c>
      <c r="L1759">
        <v>0</v>
      </c>
      <c r="M1759">
        <v>0</v>
      </c>
      <c r="N1759">
        <v>2400</v>
      </c>
    </row>
    <row r="1760" spans="1:14" x14ac:dyDescent="0.25">
      <c r="A1760">
        <v>1236.937171</v>
      </c>
      <c r="B1760" s="1">
        <f>DATE(2013,9,18) + TIME(22,29,31)</f>
        <v>41535.937164351853</v>
      </c>
      <c r="C1760">
        <v>80</v>
      </c>
      <c r="D1760">
        <v>79.962547302000004</v>
      </c>
      <c r="E1760">
        <v>50</v>
      </c>
      <c r="F1760">
        <v>45.889266968000001</v>
      </c>
      <c r="G1760">
        <v>1352.5574951000001</v>
      </c>
      <c r="H1760">
        <v>1346.7178954999999</v>
      </c>
      <c r="I1760">
        <v>1311.9112548999999</v>
      </c>
      <c r="J1760">
        <v>1303.0749512</v>
      </c>
      <c r="K1760">
        <v>2400</v>
      </c>
      <c r="L1760">
        <v>0</v>
      </c>
      <c r="M1760">
        <v>0</v>
      </c>
      <c r="N1760">
        <v>2400</v>
      </c>
    </row>
    <row r="1761" spans="1:14" x14ac:dyDescent="0.25">
      <c r="A1761">
        <v>1239.0841049999999</v>
      </c>
      <c r="B1761" s="1">
        <f>DATE(2013,9,21) + TIME(2,1,6)</f>
        <v>41538.084097222221</v>
      </c>
      <c r="C1761">
        <v>80</v>
      </c>
      <c r="D1761">
        <v>79.962562560999999</v>
      </c>
      <c r="E1761">
        <v>50</v>
      </c>
      <c r="F1761">
        <v>45.984794616999999</v>
      </c>
      <c r="G1761">
        <v>1352.5338135</v>
      </c>
      <c r="H1761">
        <v>1346.6995850000001</v>
      </c>
      <c r="I1761">
        <v>1311.875</v>
      </c>
      <c r="J1761">
        <v>1303.0129394999999</v>
      </c>
      <c r="K1761">
        <v>2400</v>
      </c>
      <c r="L1761">
        <v>0</v>
      </c>
      <c r="M1761">
        <v>0</v>
      </c>
      <c r="N1761">
        <v>2400</v>
      </c>
    </row>
    <row r="1762" spans="1:14" x14ac:dyDescent="0.25">
      <c r="A1762">
        <v>1241.253181</v>
      </c>
      <c r="B1762" s="1">
        <f>DATE(2013,9,23) + TIME(6,4,34)</f>
        <v>41540.253171296295</v>
      </c>
      <c r="C1762">
        <v>80</v>
      </c>
      <c r="D1762">
        <v>79.962570189999994</v>
      </c>
      <c r="E1762">
        <v>50</v>
      </c>
      <c r="F1762">
        <v>46.094577788999999</v>
      </c>
      <c r="G1762">
        <v>1352.5096435999999</v>
      </c>
      <c r="H1762">
        <v>1346.6810303</v>
      </c>
      <c r="I1762">
        <v>1311.8395995999999</v>
      </c>
      <c r="J1762">
        <v>1302.9521483999999</v>
      </c>
      <c r="K1762">
        <v>2400</v>
      </c>
      <c r="L1762">
        <v>0</v>
      </c>
      <c r="M1762">
        <v>0</v>
      </c>
      <c r="N1762">
        <v>2400</v>
      </c>
    </row>
    <row r="1763" spans="1:14" x14ac:dyDescent="0.25">
      <c r="A1763">
        <v>1243.4371719999999</v>
      </c>
      <c r="B1763" s="1">
        <f>DATE(2013,9,25) + TIME(10,29,31)</f>
        <v>41542.437164351853</v>
      </c>
      <c r="C1763">
        <v>80</v>
      </c>
      <c r="D1763">
        <v>79.962585449000002</v>
      </c>
      <c r="E1763">
        <v>50</v>
      </c>
      <c r="F1763">
        <v>46.218803405999999</v>
      </c>
      <c r="G1763">
        <v>1352.4854736</v>
      </c>
      <c r="H1763">
        <v>1346.6623535000001</v>
      </c>
      <c r="I1763">
        <v>1311.8050536999999</v>
      </c>
      <c r="J1763">
        <v>1302.8931885</v>
      </c>
      <c r="K1763">
        <v>2400</v>
      </c>
      <c r="L1763">
        <v>0</v>
      </c>
      <c r="M1763">
        <v>0</v>
      </c>
      <c r="N1763">
        <v>2400</v>
      </c>
    </row>
    <row r="1764" spans="1:14" x14ac:dyDescent="0.25">
      <c r="A1764">
        <v>1245.6435590000001</v>
      </c>
      <c r="B1764" s="1">
        <f>DATE(2013,9,27) + TIME(15,26,43)</f>
        <v>41544.643553240741</v>
      </c>
      <c r="C1764">
        <v>80</v>
      </c>
      <c r="D1764">
        <v>79.962593079000001</v>
      </c>
      <c r="E1764">
        <v>50</v>
      </c>
      <c r="F1764">
        <v>46.357788085999999</v>
      </c>
      <c r="G1764">
        <v>1352.4614257999999</v>
      </c>
      <c r="H1764">
        <v>1346.6436768000001</v>
      </c>
      <c r="I1764">
        <v>1311.7718506000001</v>
      </c>
      <c r="J1764">
        <v>1302.8365478999999</v>
      </c>
      <c r="K1764">
        <v>2400</v>
      </c>
      <c r="L1764">
        <v>0</v>
      </c>
      <c r="M1764">
        <v>0</v>
      </c>
      <c r="N1764">
        <v>2400</v>
      </c>
    </row>
    <row r="1765" spans="1:14" x14ac:dyDescent="0.25">
      <c r="A1765">
        <v>1247.8808650000001</v>
      </c>
      <c r="B1765" s="1">
        <f>DATE(2013,9,29) + TIME(21,8,26)</f>
        <v>41546.880856481483</v>
      </c>
      <c r="C1765">
        <v>80</v>
      </c>
      <c r="D1765">
        <v>79.962608337000006</v>
      </c>
      <c r="E1765">
        <v>50</v>
      </c>
      <c r="F1765">
        <v>46.512351989999999</v>
      </c>
      <c r="G1765">
        <v>1352.4373779</v>
      </c>
      <c r="H1765">
        <v>1346.625</v>
      </c>
      <c r="I1765">
        <v>1311.7397461</v>
      </c>
      <c r="J1765">
        <v>1302.7823486</v>
      </c>
      <c r="K1765">
        <v>2400</v>
      </c>
      <c r="L1765">
        <v>0</v>
      </c>
      <c r="M1765">
        <v>0</v>
      </c>
      <c r="N1765">
        <v>2400</v>
      </c>
    </row>
    <row r="1766" spans="1:14" x14ac:dyDescent="0.25">
      <c r="A1766">
        <v>1249</v>
      </c>
      <c r="B1766" s="1">
        <f>DATE(2013,10,1) + TIME(0,0,0)</f>
        <v>41548</v>
      </c>
      <c r="C1766">
        <v>80</v>
      </c>
      <c r="D1766">
        <v>79.962600707999997</v>
      </c>
      <c r="E1766">
        <v>50</v>
      </c>
      <c r="F1766">
        <v>46.648433685000001</v>
      </c>
      <c r="G1766">
        <v>1352.4132079999999</v>
      </c>
      <c r="H1766">
        <v>1346.6060791</v>
      </c>
      <c r="I1766">
        <v>1311.7147216999999</v>
      </c>
      <c r="J1766">
        <v>1302.7353516000001</v>
      </c>
      <c r="K1766">
        <v>2400</v>
      </c>
      <c r="L1766">
        <v>0</v>
      </c>
      <c r="M1766">
        <v>0</v>
      </c>
      <c r="N1766">
        <v>2400</v>
      </c>
    </row>
    <row r="1767" spans="1:14" x14ac:dyDescent="0.25">
      <c r="A1767">
        <v>1251.2792489999999</v>
      </c>
      <c r="B1767" s="1">
        <f>DATE(2013,10,3) + TIME(6,42,7)</f>
        <v>41550.279247685183</v>
      </c>
      <c r="C1767">
        <v>80</v>
      </c>
      <c r="D1767">
        <v>79.962623596</v>
      </c>
      <c r="E1767">
        <v>50</v>
      </c>
      <c r="F1767">
        <v>46.788864136000001</v>
      </c>
      <c r="G1767">
        <v>1352.4012451000001</v>
      </c>
      <c r="H1767">
        <v>1346.5966797000001</v>
      </c>
      <c r="I1767">
        <v>1311.6914062000001</v>
      </c>
      <c r="J1767">
        <v>1302.7034911999999</v>
      </c>
      <c r="K1767">
        <v>2400</v>
      </c>
      <c r="L1767">
        <v>0</v>
      </c>
      <c r="M1767">
        <v>0</v>
      </c>
      <c r="N1767">
        <v>2400</v>
      </c>
    </row>
    <row r="1768" spans="1:14" x14ac:dyDescent="0.25">
      <c r="A1768">
        <v>1253.6373530000001</v>
      </c>
      <c r="B1768" s="1">
        <f>DATE(2013,10,5) + TIME(15,17,47)</f>
        <v>41552.637349537035</v>
      </c>
      <c r="C1768">
        <v>80</v>
      </c>
      <c r="D1768">
        <v>79.962646484000004</v>
      </c>
      <c r="E1768">
        <v>50</v>
      </c>
      <c r="F1768">
        <v>46.976058960000003</v>
      </c>
      <c r="G1768">
        <v>1352.3770752</v>
      </c>
      <c r="H1768">
        <v>1346.5777588000001</v>
      </c>
      <c r="I1768">
        <v>1311.6644286999999</v>
      </c>
      <c r="J1768">
        <v>1302.6574707</v>
      </c>
      <c r="K1768">
        <v>2400</v>
      </c>
      <c r="L1768">
        <v>0</v>
      </c>
      <c r="M1768">
        <v>0</v>
      </c>
      <c r="N1768">
        <v>2400</v>
      </c>
    </row>
    <row r="1769" spans="1:14" x14ac:dyDescent="0.25">
      <c r="A1769">
        <v>1256.0171049999999</v>
      </c>
      <c r="B1769" s="1">
        <f>DATE(2013,10,8) + TIME(0,24,37)</f>
        <v>41555.017094907409</v>
      </c>
      <c r="C1769">
        <v>80</v>
      </c>
      <c r="D1769">
        <v>79.962661742999998</v>
      </c>
      <c r="E1769">
        <v>50</v>
      </c>
      <c r="F1769">
        <v>47.190265656000001</v>
      </c>
      <c r="G1769">
        <v>1352.3522949000001</v>
      </c>
      <c r="H1769">
        <v>1346.5583495999999</v>
      </c>
      <c r="I1769">
        <v>1311.6369629000001</v>
      </c>
      <c r="J1769">
        <v>1302.6123047000001</v>
      </c>
      <c r="K1769">
        <v>2400</v>
      </c>
      <c r="L1769">
        <v>0</v>
      </c>
      <c r="M1769">
        <v>0</v>
      </c>
      <c r="N1769">
        <v>2400</v>
      </c>
    </row>
    <row r="1770" spans="1:14" x14ac:dyDescent="0.25">
      <c r="A1770">
        <v>1258.4377179999999</v>
      </c>
      <c r="B1770" s="1">
        <f>DATE(2013,10,10) + TIME(10,30,18)</f>
        <v>41557.437708333331</v>
      </c>
      <c r="C1770">
        <v>80</v>
      </c>
      <c r="D1770">
        <v>79.962677002000007</v>
      </c>
      <c r="E1770">
        <v>50</v>
      </c>
      <c r="F1770">
        <v>47.423946381</v>
      </c>
      <c r="G1770">
        <v>1352.3276367000001</v>
      </c>
      <c r="H1770">
        <v>1346.5388184000001</v>
      </c>
      <c r="I1770">
        <v>1311.6103516000001</v>
      </c>
      <c r="J1770">
        <v>1302.5698242000001</v>
      </c>
      <c r="K1770">
        <v>2400</v>
      </c>
      <c r="L1770">
        <v>0</v>
      </c>
      <c r="M1770">
        <v>0</v>
      </c>
      <c r="N1770">
        <v>2400</v>
      </c>
    </row>
    <row r="1771" spans="1:14" x14ac:dyDescent="0.25">
      <c r="A1771">
        <v>1260.900032</v>
      </c>
      <c r="B1771" s="1">
        <f>DATE(2013,10,12) + TIME(21,36,2)</f>
        <v>41559.900023148148</v>
      </c>
      <c r="C1771">
        <v>80</v>
      </c>
      <c r="D1771">
        <v>79.962692261000001</v>
      </c>
      <c r="E1771">
        <v>50</v>
      </c>
      <c r="F1771">
        <v>47.675876617</v>
      </c>
      <c r="G1771">
        <v>1352.3027344</v>
      </c>
      <c r="H1771">
        <v>1346.5192870999999</v>
      </c>
      <c r="I1771">
        <v>1311.5850829999999</v>
      </c>
      <c r="J1771">
        <v>1302.5301514</v>
      </c>
      <c r="K1771">
        <v>2400</v>
      </c>
      <c r="L1771">
        <v>0</v>
      </c>
      <c r="M1771">
        <v>0</v>
      </c>
      <c r="N1771">
        <v>2400</v>
      </c>
    </row>
    <row r="1772" spans="1:14" x14ac:dyDescent="0.25">
      <c r="A1772">
        <v>1263.377401</v>
      </c>
      <c r="B1772" s="1">
        <f>DATE(2013,10,15) + TIME(9,3,27)</f>
        <v>41562.377395833333</v>
      </c>
      <c r="C1772">
        <v>80</v>
      </c>
      <c r="D1772">
        <v>79.962707519999995</v>
      </c>
      <c r="E1772">
        <v>50</v>
      </c>
      <c r="F1772">
        <v>47.944709778000004</v>
      </c>
      <c r="G1772">
        <v>1352.277832</v>
      </c>
      <c r="H1772">
        <v>1346.4995117000001</v>
      </c>
      <c r="I1772">
        <v>1311.5612793</v>
      </c>
      <c r="J1772">
        <v>1302.4936522999999</v>
      </c>
      <c r="K1772">
        <v>2400</v>
      </c>
      <c r="L1772">
        <v>0</v>
      </c>
      <c r="M1772">
        <v>0</v>
      </c>
      <c r="N1772">
        <v>2400</v>
      </c>
    </row>
    <row r="1773" spans="1:14" x14ac:dyDescent="0.25">
      <c r="A1773">
        <v>1265.8809510000001</v>
      </c>
      <c r="B1773" s="1">
        <f>DATE(2013,10,17) + TIME(21,8,34)</f>
        <v>41564.880949074075</v>
      </c>
      <c r="C1773">
        <v>80</v>
      </c>
      <c r="D1773">
        <v>79.962730407999999</v>
      </c>
      <c r="E1773">
        <v>50</v>
      </c>
      <c r="F1773">
        <v>48.228034973</v>
      </c>
      <c r="G1773">
        <v>1352.2530518000001</v>
      </c>
      <c r="H1773">
        <v>1346.4797363</v>
      </c>
      <c r="I1773">
        <v>1311.5390625</v>
      </c>
      <c r="J1773">
        <v>1302.4605713000001</v>
      </c>
      <c r="K1773">
        <v>2400</v>
      </c>
      <c r="L1773">
        <v>0</v>
      </c>
      <c r="M1773">
        <v>0</v>
      </c>
      <c r="N1773">
        <v>2400</v>
      </c>
    </row>
    <row r="1774" spans="1:14" x14ac:dyDescent="0.25">
      <c r="A1774">
        <v>1268.420251</v>
      </c>
      <c r="B1774" s="1">
        <f>DATE(2013,10,20) + TIME(10,5,9)</f>
        <v>41567.420243055552</v>
      </c>
      <c r="C1774">
        <v>80</v>
      </c>
      <c r="D1774">
        <v>79.962745666999993</v>
      </c>
      <c r="E1774">
        <v>50</v>
      </c>
      <c r="F1774">
        <v>48.525085449000002</v>
      </c>
      <c r="G1774">
        <v>1352.2282714999999</v>
      </c>
      <c r="H1774">
        <v>1346.4600829999999</v>
      </c>
      <c r="I1774">
        <v>1311.5184326000001</v>
      </c>
      <c r="J1774">
        <v>1302.4309082</v>
      </c>
      <c r="K1774">
        <v>2400</v>
      </c>
      <c r="L1774">
        <v>0</v>
      </c>
      <c r="M1774">
        <v>0</v>
      </c>
      <c r="N1774">
        <v>2400</v>
      </c>
    </row>
    <row r="1775" spans="1:14" x14ac:dyDescent="0.25">
      <c r="A1775">
        <v>1271.012283</v>
      </c>
      <c r="B1775" s="1">
        <f>DATE(2013,10,23) + TIME(0,17,41)</f>
        <v>41570.012280092589</v>
      </c>
      <c r="C1775">
        <v>80</v>
      </c>
      <c r="D1775">
        <v>79.962768554999997</v>
      </c>
      <c r="E1775">
        <v>50</v>
      </c>
      <c r="F1775">
        <v>48.835502624999997</v>
      </c>
      <c r="G1775">
        <v>1352.2036132999999</v>
      </c>
      <c r="H1775">
        <v>1346.4403076000001</v>
      </c>
      <c r="I1775">
        <v>1311.4991454999999</v>
      </c>
      <c r="J1775">
        <v>1302.4044189000001</v>
      </c>
      <c r="K1775">
        <v>2400</v>
      </c>
      <c r="L1775">
        <v>0</v>
      </c>
      <c r="M1775">
        <v>0</v>
      </c>
      <c r="N1775">
        <v>2400</v>
      </c>
    </row>
    <row r="1776" spans="1:14" x14ac:dyDescent="0.25">
      <c r="A1776">
        <v>1273.6764430000001</v>
      </c>
      <c r="B1776" s="1">
        <f>DATE(2013,10,25) + TIME(16,14,4)</f>
        <v>41572.676435185182</v>
      </c>
      <c r="C1776">
        <v>80</v>
      </c>
      <c r="D1776">
        <v>79.962791443</v>
      </c>
      <c r="E1776">
        <v>50</v>
      </c>
      <c r="F1776">
        <v>49.159439087000003</v>
      </c>
      <c r="G1776">
        <v>1352.1787108999999</v>
      </c>
      <c r="H1776">
        <v>1346.4204102000001</v>
      </c>
      <c r="I1776">
        <v>1311.4813231999999</v>
      </c>
      <c r="J1776">
        <v>1302.3809814000001</v>
      </c>
      <c r="K1776">
        <v>2400</v>
      </c>
      <c r="L1776">
        <v>0</v>
      </c>
      <c r="M1776">
        <v>0</v>
      </c>
      <c r="N1776">
        <v>2400</v>
      </c>
    </row>
    <row r="1777" spans="1:14" x14ac:dyDescent="0.25">
      <c r="A1777">
        <v>1276.399251</v>
      </c>
      <c r="B1777" s="1">
        <f>DATE(2013,10,28) + TIME(9,34,55)</f>
        <v>41575.399247685185</v>
      </c>
      <c r="C1777">
        <v>80</v>
      </c>
      <c r="D1777">
        <v>79.962806701999995</v>
      </c>
      <c r="E1777">
        <v>50</v>
      </c>
      <c r="F1777">
        <v>49.496665954999997</v>
      </c>
      <c r="G1777">
        <v>1352.1534423999999</v>
      </c>
      <c r="H1777">
        <v>1346.4001464999999</v>
      </c>
      <c r="I1777">
        <v>1311.4649658000001</v>
      </c>
      <c r="J1777">
        <v>1302.3604736</v>
      </c>
      <c r="K1777">
        <v>2400</v>
      </c>
      <c r="L1777">
        <v>0</v>
      </c>
      <c r="M1777">
        <v>0</v>
      </c>
      <c r="N1777">
        <v>2400</v>
      </c>
    </row>
    <row r="1778" spans="1:14" x14ac:dyDescent="0.25">
      <c r="A1778">
        <v>1279.1581180000001</v>
      </c>
      <c r="B1778" s="1">
        <f>DATE(2013,10,31) + TIME(3,47,41)</f>
        <v>41578.158113425925</v>
      </c>
      <c r="C1778">
        <v>80</v>
      </c>
      <c r="D1778">
        <v>79.962829589999998</v>
      </c>
      <c r="E1778">
        <v>50</v>
      </c>
      <c r="F1778">
        <v>49.844207763999997</v>
      </c>
      <c r="G1778">
        <v>1352.1280518000001</v>
      </c>
      <c r="H1778">
        <v>1346.3797606999999</v>
      </c>
      <c r="I1778">
        <v>1311.4501952999999</v>
      </c>
      <c r="J1778">
        <v>1302.3431396000001</v>
      </c>
      <c r="K1778">
        <v>2400</v>
      </c>
      <c r="L1778">
        <v>0</v>
      </c>
      <c r="M1778">
        <v>0</v>
      </c>
      <c r="N1778">
        <v>2400</v>
      </c>
    </row>
    <row r="1779" spans="1:14" x14ac:dyDescent="0.25">
      <c r="A1779">
        <v>1280</v>
      </c>
      <c r="B1779" s="1">
        <f>DATE(2013,11,1) + TIME(0,0,0)</f>
        <v>41579</v>
      </c>
      <c r="C1779">
        <v>80</v>
      </c>
      <c r="D1779">
        <v>79.962829589999998</v>
      </c>
      <c r="E1779">
        <v>50</v>
      </c>
      <c r="F1779">
        <v>50.085456848</v>
      </c>
      <c r="G1779">
        <v>1352.1027832</v>
      </c>
      <c r="H1779">
        <v>1346.3594971</v>
      </c>
      <c r="I1779">
        <v>1311.4487305</v>
      </c>
      <c r="J1779">
        <v>1302.3327637</v>
      </c>
      <c r="K1779">
        <v>2400</v>
      </c>
      <c r="L1779">
        <v>0</v>
      </c>
      <c r="M1779">
        <v>0</v>
      </c>
      <c r="N1779">
        <v>2400</v>
      </c>
    </row>
    <row r="1780" spans="1:14" x14ac:dyDescent="0.25">
      <c r="A1780">
        <v>1280.0000010000001</v>
      </c>
      <c r="B1780" s="1">
        <f>DATE(2013,11,1) + TIME(0,0,0)</f>
        <v>41579</v>
      </c>
      <c r="C1780">
        <v>80</v>
      </c>
      <c r="D1780">
        <v>79.962715149000005</v>
      </c>
      <c r="E1780">
        <v>50</v>
      </c>
      <c r="F1780">
        <v>50.085578918000003</v>
      </c>
      <c r="G1780">
        <v>1345.5588379000001</v>
      </c>
      <c r="H1780">
        <v>1341.1757812000001</v>
      </c>
      <c r="I1780">
        <v>1321.4573975000001</v>
      </c>
      <c r="J1780">
        <v>1312.4285889</v>
      </c>
      <c r="K1780">
        <v>0</v>
      </c>
      <c r="L1780">
        <v>2400</v>
      </c>
      <c r="M1780">
        <v>2400</v>
      </c>
      <c r="N1780">
        <v>0</v>
      </c>
    </row>
    <row r="1781" spans="1:14" x14ac:dyDescent="0.25">
      <c r="A1781">
        <v>1280.000004</v>
      </c>
      <c r="B1781" s="1">
        <f>DATE(2013,11,1) + TIME(0,0,0)</f>
        <v>41579</v>
      </c>
      <c r="C1781">
        <v>80</v>
      </c>
      <c r="D1781">
        <v>79.962471007999994</v>
      </c>
      <c r="E1781">
        <v>50</v>
      </c>
      <c r="F1781">
        <v>50.085865020999996</v>
      </c>
      <c r="G1781">
        <v>1343.875</v>
      </c>
      <c r="H1781">
        <v>1339.4918213000001</v>
      </c>
      <c r="I1781">
        <v>1323.4927978999999</v>
      </c>
      <c r="J1781">
        <v>1314.6828613</v>
      </c>
      <c r="K1781">
        <v>0</v>
      </c>
      <c r="L1781">
        <v>2400</v>
      </c>
      <c r="M1781">
        <v>2400</v>
      </c>
      <c r="N1781">
        <v>0</v>
      </c>
    </row>
    <row r="1782" spans="1:14" x14ac:dyDescent="0.25">
      <c r="A1782">
        <v>1280.0000130000001</v>
      </c>
      <c r="B1782" s="1">
        <f>DATE(2013,11,1) + TIME(0,0,1)</f>
        <v>41579.000011574077</v>
      </c>
      <c r="C1782">
        <v>80</v>
      </c>
      <c r="D1782">
        <v>79.962104796999995</v>
      </c>
      <c r="E1782">
        <v>50</v>
      </c>
      <c r="F1782">
        <v>50.086353301999999</v>
      </c>
      <c r="G1782">
        <v>1341.3013916</v>
      </c>
      <c r="H1782">
        <v>1336.9185791</v>
      </c>
      <c r="I1782">
        <v>1327.2321777</v>
      </c>
      <c r="J1782">
        <v>1318.5867920000001</v>
      </c>
      <c r="K1782">
        <v>0</v>
      </c>
      <c r="L1782">
        <v>2400</v>
      </c>
      <c r="M1782">
        <v>2400</v>
      </c>
      <c r="N1782">
        <v>0</v>
      </c>
    </row>
    <row r="1783" spans="1:14" x14ac:dyDescent="0.25">
      <c r="A1783">
        <v>1280.0000399999999</v>
      </c>
      <c r="B1783" s="1">
        <f>DATE(2013,11,1) + TIME(0,0,3)</f>
        <v>41579.000034722223</v>
      </c>
      <c r="C1783">
        <v>80</v>
      </c>
      <c r="D1783">
        <v>79.961685181000007</v>
      </c>
      <c r="E1783">
        <v>50</v>
      </c>
      <c r="F1783">
        <v>50.086975098000003</v>
      </c>
      <c r="G1783">
        <v>1338.3768310999999</v>
      </c>
      <c r="H1783">
        <v>1333.9951172000001</v>
      </c>
      <c r="I1783">
        <v>1332.2099608999999</v>
      </c>
      <c r="J1783">
        <v>1323.5565185999999</v>
      </c>
      <c r="K1783">
        <v>0</v>
      </c>
      <c r="L1783">
        <v>2400</v>
      </c>
      <c r="M1783">
        <v>2400</v>
      </c>
      <c r="N1783">
        <v>0</v>
      </c>
    </row>
    <row r="1784" spans="1:14" x14ac:dyDescent="0.25">
      <c r="A1784">
        <v>1280.000121</v>
      </c>
      <c r="B1784" s="1">
        <f>DATE(2013,11,1) + TIME(0,0,10)</f>
        <v>41579.000115740739</v>
      </c>
      <c r="C1784">
        <v>80</v>
      </c>
      <c r="D1784">
        <v>79.961257935000006</v>
      </c>
      <c r="E1784">
        <v>50</v>
      </c>
      <c r="F1784">
        <v>50.087627411</v>
      </c>
      <c r="G1784">
        <v>1335.4449463000001</v>
      </c>
      <c r="H1784">
        <v>1331.0609131000001</v>
      </c>
      <c r="I1784">
        <v>1337.5257568</v>
      </c>
      <c r="J1784">
        <v>1328.8040771000001</v>
      </c>
      <c r="K1784">
        <v>0</v>
      </c>
      <c r="L1784">
        <v>2400</v>
      </c>
      <c r="M1784">
        <v>2400</v>
      </c>
      <c r="N1784">
        <v>0</v>
      </c>
    </row>
    <row r="1785" spans="1:14" x14ac:dyDescent="0.25">
      <c r="A1785">
        <v>1280.000364</v>
      </c>
      <c r="B1785" s="1">
        <f>DATE(2013,11,1) + TIME(0,0,31)</f>
        <v>41579.000358796293</v>
      </c>
      <c r="C1785">
        <v>80</v>
      </c>
      <c r="D1785">
        <v>79.960800171000002</v>
      </c>
      <c r="E1785">
        <v>50</v>
      </c>
      <c r="F1785">
        <v>50.088256835999999</v>
      </c>
      <c r="G1785">
        <v>1332.4920654</v>
      </c>
      <c r="H1785">
        <v>1328.0766602000001</v>
      </c>
      <c r="I1785">
        <v>1342.8917236</v>
      </c>
      <c r="J1785">
        <v>1334.0974120999999</v>
      </c>
      <c r="K1785">
        <v>0</v>
      </c>
      <c r="L1785">
        <v>2400</v>
      </c>
      <c r="M1785">
        <v>2400</v>
      </c>
      <c r="N1785">
        <v>0</v>
      </c>
    </row>
    <row r="1786" spans="1:14" x14ac:dyDescent="0.25">
      <c r="A1786">
        <v>1280.0010930000001</v>
      </c>
      <c r="B1786" s="1">
        <f>DATE(2013,11,1) + TIME(0,1,34)</f>
        <v>41579.001087962963</v>
      </c>
      <c r="C1786">
        <v>80</v>
      </c>
      <c r="D1786">
        <v>79.960235596000004</v>
      </c>
      <c r="E1786">
        <v>50</v>
      </c>
      <c r="F1786">
        <v>50.088813782000003</v>
      </c>
      <c r="G1786">
        <v>1329.3859863</v>
      </c>
      <c r="H1786">
        <v>1324.8724365</v>
      </c>
      <c r="I1786">
        <v>1348.3189697</v>
      </c>
      <c r="J1786">
        <v>1339.416626</v>
      </c>
      <c r="K1786">
        <v>0</v>
      </c>
      <c r="L1786">
        <v>2400</v>
      </c>
      <c r="M1786">
        <v>2400</v>
      </c>
      <c r="N1786">
        <v>0</v>
      </c>
    </row>
    <row r="1787" spans="1:14" x14ac:dyDescent="0.25">
      <c r="A1787">
        <v>1280.0032799999999</v>
      </c>
      <c r="B1787" s="1">
        <f>DATE(2013,11,1) + TIME(0,4,43)</f>
        <v>41579.003275462965</v>
      </c>
      <c r="C1787">
        <v>80</v>
      </c>
      <c r="D1787">
        <v>79.959396362000007</v>
      </c>
      <c r="E1787">
        <v>50</v>
      </c>
      <c r="F1787">
        <v>50.089107513000002</v>
      </c>
      <c r="G1787">
        <v>1326.1933594</v>
      </c>
      <c r="H1787">
        <v>1321.5506591999999</v>
      </c>
      <c r="I1787">
        <v>1353.4873047000001</v>
      </c>
      <c r="J1787">
        <v>1344.4407959</v>
      </c>
      <c r="K1787">
        <v>0</v>
      </c>
      <c r="L1787">
        <v>2400</v>
      </c>
      <c r="M1787">
        <v>2400</v>
      </c>
      <c r="N1787">
        <v>0</v>
      </c>
    </row>
    <row r="1788" spans="1:14" x14ac:dyDescent="0.25">
      <c r="A1788">
        <v>1280.0098410000001</v>
      </c>
      <c r="B1788" s="1">
        <f>DATE(2013,11,1) + TIME(0,14,10)</f>
        <v>41579.009837962964</v>
      </c>
      <c r="C1788">
        <v>80</v>
      </c>
      <c r="D1788">
        <v>79.957870482999994</v>
      </c>
      <c r="E1788">
        <v>50</v>
      </c>
      <c r="F1788">
        <v>50.088565826</v>
      </c>
      <c r="G1788">
        <v>1323.519043</v>
      </c>
      <c r="H1788">
        <v>1318.7984618999999</v>
      </c>
      <c r="I1788">
        <v>1357.4431152</v>
      </c>
      <c r="J1788">
        <v>1348.2780762</v>
      </c>
      <c r="K1788">
        <v>0</v>
      </c>
      <c r="L1788">
        <v>2400</v>
      </c>
      <c r="M1788">
        <v>2400</v>
      </c>
      <c r="N1788">
        <v>0</v>
      </c>
    </row>
    <row r="1789" spans="1:14" x14ac:dyDescent="0.25">
      <c r="A1789">
        <v>1280.029524</v>
      </c>
      <c r="B1789" s="1">
        <f>DATE(2013,11,1) + TIME(0,42,30)</f>
        <v>41579.029513888891</v>
      </c>
      <c r="C1789">
        <v>80</v>
      </c>
      <c r="D1789">
        <v>79.954269409000005</v>
      </c>
      <c r="E1789">
        <v>50</v>
      </c>
      <c r="F1789">
        <v>50.085796356000003</v>
      </c>
      <c r="G1789">
        <v>1322.0695800999999</v>
      </c>
      <c r="H1789">
        <v>1317.3239745999999</v>
      </c>
      <c r="I1789">
        <v>1359.3232422000001</v>
      </c>
      <c r="J1789">
        <v>1350.1168213000001</v>
      </c>
      <c r="K1789">
        <v>0</v>
      </c>
      <c r="L1789">
        <v>2400</v>
      </c>
      <c r="M1789">
        <v>2400</v>
      </c>
      <c r="N1789">
        <v>0</v>
      </c>
    </row>
    <row r="1790" spans="1:14" x14ac:dyDescent="0.25">
      <c r="A1790">
        <v>1280.0791529999999</v>
      </c>
      <c r="B1790" s="1">
        <f>DATE(2013,11,1) + TIME(1,53,58)</f>
        <v>41579.079143518517</v>
      </c>
      <c r="C1790">
        <v>80</v>
      </c>
      <c r="D1790">
        <v>79.945968628000003</v>
      </c>
      <c r="E1790">
        <v>50</v>
      </c>
      <c r="F1790">
        <v>50.078777313000003</v>
      </c>
      <c r="G1790">
        <v>1321.6872559000001</v>
      </c>
      <c r="H1790">
        <v>1316.9368896000001</v>
      </c>
      <c r="I1790">
        <v>1359.6365966999999</v>
      </c>
      <c r="J1790">
        <v>1350.4571533000001</v>
      </c>
      <c r="K1790">
        <v>0</v>
      </c>
      <c r="L1790">
        <v>2400</v>
      </c>
      <c r="M1790">
        <v>2400</v>
      </c>
      <c r="N1790">
        <v>0</v>
      </c>
    </row>
    <row r="1791" spans="1:14" x14ac:dyDescent="0.25">
      <c r="A1791">
        <v>1280.13066</v>
      </c>
      <c r="B1791" s="1">
        <f>DATE(2013,11,1) + TIME(3,8,9)</f>
        <v>41579.130659722221</v>
      </c>
      <c r="C1791">
        <v>80</v>
      </c>
      <c r="D1791">
        <v>79.937545775999993</v>
      </c>
      <c r="E1791">
        <v>50</v>
      </c>
      <c r="F1791">
        <v>50.071956634999999</v>
      </c>
      <c r="G1791">
        <v>1321.6395264</v>
      </c>
      <c r="H1791">
        <v>1316.8884277</v>
      </c>
      <c r="I1791">
        <v>1359.5798339999999</v>
      </c>
      <c r="J1791">
        <v>1350.4333495999999</v>
      </c>
      <c r="K1791">
        <v>0</v>
      </c>
      <c r="L1791">
        <v>2400</v>
      </c>
      <c r="M1791">
        <v>2400</v>
      </c>
      <c r="N1791">
        <v>0</v>
      </c>
    </row>
    <row r="1792" spans="1:14" x14ac:dyDescent="0.25">
      <c r="A1792">
        <v>1280.1841489999999</v>
      </c>
      <c r="B1792" s="1">
        <f>DATE(2013,11,1) + TIME(4,25,10)</f>
        <v>41579.18414351852</v>
      </c>
      <c r="C1792">
        <v>80</v>
      </c>
      <c r="D1792">
        <v>79.928970336999996</v>
      </c>
      <c r="E1792">
        <v>50</v>
      </c>
      <c r="F1792">
        <v>50.065376282000003</v>
      </c>
      <c r="G1792">
        <v>1321.6319579999999</v>
      </c>
      <c r="H1792">
        <v>1316.8807373</v>
      </c>
      <c r="I1792">
        <v>1359.4923096</v>
      </c>
      <c r="J1792">
        <v>1350.3789062000001</v>
      </c>
      <c r="K1792">
        <v>0</v>
      </c>
      <c r="L1792">
        <v>2400</v>
      </c>
      <c r="M1792">
        <v>2400</v>
      </c>
      <c r="N1792">
        <v>0</v>
      </c>
    </row>
    <row r="1793" spans="1:14" x14ac:dyDescent="0.25">
      <c r="A1793">
        <v>1280.2398069999999</v>
      </c>
      <c r="B1793" s="1">
        <f>DATE(2013,11,1) + TIME(5,45,19)</f>
        <v>41579.239803240744</v>
      </c>
      <c r="C1793">
        <v>80</v>
      </c>
      <c r="D1793">
        <v>79.920196532999995</v>
      </c>
      <c r="E1793">
        <v>50</v>
      </c>
      <c r="F1793">
        <v>50.059043883999998</v>
      </c>
      <c r="G1793">
        <v>1321.6297606999999</v>
      </c>
      <c r="H1793">
        <v>1316.8782959</v>
      </c>
      <c r="I1793">
        <v>1359.4053954999999</v>
      </c>
      <c r="J1793">
        <v>1350.3242187999999</v>
      </c>
      <c r="K1793">
        <v>0</v>
      </c>
      <c r="L1793">
        <v>2400</v>
      </c>
      <c r="M1793">
        <v>2400</v>
      </c>
      <c r="N1793">
        <v>0</v>
      </c>
    </row>
    <row r="1794" spans="1:14" x14ac:dyDescent="0.25">
      <c r="A1794">
        <v>1280.297847</v>
      </c>
      <c r="B1794" s="1">
        <f>DATE(2013,11,1) + TIME(7,8,54)</f>
        <v>41579.297847222224</v>
      </c>
      <c r="C1794">
        <v>80</v>
      </c>
      <c r="D1794">
        <v>79.911216736</v>
      </c>
      <c r="E1794">
        <v>50</v>
      </c>
      <c r="F1794">
        <v>50.052944183000001</v>
      </c>
      <c r="G1794">
        <v>1321.6281738</v>
      </c>
      <c r="H1794">
        <v>1316.8765868999999</v>
      </c>
      <c r="I1794">
        <v>1359.3211670000001</v>
      </c>
      <c r="J1794">
        <v>1350.2712402</v>
      </c>
      <c r="K1794">
        <v>0</v>
      </c>
      <c r="L1794">
        <v>2400</v>
      </c>
      <c r="M1794">
        <v>2400</v>
      </c>
      <c r="N1794">
        <v>0</v>
      </c>
    </row>
    <row r="1795" spans="1:14" x14ac:dyDescent="0.25">
      <c r="A1795">
        <v>1280.3585290000001</v>
      </c>
      <c r="B1795" s="1">
        <f>DATE(2013,11,1) + TIME(8,36,16)</f>
        <v>41579.358518518522</v>
      </c>
      <c r="C1795">
        <v>80</v>
      </c>
      <c r="D1795">
        <v>79.901992797999995</v>
      </c>
      <c r="E1795">
        <v>50</v>
      </c>
      <c r="F1795">
        <v>50.047073363999999</v>
      </c>
      <c r="G1795">
        <v>1321.6268310999999</v>
      </c>
      <c r="H1795">
        <v>1316.875</v>
      </c>
      <c r="I1795">
        <v>1359.239624</v>
      </c>
      <c r="J1795">
        <v>1350.2199707</v>
      </c>
      <c r="K1795">
        <v>0</v>
      </c>
      <c r="L1795">
        <v>2400</v>
      </c>
      <c r="M1795">
        <v>2400</v>
      </c>
      <c r="N1795">
        <v>0</v>
      </c>
    </row>
    <row r="1796" spans="1:14" x14ac:dyDescent="0.25">
      <c r="A1796">
        <v>1280.4221540000001</v>
      </c>
      <c r="B1796" s="1">
        <f>DATE(2013,11,1) + TIME(10,7,54)</f>
        <v>41579.422152777777</v>
      </c>
      <c r="C1796">
        <v>80</v>
      </c>
      <c r="D1796">
        <v>79.892501831000004</v>
      </c>
      <c r="E1796">
        <v>50</v>
      </c>
      <c r="F1796">
        <v>50.041431426999999</v>
      </c>
      <c r="G1796">
        <v>1321.6253661999999</v>
      </c>
      <c r="H1796">
        <v>1316.8734131000001</v>
      </c>
      <c r="I1796">
        <v>1359.1604004000001</v>
      </c>
      <c r="J1796">
        <v>1350.1701660000001</v>
      </c>
      <c r="K1796">
        <v>0</v>
      </c>
      <c r="L1796">
        <v>2400</v>
      </c>
      <c r="M1796">
        <v>2400</v>
      </c>
      <c r="N1796">
        <v>0</v>
      </c>
    </row>
    <row r="1797" spans="1:14" x14ac:dyDescent="0.25">
      <c r="A1797">
        <v>1280.489065</v>
      </c>
      <c r="B1797" s="1">
        <f>DATE(2013,11,1) + TIME(11,44,15)</f>
        <v>41579.489062499997</v>
      </c>
      <c r="C1797">
        <v>80</v>
      </c>
      <c r="D1797">
        <v>79.882705688000001</v>
      </c>
      <c r="E1797">
        <v>50</v>
      </c>
      <c r="F1797">
        <v>50.036006927000003</v>
      </c>
      <c r="G1797">
        <v>1321.6239014</v>
      </c>
      <c r="H1797">
        <v>1316.8717041</v>
      </c>
      <c r="I1797">
        <v>1359.0834961</v>
      </c>
      <c r="J1797">
        <v>1350.1218262</v>
      </c>
      <c r="K1797">
        <v>0</v>
      </c>
      <c r="L1797">
        <v>2400</v>
      </c>
      <c r="M1797">
        <v>2400</v>
      </c>
      <c r="N1797">
        <v>0</v>
      </c>
    </row>
    <row r="1798" spans="1:14" x14ac:dyDescent="0.25">
      <c r="A1798">
        <v>1280.559667</v>
      </c>
      <c r="B1798" s="1">
        <f>DATE(2013,11,1) + TIME(13,25,55)</f>
        <v>41579.559664351851</v>
      </c>
      <c r="C1798">
        <v>80</v>
      </c>
      <c r="D1798">
        <v>79.872558593999997</v>
      </c>
      <c r="E1798">
        <v>50</v>
      </c>
      <c r="F1798">
        <v>50.030799866000002</v>
      </c>
      <c r="G1798">
        <v>1321.6223144999999</v>
      </c>
      <c r="H1798">
        <v>1316.8698730000001</v>
      </c>
      <c r="I1798">
        <v>1359.0087891000001</v>
      </c>
      <c r="J1798">
        <v>1350.0748291</v>
      </c>
      <c r="K1798">
        <v>0</v>
      </c>
      <c r="L1798">
        <v>2400</v>
      </c>
      <c r="M1798">
        <v>2400</v>
      </c>
      <c r="N1798">
        <v>0</v>
      </c>
    </row>
    <row r="1799" spans="1:14" x14ac:dyDescent="0.25">
      <c r="A1799">
        <v>1280.6344360000001</v>
      </c>
      <c r="B1799" s="1">
        <f>DATE(2013,11,1) + TIME(15,13,35)</f>
        <v>41579.634432870371</v>
      </c>
      <c r="C1799">
        <v>80</v>
      </c>
      <c r="D1799">
        <v>79.862014771000005</v>
      </c>
      <c r="E1799">
        <v>50</v>
      </c>
      <c r="F1799">
        <v>50.025806426999999</v>
      </c>
      <c r="G1799">
        <v>1321.6207274999999</v>
      </c>
      <c r="H1799">
        <v>1316.8680420000001</v>
      </c>
      <c r="I1799">
        <v>1358.9361572</v>
      </c>
      <c r="J1799">
        <v>1350.0291748</v>
      </c>
      <c r="K1799">
        <v>0</v>
      </c>
      <c r="L1799">
        <v>2400</v>
      </c>
      <c r="M1799">
        <v>2400</v>
      </c>
      <c r="N1799">
        <v>0</v>
      </c>
    </row>
    <row r="1800" spans="1:14" x14ac:dyDescent="0.25">
      <c r="A1800">
        <v>1280.713943</v>
      </c>
      <c r="B1800" s="1">
        <f>DATE(2013,11,1) + TIME(17,8,4)</f>
        <v>41579.713935185187</v>
      </c>
      <c r="C1800">
        <v>80</v>
      </c>
      <c r="D1800">
        <v>79.851028442</v>
      </c>
      <c r="E1800">
        <v>50</v>
      </c>
      <c r="F1800">
        <v>50.021026611000003</v>
      </c>
      <c r="G1800">
        <v>1321.6188964999999</v>
      </c>
      <c r="H1800">
        <v>1316.8660889</v>
      </c>
      <c r="I1800">
        <v>1358.8653564000001</v>
      </c>
      <c r="J1800">
        <v>1349.9846190999999</v>
      </c>
      <c r="K1800">
        <v>0</v>
      </c>
      <c r="L1800">
        <v>2400</v>
      </c>
      <c r="M1800">
        <v>2400</v>
      </c>
      <c r="N1800">
        <v>0</v>
      </c>
    </row>
    <row r="1801" spans="1:14" x14ac:dyDescent="0.25">
      <c r="A1801">
        <v>1280.7988769999999</v>
      </c>
      <c r="B1801" s="1">
        <f>DATE(2013,11,1) + TIME(19,10,22)</f>
        <v>41579.79886574074</v>
      </c>
      <c r="C1801">
        <v>80</v>
      </c>
      <c r="D1801">
        <v>79.839515685999999</v>
      </c>
      <c r="E1801">
        <v>50</v>
      </c>
      <c r="F1801">
        <v>50.016456603999998</v>
      </c>
      <c r="G1801">
        <v>1321.6170654</v>
      </c>
      <c r="H1801">
        <v>1316.8640137</v>
      </c>
      <c r="I1801">
        <v>1358.7963867000001</v>
      </c>
      <c r="J1801">
        <v>1349.9412841999999</v>
      </c>
      <c r="K1801">
        <v>0</v>
      </c>
      <c r="L1801">
        <v>2400</v>
      </c>
      <c r="M1801">
        <v>2400</v>
      </c>
      <c r="N1801">
        <v>0</v>
      </c>
    </row>
    <row r="1802" spans="1:14" x14ac:dyDescent="0.25">
      <c r="A1802">
        <v>1280.890077</v>
      </c>
      <c r="B1802" s="1">
        <f>DATE(2013,11,1) + TIME(21,21,42)</f>
        <v>41579.890069444446</v>
      </c>
      <c r="C1802">
        <v>80</v>
      </c>
      <c r="D1802">
        <v>79.827407836999996</v>
      </c>
      <c r="E1802">
        <v>50</v>
      </c>
      <c r="F1802">
        <v>50.012096405000001</v>
      </c>
      <c r="G1802">
        <v>1321.6151123</v>
      </c>
      <c r="H1802">
        <v>1316.8618164</v>
      </c>
      <c r="I1802">
        <v>1358.729126</v>
      </c>
      <c r="J1802">
        <v>1349.8990478999999</v>
      </c>
      <c r="K1802">
        <v>0</v>
      </c>
      <c r="L1802">
        <v>2400</v>
      </c>
      <c r="M1802">
        <v>2400</v>
      </c>
      <c r="N1802">
        <v>0</v>
      </c>
    </row>
    <row r="1803" spans="1:14" x14ac:dyDescent="0.25">
      <c r="A1803">
        <v>1280.9885859999999</v>
      </c>
      <c r="B1803" s="1">
        <f>DATE(2013,11,1) + TIME(23,43,33)</f>
        <v>41579.988576388889</v>
      </c>
      <c r="C1803">
        <v>80</v>
      </c>
      <c r="D1803">
        <v>79.814605713000006</v>
      </c>
      <c r="E1803">
        <v>50</v>
      </c>
      <c r="F1803">
        <v>50.007946013999998</v>
      </c>
      <c r="G1803">
        <v>1321.6130370999999</v>
      </c>
      <c r="H1803">
        <v>1316.859375</v>
      </c>
      <c r="I1803">
        <v>1358.6634521000001</v>
      </c>
      <c r="J1803">
        <v>1349.8576660000001</v>
      </c>
      <c r="K1803">
        <v>0</v>
      </c>
      <c r="L1803">
        <v>2400</v>
      </c>
      <c r="M1803">
        <v>2400</v>
      </c>
      <c r="N1803">
        <v>0</v>
      </c>
    </row>
    <row r="1804" spans="1:14" x14ac:dyDescent="0.25">
      <c r="A1804">
        <v>1281.0957149999999</v>
      </c>
      <c r="B1804" s="1">
        <f>DATE(2013,11,2) + TIME(2,17,49)</f>
        <v>41580.095706018517</v>
      </c>
      <c r="C1804">
        <v>80</v>
      </c>
      <c r="D1804">
        <v>79.800979613999999</v>
      </c>
      <c r="E1804">
        <v>50</v>
      </c>
      <c r="F1804">
        <v>50.004009246999999</v>
      </c>
      <c r="G1804">
        <v>1321.6108397999999</v>
      </c>
      <c r="H1804">
        <v>1316.8568115</v>
      </c>
      <c r="I1804">
        <v>1358.5992432</v>
      </c>
      <c r="J1804">
        <v>1349.8172606999999</v>
      </c>
      <c r="K1804">
        <v>0</v>
      </c>
      <c r="L1804">
        <v>2400</v>
      </c>
      <c r="M1804">
        <v>2400</v>
      </c>
      <c r="N1804">
        <v>0</v>
      </c>
    </row>
    <row r="1805" spans="1:14" x14ac:dyDescent="0.25">
      <c r="A1805">
        <v>1281.2131159999999</v>
      </c>
      <c r="B1805" s="1">
        <f>DATE(2013,11,2) + TIME(5,6,53)</f>
        <v>41580.213113425925</v>
      </c>
      <c r="C1805">
        <v>80</v>
      </c>
      <c r="D1805">
        <v>79.786384583</v>
      </c>
      <c r="E1805">
        <v>50</v>
      </c>
      <c r="F1805">
        <v>50.000286101999997</v>
      </c>
      <c r="G1805">
        <v>1321.6083983999999</v>
      </c>
      <c r="H1805">
        <v>1316.854126</v>
      </c>
      <c r="I1805">
        <v>1358.5362548999999</v>
      </c>
      <c r="J1805">
        <v>1349.7777100000001</v>
      </c>
      <c r="K1805">
        <v>0</v>
      </c>
      <c r="L1805">
        <v>2400</v>
      </c>
      <c r="M1805">
        <v>2400</v>
      </c>
      <c r="N1805">
        <v>0</v>
      </c>
    </row>
    <row r="1806" spans="1:14" x14ac:dyDescent="0.25">
      <c r="A1806">
        <v>1281.3430060000001</v>
      </c>
      <c r="B1806" s="1">
        <f>DATE(2013,11,2) + TIME(8,13,55)</f>
        <v>41580.342997685184</v>
      </c>
      <c r="C1806">
        <v>80</v>
      </c>
      <c r="D1806">
        <v>79.770614624000004</v>
      </c>
      <c r="E1806">
        <v>50</v>
      </c>
      <c r="F1806">
        <v>49.996784210000001</v>
      </c>
      <c r="G1806">
        <v>1321.6058350000001</v>
      </c>
      <c r="H1806">
        <v>1316.8510742000001</v>
      </c>
      <c r="I1806">
        <v>1358.4743652</v>
      </c>
      <c r="J1806">
        <v>1349.7388916</v>
      </c>
      <c r="K1806">
        <v>0</v>
      </c>
      <c r="L1806">
        <v>2400</v>
      </c>
      <c r="M1806">
        <v>2400</v>
      </c>
      <c r="N1806">
        <v>0</v>
      </c>
    </row>
    <row r="1807" spans="1:14" x14ac:dyDescent="0.25">
      <c r="A1807">
        <v>1281.488327</v>
      </c>
      <c r="B1807" s="1">
        <f>DATE(2013,11,2) + TIME(11,43,11)</f>
        <v>41580.488321759258</v>
      </c>
      <c r="C1807">
        <v>80</v>
      </c>
      <c r="D1807">
        <v>79.753425598000007</v>
      </c>
      <c r="E1807">
        <v>50</v>
      </c>
      <c r="F1807">
        <v>49.993507385000001</v>
      </c>
      <c r="G1807">
        <v>1321.6029053</v>
      </c>
      <c r="H1807">
        <v>1316.8477783000001</v>
      </c>
      <c r="I1807">
        <v>1358.4134521000001</v>
      </c>
      <c r="J1807">
        <v>1349.7005615</v>
      </c>
      <c r="K1807">
        <v>0</v>
      </c>
      <c r="L1807">
        <v>2400</v>
      </c>
      <c r="M1807">
        <v>2400</v>
      </c>
      <c r="N1807">
        <v>0</v>
      </c>
    </row>
    <row r="1808" spans="1:14" x14ac:dyDescent="0.25">
      <c r="A1808">
        <v>1281.653137</v>
      </c>
      <c r="B1808" s="1">
        <f>DATE(2013,11,2) + TIME(15,40,31)</f>
        <v>41580.653136574074</v>
      </c>
      <c r="C1808">
        <v>80</v>
      </c>
      <c r="D1808">
        <v>79.734451293999996</v>
      </c>
      <c r="E1808">
        <v>50</v>
      </c>
      <c r="F1808">
        <v>49.990467072000001</v>
      </c>
      <c r="G1808">
        <v>1321.5997314000001</v>
      </c>
      <c r="H1808">
        <v>1316.8441161999999</v>
      </c>
      <c r="I1808">
        <v>1358.3532714999999</v>
      </c>
      <c r="J1808">
        <v>1349.6627197</v>
      </c>
      <c r="K1808">
        <v>0</v>
      </c>
      <c r="L1808">
        <v>2400</v>
      </c>
      <c r="M1808">
        <v>2400</v>
      </c>
      <c r="N1808">
        <v>0</v>
      </c>
    </row>
    <row r="1809" spans="1:14" x14ac:dyDescent="0.25">
      <c r="A1809">
        <v>1281.8432319999999</v>
      </c>
      <c r="B1809" s="1">
        <f>DATE(2013,11,2) + TIME(20,14,15)</f>
        <v>41580.843229166669</v>
      </c>
      <c r="C1809">
        <v>80</v>
      </c>
      <c r="D1809">
        <v>79.713226317999997</v>
      </c>
      <c r="E1809">
        <v>50</v>
      </c>
      <c r="F1809">
        <v>49.987674712999997</v>
      </c>
      <c r="G1809">
        <v>1321.5961914</v>
      </c>
      <c r="H1809">
        <v>1316.8399658000001</v>
      </c>
      <c r="I1809">
        <v>1358.293457</v>
      </c>
      <c r="J1809">
        <v>1349.6252440999999</v>
      </c>
      <c r="K1809">
        <v>0</v>
      </c>
      <c r="L1809">
        <v>2400</v>
      </c>
      <c r="M1809">
        <v>2400</v>
      </c>
      <c r="N1809">
        <v>0</v>
      </c>
    </row>
    <row r="1810" spans="1:14" x14ac:dyDescent="0.25">
      <c r="A1810">
        <v>1282.045376</v>
      </c>
      <c r="B1810" s="1">
        <f>DATE(2013,11,3) + TIME(1,5,20)</f>
        <v>41581.045370370368</v>
      </c>
      <c r="C1810">
        <v>80</v>
      </c>
      <c r="D1810">
        <v>79.690971375000004</v>
      </c>
      <c r="E1810">
        <v>50</v>
      </c>
      <c r="F1810">
        <v>49.985336304</v>
      </c>
      <c r="G1810">
        <v>1321.5920410000001</v>
      </c>
      <c r="H1810">
        <v>1316.8353271000001</v>
      </c>
      <c r="I1810">
        <v>1358.2384033000001</v>
      </c>
      <c r="J1810">
        <v>1349.5905762</v>
      </c>
      <c r="K1810">
        <v>0</v>
      </c>
      <c r="L1810">
        <v>2400</v>
      </c>
      <c r="M1810">
        <v>2400</v>
      </c>
      <c r="N1810">
        <v>0</v>
      </c>
    </row>
    <row r="1811" spans="1:14" x14ac:dyDescent="0.25">
      <c r="A1811">
        <v>1282.249268</v>
      </c>
      <c r="B1811" s="1">
        <f>DATE(2013,11,3) + TIME(5,58,56)</f>
        <v>41581.249259259261</v>
      </c>
      <c r="C1811">
        <v>80</v>
      </c>
      <c r="D1811">
        <v>79.668601989999999</v>
      </c>
      <c r="E1811">
        <v>50</v>
      </c>
      <c r="F1811">
        <v>49.983486176</v>
      </c>
      <c r="G1811">
        <v>1321.5875243999999</v>
      </c>
      <c r="H1811">
        <v>1316.8303223</v>
      </c>
      <c r="I1811">
        <v>1358.1894531</v>
      </c>
      <c r="J1811">
        <v>1349.5598144999999</v>
      </c>
      <c r="K1811">
        <v>0</v>
      </c>
      <c r="L1811">
        <v>2400</v>
      </c>
      <c r="M1811">
        <v>2400</v>
      </c>
      <c r="N1811">
        <v>0</v>
      </c>
    </row>
    <row r="1812" spans="1:14" x14ac:dyDescent="0.25">
      <c r="A1812">
        <v>1282.4575709999999</v>
      </c>
      <c r="B1812" s="1">
        <f>DATE(2013,11,3) + TIME(10,58,54)</f>
        <v>41581.457569444443</v>
      </c>
      <c r="C1812">
        <v>80</v>
      </c>
      <c r="D1812">
        <v>79.645904540999993</v>
      </c>
      <c r="E1812">
        <v>50</v>
      </c>
      <c r="F1812">
        <v>49.982009888</v>
      </c>
      <c r="G1812">
        <v>1321.5831298999999</v>
      </c>
      <c r="H1812">
        <v>1316.8253173999999</v>
      </c>
      <c r="I1812">
        <v>1358.1453856999999</v>
      </c>
      <c r="J1812">
        <v>1349.5319824000001</v>
      </c>
      <c r="K1812">
        <v>0</v>
      </c>
      <c r="L1812">
        <v>2400</v>
      </c>
      <c r="M1812">
        <v>2400</v>
      </c>
      <c r="N1812">
        <v>0</v>
      </c>
    </row>
    <row r="1813" spans="1:14" x14ac:dyDescent="0.25">
      <c r="A1813">
        <v>1282.6719089999999</v>
      </c>
      <c r="B1813" s="1">
        <f>DATE(2013,11,3) + TIME(16,7,32)</f>
        <v>41581.671898148146</v>
      </c>
      <c r="C1813">
        <v>80</v>
      </c>
      <c r="D1813">
        <v>79.622741699000002</v>
      </c>
      <c r="E1813">
        <v>50</v>
      </c>
      <c r="F1813">
        <v>49.980827331999997</v>
      </c>
      <c r="G1813">
        <v>1321.5786132999999</v>
      </c>
      <c r="H1813">
        <v>1316.8200684000001</v>
      </c>
      <c r="I1813">
        <v>1358.1051024999999</v>
      </c>
      <c r="J1813">
        <v>1349.5067139</v>
      </c>
      <c r="K1813">
        <v>0</v>
      </c>
      <c r="L1813">
        <v>2400</v>
      </c>
      <c r="M1813">
        <v>2400</v>
      </c>
      <c r="N1813">
        <v>0</v>
      </c>
    </row>
    <row r="1814" spans="1:14" x14ac:dyDescent="0.25">
      <c r="A1814">
        <v>1282.8940190000001</v>
      </c>
      <c r="B1814" s="1">
        <f>DATE(2013,11,3) + TIME(21,27,23)</f>
        <v>41581.894016203703</v>
      </c>
      <c r="C1814">
        <v>80</v>
      </c>
      <c r="D1814">
        <v>79.598976135000001</v>
      </c>
      <c r="E1814">
        <v>50</v>
      </c>
      <c r="F1814">
        <v>49.979888916</v>
      </c>
      <c r="G1814">
        <v>1321.5738524999999</v>
      </c>
      <c r="H1814">
        <v>1316.8146973</v>
      </c>
      <c r="I1814">
        <v>1358.0681152</v>
      </c>
      <c r="J1814">
        <v>1349.4833983999999</v>
      </c>
      <c r="K1814">
        <v>0</v>
      </c>
      <c r="L1814">
        <v>2400</v>
      </c>
      <c r="M1814">
        <v>2400</v>
      </c>
      <c r="N1814">
        <v>0</v>
      </c>
    </row>
    <row r="1815" spans="1:14" x14ac:dyDescent="0.25">
      <c r="A1815">
        <v>1283.1257660000001</v>
      </c>
      <c r="B1815" s="1">
        <f>DATE(2013,11,4) + TIME(3,1,6)</f>
        <v>41582.125763888886</v>
      </c>
      <c r="C1815">
        <v>80</v>
      </c>
      <c r="D1815">
        <v>79.574462890999996</v>
      </c>
      <c r="E1815">
        <v>50</v>
      </c>
      <c r="F1815">
        <v>49.979141235</v>
      </c>
      <c r="G1815">
        <v>1321.5690918</v>
      </c>
      <c r="H1815">
        <v>1316.8092041</v>
      </c>
      <c r="I1815">
        <v>1358.0335693</v>
      </c>
      <c r="J1815">
        <v>1349.4615478999999</v>
      </c>
      <c r="K1815">
        <v>0</v>
      </c>
      <c r="L1815">
        <v>2400</v>
      </c>
      <c r="M1815">
        <v>2400</v>
      </c>
      <c r="N1815">
        <v>0</v>
      </c>
    </row>
    <row r="1816" spans="1:14" x14ac:dyDescent="0.25">
      <c r="A1816">
        <v>1283.3692430000001</v>
      </c>
      <c r="B1816" s="1">
        <f>DATE(2013,11,4) + TIME(8,51,42)</f>
        <v>41582.36923611111</v>
      </c>
      <c r="C1816">
        <v>80</v>
      </c>
      <c r="D1816">
        <v>79.549018860000004</v>
      </c>
      <c r="E1816">
        <v>50</v>
      </c>
      <c r="F1816">
        <v>49.978553771999998</v>
      </c>
      <c r="G1816">
        <v>1321.5639647999999</v>
      </c>
      <c r="H1816">
        <v>1316.8033447</v>
      </c>
      <c r="I1816">
        <v>1358.0009766000001</v>
      </c>
      <c r="J1816">
        <v>1349.4410399999999</v>
      </c>
      <c r="K1816">
        <v>0</v>
      </c>
      <c r="L1816">
        <v>2400</v>
      </c>
      <c r="M1816">
        <v>2400</v>
      </c>
      <c r="N1816">
        <v>0</v>
      </c>
    </row>
    <row r="1817" spans="1:14" x14ac:dyDescent="0.25">
      <c r="A1817">
        <v>1283.626884</v>
      </c>
      <c r="B1817" s="1">
        <f>DATE(2013,11,4) + TIME(15,2,42)</f>
        <v>41582.626875000002</v>
      </c>
      <c r="C1817">
        <v>80</v>
      </c>
      <c r="D1817">
        <v>79.522468567000004</v>
      </c>
      <c r="E1817">
        <v>50</v>
      </c>
      <c r="F1817">
        <v>49.978096008000001</v>
      </c>
      <c r="G1817">
        <v>1321.5585937999999</v>
      </c>
      <c r="H1817">
        <v>1316.7972411999999</v>
      </c>
      <c r="I1817">
        <v>1357.9700928</v>
      </c>
      <c r="J1817">
        <v>1349.4216309000001</v>
      </c>
      <c r="K1817">
        <v>0</v>
      </c>
      <c r="L1817">
        <v>2400</v>
      </c>
      <c r="M1817">
        <v>2400</v>
      </c>
      <c r="N1817">
        <v>0</v>
      </c>
    </row>
    <row r="1818" spans="1:14" x14ac:dyDescent="0.25">
      <c r="A1818">
        <v>1283.901595</v>
      </c>
      <c r="B1818" s="1">
        <f>DATE(2013,11,4) + TIME(21,38,17)</f>
        <v>41582.901585648149</v>
      </c>
      <c r="C1818">
        <v>80</v>
      </c>
      <c r="D1818">
        <v>79.494560242000006</v>
      </c>
      <c r="E1818">
        <v>50</v>
      </c>
      <c r="F1818">
        <v>49.977745056000003</v>
      </c>
      <c r="G1818">
        <v>1321.5529785000001</v>
      </c>
      <c r="H1818">
        <v>1316.7906493999999</v>
      </c>
      <c r="I1818">
        <v>1357.9403076000001</v>
      </c>
      <c r="J1818">
        <v>1349.402832</v>
      </c>
      <c r="K1818">
        <v>0</v>
      </c>
      <c r="L1818">
        <v>2400</v>
      </c>
      <c r="M1818">
        <v>2400</v>
      </c>
      <c r="N1818">
        <v>0</v>
      </c>
    </row>
    <row r="1819" spans="1:14" x14ac:dyDescent="0.25">
      <c r="A1819">
        <v>1284.1968440000001</v>
      </c>
      <c r="B1819" s="1">
        <f>DATE(2013,11,5) + TIME(4,43,27)</f>
        <v>41583.196840277778</v>
      </c>
      <c r="C1819">
        <v>80</v>
      </c>
      <c r="D1819">
        <v>79.465049743999998</v>
      </c>
      <c r="E1819">
        <v>50</v>
      </c>
      <c r="F1819">
        <v>49.977481842000003</v>
      </c>
      <c r="G1819">
        <v>1321.5469971</v>
      </c>
      <c r="H1819">
        <v>1316.7836914</v>
      </c>
      <c r="I1819">
        <v>1357.9113769999999</v>
      </c>
      <c r="J1819">
        <v>1349.3845214999999</v>
      </c>
      <c r="K1819">
        <v>0</v>
      </c>
      <c r="L1819">
        <v>2400</v>
      </c>
      <c r="M1819">
        <v>2400</v>
      </c>
      <c r="N1819">
        <v>0</v>
      </c>
    </row>
    <row r="1820" spans="1:14" x14ac:dyDescent="0.25">
      <c r="A1820">
        <v>1284.510597</v>
      </c>
      <c r="B1820" s="1">
        <f>DATE(2013,11,5) + TIME(12,15,15)</f>
        <v>41583.51059027778</v>
      </c>
      <c r="C1820">
        <v>80</v>
      </c>
      <c r="D1820">
        <v>79.434051514000004</v>
      </c>
      <c r="E1820">
        <v>50</v>
      </c>
      <c r="F1820">
        <v>49.977291106999999</v>
      </c>
      <c r="G1820">
        <v>1321.5404053</v>
      </c>
      <c r="H1820">
        <v>1316.7761230000001</v>
      </c>
      <c r="I1820">
        <v>1357.8830565999999</v>
      </c>
      <c r="J1820">
        <v>1349.3666992000001</v>
      </c>
      <c r="K1820">
        <v>0</v>
      </c>
      <c r="L1820">
        <v>2400</v>
      </c>
      <c r="M1820">
        <v>2400</v>
      </c>
      <c r="N1820">
        <v>0</v>
      </c>
    </row>
    <row r="1821" spans="1:14" x14ac:dyDescent="0.25">
      <c r="A1821">
        <v>1284.8468499999999</v>
      </c>
      <c r="B1821" s="1">
        <f>DATE(2013,11,5) + TIME(20,19,27)</f>
        <v>41583.84684027778</v>
      </c>
      <c r="C1821">
        <v>80</v>
      </c>
      <c r="D1821">
        <v>79.401298522999994</v>
      </c>
      <c r="E1821">
        <v>50</v>
      </c>
      <c r="F1821">
        <v>49.977153778000002</v>
      </c>
      <c r="G1821">
        <v>1321.5334473</v>
      </c>
      <c r="H1821">
        <v>1316.7679443</v>
      </c>
      <c r="I1821">
        <v>1357.8553466999999</v>
      </c>
      <c r="J1821">
        <v>1349.3492432</v>
      </c>
      <c r="K1821">
        <v>0</v>
      </c>
      <c r="L1821">
        <v>2400</v>
      </c>
      <c r="M1821">
        <v>2400</v>
      </c>
      <c r="N1821">
        <v>0</v>
      </c>
    </row>
    <row r="1822" spans="1:14" x14ac:dyDescent="0.25">
      <c r="A1822">
        <v>1285.209975</v>
      </c>
      <c r="B1822" s="1">
        <f>DATE(2013,11,6) + TIME(5,2,21)</f>
        <v>41584.209965277776</v>
      </c>
      <c r="C1822">
        <v>80</v>
      </c>
      <c r="D1822">
        <v>79.366470336999996</v>
      </c>
      <c r="E1822">
        <v>50</v>
      </c>
      <c r="F1822">
        <v>49.977066039999997</v>
      </c>
      <c r="G1822">
        <v>1321.5258789</v>
      </c>
      <c r="H1822">
        <v>1316.7591553</v>
      </c>
      <c r="I1822">
        <v>1357.8280029</v>
      </c>
      <c r="J1822">
        <v>1349.3320312000001</v>
      </c>
      <c r="K1822">
        <v>0</v>
      </c>
      <c r="L1822">
        <v>2400</v>
      </c>
      <c r="M1822">
        <v>2400</v>
      </c>
      <c r="N1822">
        <v>0</v>
      </c>
    </row>
    <row r="1823" spans="1:14" x14ac:dyDescent="0.25">
      <c r="A1823">
        <v>1285.6056719999999</v>
      </c>
      <c r="B1823" s="1">
        <f>DATE(2013,11,6) + TIME(14,32,10)</f>
        <v>41584.605671296296</v>
      </c>
      <c r="C1823">
        <v>80</v>
      </c>
      <c r="D1823">
        <v>79.329170227000006</v>
      </c>
      <c r="E1823">
        <v>50</v>
      </c>
      <c r="F1823">
        <v>49.977008820000002</v>
      </c>
      <c r="G1823">
        <v>1321.5177002</v>
      </c>
      <c r="H1823">
        <v>1316.7496338000001</v>
      </c>
      <c r="I1823">
        <v>1357.8007812000001</v>
      </c>
      <c r="J1823">
        <v>1349.3148193</v>
      </c>
      <c r="K1823">
        <v>0</v>
      </c>
      <c r="L1823">
        <v>2400</v>
      </c>
      <c r="M1823">
        <v>2400</v>
      </c>
      <c r="N1823">
        <v>0</v>
      </c>
    </row>
    <row r="1824" spans="1:14" x14ac:dyDescent="0.25">
      <c r="A1824">
        <v>1286.0257779999999</v>
      </c>
      <c r="B1824" s="1">
        <f>DATE(2013,11,7) + TIME(0,37,7)</f>
        <v>41585.025775462964</v>
      </c>
      <c r="C1824">
        <v>80</v>
      </c>
      <c r="D1824">
        <v>79.289871215999995</v>
      </c>
      <c r="E1824">
        <v>50</v>
      </c>
      <c r="F1824">
        <v>49.976978301999999</v>
      </c>
      <c r="G1824">
        <v>1321.5086670000001</v>
      </c>
      <c r="H1824">
        <v>1316.7390137</v>
      </c>
      <c r="I1824">
        <v>1357.7731934000001</v>
      </c>
      <c r="J1824">
        <v>1349.2973632999999</v>
      </c>
      <c r="K1824">
        <v>0</v>
      </c>
      <c r="L1824">
        <v>2400</v>
      </c>
      <c r="M1824">
        <v>2400</v>
      </c>
      <c r="N1824">
        <v>0</v>
      </c>
    </row>
    <row r="1825" spans="1:14" x14ac:dyDescent="0.25">
      <c r="A1825">
        <v>1286.4522159999999</v>
      </c>
      <c r="B1825" s="1">
        <f>DATE(2013,11,7) + TIME(10,51,11)</f>
        <v>41585.452210648145</v>
      </c>
      <c r="C1825">
        <v>80</v>
      </c>
      <c r="D1825">
        <v>79.249725342000005</v>
      </c>
      <c r="E1825">
        <v>50</v>
      </c>
      <c r="F1825">
        <v>49.976963042999998</v>
      </c>
      <c r="G1825">
        <v>1321.4990233999999</v>
      </c>
      <c r="H1825">
        <v>1316.7276611</v>
      </c>
      <c r="I1825">
        <v>1357.7460937999999</v>
      </c>
      <c r="J1825">
        <v>1349.2802733999999</v>
      </c>
      <c r="K1825">
        <v>0</v>
      </c>
      <c r="L1825">
        <v>2400</v>
      </c>
      <c r="M1825">
        <v>2400</v>
      </c>
      <c r="N1825">
        <v>0</v>
      </c>
    </row>
    <row r="1826" spans="1:14" x14ac:dyDescent="0.25">
      <c r="A1826">
        <v>1286.8897420000001</v>
      </c>
      <c r="B1826" s="1">
        <f>DATE(2013,11,7) + TIME(21,21,13)</f>
        <v>41585.889733796299</v>
      </c>
      <c r="C1826">
        <v>80</v>
      </c>
      <c r="D1826">
        <v>79.208656310999999</v>
      </c>
      <c r="E1826">
        <v>50</v>
      </c>
      <c r="F1826">
        <v>49.976959229000002</v>
      </c>
      <c r="G1826">
        <v>1321.4891356999999</v>
      </c>
      <c r="H1826">
        <v>1316.7159423999999</v>
      </c>
      <c r="I1826">
        <v>1357.7204589999999</v>
      </c>
      <c r="J1826">
        <v>1349.2640381000001</v>
      </c>
      <c r="K1826">
        <v>0</v>
      </c>
      <c r="L1826">
        <v>2400</v>
      </c>
      <c r="M1826">
        <v>2400</v>
      </c>
      <c r="N1826">
        <v>0</v>
      </c>
    </row>
    <row r="1827" spans="1:14" x14ac:dyDescent="0.25">
      <c r="A1827">
        <v>1287.342946</v>
      </c>
      <c r="B1827" s="1">
        <f>DATE(2013,11,8) + TIME(8,13,50)</f>
        <v>41586.342939814815</v>
      </c>
      <c r="C1827">
        <v>80</v>
      </c>
      <c r="D1827">
        <v>79.166488646999994</v>
      </c>
      <c r="E1827">
        <v>50</v>
      </c>
      <c r="F1827">
        <v>49.976959229000002</v>
      </c>
      <c r="G1827">
        <v>1321.4787598</v>
      </c>
      <c r="H1827">
        <v>1316.7037353999999</v>
      </c>
      <c r="I1827">
        <v>1357.6956786999999</v>
      </c>
      <c r="J1827">
        <v>1349.2484131000001</v>
      </c>
      <c r="K1827">
        <v>0</v>
      </c>
      <c r="L1827">
        <v>2400</v>
      </c>
      <c r="M1827">
        <v>2400</v>
      </c>
      <c r="N1827">
        <v>0</v>
      </c>
    </row>
    <row r="1828" spans="1:14" x14ac:dyDescent="0.25">
      <c r="A1828">
        <v>1287.811518</v>
      </c>
      <c r="B1828" s="1">
        <f>DATE(2013,11,8) + TIME(19,28,35)</f>
        <v>41586.811516203707</v>
      </c>
      <c r="C1828">
        <v>80</v>
      </c>
      <c r="D1828">
        <v>79.123268127000003</v>
      </c>
      <c r="E1828">
        <v>50</v>
      </c>
      <c r="F1828">
        <v>49.976963042999998</v>
      </c>
      <c r="G1828">
        <v>1321.4680175999999</v>
      </c>
      <c r="H1828">
        <v>1316.6907959</v>
      </c>
      <c r="I1828">
        <v>1357.6716309000001</v>
      </c>
      <c r="J1828">
        <v>1349.2332764</v>
      </c>
      <c r="K1828">
        <v>0</v>
      </c>
      <c r="L1828">
        <v>2400</v>
      </c>
      <c r="M1828">
        <v>2400</v>
      </c>
      <c r="N1828">
        <v>0</v>
      </c>
    </row>
    <row r="1829" spans="1:14" x14ac:dyDescent="0.25">
      <c r="A1829">
        <v>1288.2945649999999</v>
      </c>
      <c r="B1829" s="1">
        <f>DATE(2013,11,9) + TIME(7,4,10)</f>
        <v>41587.294560185182</v>
      </c>
      <c r="C1829">
        <v>80</v>
      </c>
      <c r="D1829">
        <v>79.079101562000005</v>
      </c>
      <c r="E1829">
        <v>50</v>
      </c>
      <c r="F1829">
        <v>49.976970672999997</v>
      </c>
      <c r="G1829">
        <v>1321.4566649999999</v>
      </c>
      <c r="H1829">
        <v>1316.677124</v>
      </c>
      <c r="I1829">
        <v>1357.6480713000001</v>
      </c>
      <c r="J1829">
        <v>1349.2185059000001</v>
      </c>
      <c r="K1829">
        <v>0</v>
      </c>
      <c r="L1829">
        <v>2400</v>
      </c>
      <c r="M1829">
        <v>2400</v>
      </c>
      <c r="N1829">
        <v>0</v>
      </c>
    </row>
    <row r="1830" spans="1:14" x14ac:dyDescent="0.25">
      <c r="A1830">
        <v>1288.7961310000001</v>
      </c>
      <c r="B1830" s="1">
        <f>DATE(2013,11,9) + TIME(19,6,25)</f>
        <v>41587.796122685184</v>
      </c>
      <c r="C1830">
        <v>80</v>
      </c>
      <c r="D1830">
        <v>79.033775329999997</v>
      </c>
      <c r="E1830">
        <v>50</v>
      </c>
      <c r="F1830">
        <v>49.976974487</v>
      </c>
      <c r="G1830">
        <v>1321.4448242000001</v>
      </c>
      <c r="H1830">
        <v>1316.6628418</v>
      </c>
      <c r="I1830">
        <v>1357.6252440999999</v>
      </c>
      <c r="J1830">
        <v>1349.2041016000001</v>
      </c>
      <c r="K1830">
        <v>0</v>
      </c>
      <c r="L1830">
        <v>2400</v>
      </c>
      <c r="M1830">
        <v>2400</v>
      </c>
      <c r="N1830">
        <v>0</v>
      </c>
    </row>
    <row r="1831" spans="1:14" x14ac:dyDescent="0.25">
      <c r="A1831">
        <v>1289.3205829999999</v>
      </c>
      <c r="B1831" s="1">
        <f>DATE(2013,11,10) + TIME(7,41,38)</f>
        <v>41588.3205787037</v>
      </c>
      <c r="C1831">
        <v>80</v>
      </c>
      <c r="D1831">
        <v>78.987060546999999</v>
      </c>
      <c r="E1831">
        <v>50</v>
      </c>
      <c r="F1831">
        <v>49.976978301999999</v>
      </c>
      <c r="G1831">
        <v>1321.4323730000001</v>
      </c>
      <c r="H1831">
        <v>1316.6478271000001</v>
      </c>
      <c r="I1831">
        <v>1357.6027832</v>
      </c>
      <c r="J1831">
        <v>1349.1899414</v>
      </c>
      <c r="K1831">
        <v>0</v>
      </c>
      <c r="L1831">
        <v>2400</v>
      </c>
      <c r="M1831">
        <v>2400</v>
      </c>
      <c r="N1831">
        <v>0</v>
      </c>
    </row>
    <row r="1832" spans="1:14" x14ac:dyDescent="0.25">
      <c r="A1832">
        <v>1289.8729699999999</v>
      </c>
      <c r="B1832" s="1">
        <f>DATE(2013,11,10) + TIME(20,57,4)</f>
        <v>41588.87296296296</v>
      </c>
      <c r="C1832">
        <v>80</v>
      </c>
      <c r="D1832">
        <v>78.938636779999996</v>
      </c>
      <c r="E1832">
        <v>50</v>
      </c>
      <c r="F1832">
        <v>49.976978301999999</v>
      </c>
      <c r="G1832">
        <v>1321.4191894999999</v>
      </c>
      <c r="H1832">
        <v>1316.6315918</v>
      </c>
      <c r="I1832">
        <v>1357.5805664</v>
      </c>
      <c r="J1832">
        <v>1349.1759033000001</v>
      </c>
      <c r="K1832">
        <v>0</v>
      </c>
      <c r="L1832">
        <v>2400</v>
      </c>
      <c r="M1832">
        <v>2400</v>
      </c>
      <c r="N1832">
        <v>0</v>
      </c>
    </row>
    <row r="1833" spans="1:14" x14ac:dyDescent="0.25">
      <c r="A1833">
        <v>1290.4593339999999</v>
      </c>
      <c r="B1833" s="1">
        <f>DATE(2013,11,11) + TIME(11,1,26)</f>
        <v>41589.459328703706</v>
      </c>
      <c r="C1833">
        <v>80</v>
      </c>
      <c r="D1833">
        <v>78.888137817</v>
      </c>
      <c r="E1833">
        <v>50</v>
      </c>
      <c r="F1833">
        <v>49.976978301999999</v>
      </c>
      <c r="G1833">
        <v>1321.4050293</v>
      </c>
      <c r="H1833">
        <v>1316.6143798999999</v>
      </c>
      <c r="I1833">
        <v>1357.5583495999999</v>
      </c>
      <c r="J1833">
        <v>1349.1619873</v>
      </c>
      <c r="K1833">
        <v>0</v>
      </c>
      <c r="L1833">
        <v>2400</v>
      </c>
      <c r="M1833">
        <v>2400</v>
      </c>
      <c r="N1833">
        <v>0</v>
      </c>
    </row>
    <row r="1834" spans="1:14" x14ac:dyDescent="0.25">
      <c r="A1834">
        <v>1291.080447</v>
      </c>
      <c r="B1834" s="1">
        <f>DATE(2013,11,12) + TIME(1,55,50)</f>
        <v>41590.080439814818</v>
      </c>
      <c r="C1834">
        <v>80</v>
      </c>
      <c r="D1834">
        <v>78.835418700999995</v>
      </c>
      <c r="E1834">
        <v>50</v>
      </c>
      <c r="F1834">
        <v>49.976978301999999</v>
      </c>
      <c r="G1834">
        <v>1321.3897704999999</v>
      </c>
      <c r="H1834">
        <v>1316.5955810999999</v>
      </c>
      <c r="I1834">
        <v>1357.5361327999999</v>
      </c>
      <c r="J1834">
        <v>1349.1479492000001</v>
      </c>
      <c r="K1834">
        <v>0</v>
      </c>
      <c r="L1834">
        <v>2400</v>
      </c>
      <c r="M1834">
        <v>2400</v>
      </c>
      <c r="N1834">
        <v>0</v>
      </c>
    </row>
    <row r="1835" spans="1:14" x14ac:dyDescent="0.25">
      <c r="A1835">
        <v>1291.7100170000001</v>
      </c>
      <c r="B1835" s="1">
        <f>DATE(2013,11,12) + TIME(17,2,25)</f>
        <v>41590.710011574076</v>
      </c>
      <c r="C1835">
        <v>80</v>
      </c>
      <c r="D1835">
        <v>78.781715392999999</v>
      </c>
      <c r="E1835">
        <v>50</v>
      </c>
      <c r="F1835">
        <v>49.976974487</v>
      </c>
      <c r="G1835">
        <v>1321.3732910000001</v>
      </c>
      <c r="H1835">
        <v>1316.5753173999999</v>
      </c>
      <c r="I1835">
        <v>1357.5136719</v>
      </c>
      <c r="J1835">
        <v>1349.1339111</v>
      </c>
      <c r="K1835">
        <v>0</v>
      </c>
      <c r="L1835">
        <v>2400</v>
      </c>
      <c r="M1835">
        <v>2400</v>
      </c>
      <c r="N1835">
        <v>0</v>
      </c>
    </row>
    <row r="1836" spans="1:14" x14ac:dyDescent="0.25">
      <c r="A1836">
        <v>1292.3494949999999</v>
      </c>
      <c r="B1836" s="1">
        <f>DATE(2013,11,13) + TIME(8,23,16)</f>
        <v>41591.349490740744</v>
      </c>
      <c r="C1836">
        <v>80</v>
      </c>
      <c r="D1836">
        <v>78.727333068999997</v>
      </c>
      <c r="E1836">
        <v>50</v>
      </c>
      <c r="F1836">
        <v>49.976970672999997</v>
      </c>
      <c r="G1836">
        <v>1321.3563231999999</v>
      </c>
      <c r="H1836">
        <v>1316.5541992000001</v>
      </c>
      <c r="I1836">
        <v>1357.4921875</v>
      </c>
      <c r="J1836">
        <v>1349.1203613</v>
      </c>
      <c r="K1836">
        <v>0</v>
      </c>
      <c r="L1836">
        <v>2400</v>
      </c>
      <c r="M1836">
        <v>2400</v>
      </c>
      <c r="N1836">
        <v>0</v>
      </c>
    </row>
    <row r="1837" spans="1:14" x14ac:dyDescent="0.25">
      <c r="A1837">
        <v>1293.0004570000001</v>
      </c>
      <c r="B1837" s="1">
        <f>DATE(2013,11,14) + TIME(0,0,39)</f>
        <v>41592.000451388885</v>
      </c>
      <c r="C1837">
        <v>80</v>
      </c>
      <c r="D1837">
        <v>78.672378539999997</v>
      </c>
      <c r="E1837">
        <v>50</v>
      </c>
      <c r="F1837">
        <v>49.976966857999997</v>
      </c>
      <c r="G1837">
        <v>1321.3387451000001</v>
      </c>
      <c r="H1837">
        <v>1316.5322266000001</v>
      </c>
      <c r="I1837">
        <v>1357.4714355000001</v>
      </c>
      <c r="J1837">
        <v>1349.1074219</v>
      </c>
      <c r="K1837">
        <v>0</v>
      </c>
      <c r="L1837">
        <v>2400</v>
      </c>
      <c r="M1837">
        <v>2400</v>
      </c>
      <c r="N1837">
        <v>0</v>
      </c>
    </row>
    <row r="1838" spans="1:14" x14ac:dyDescent="0.25">
      <c r="A1838">
        <v>1293.6645169999999</v>
      </c>
      <c r="B1838" s="1">
        <f>DATE(2013,11,14) + TIME(15,56,54)</f>
        <v>41592.664513888885</v>
      </c>
      <c r="C1838">
        <v>80</v>
      </c>
      <c r="D1838">
        <v>78.616889954000001</v>
      </c>
      <c r="E1838">
        <v>50</v>
      </c>
      <c r="F1838">
        <v>49.976959229000002</v>
      </c>
      <c r="G1838">
        <v>1321.3205565999999</v>
      </c>
      <c r="H1838">
        <v>1316.5093993999999</v>
      </c>
      <c r="I1838">
        <v>1357.4512939000001</v>
      </c>
      <c r="J1838">
        <v>1349.0947266000001</v>
      </c>
      <c r="K1838">
        <v>0</v>
      </c>
      <c r="L1838">
        <v>2400</v>
      </c>
      <c r="M1838">
        <v>2400</v>
      </c>
      <c r="N1838">
        <v>0</v>
      </c>
    </row>
    <row r="1839" spans="1:14" x14ac:dyDescent="0.25">
      <c r="A1839">
        <v>1294.343169</v>
      </c>
      <c r="B1839" s="1">
        <f>DATE(2013,11,15) + TIME(8,14,9)</f>
        <v>41593.343159722222</v>
      </c>
      <c r="C1839">
        <v>80</v>
      </c>
      <c r="D1839">
        <v>78.560836792000003</v>
      </c>
      <c r="E1839">
        <v>50</v>
      </c>
      <c r="F1839">
        <v>49.976955414000003</v>
      </c>
      <c r="G1839">
        <v>1321.3016356999999</v>
      </c>
      <c r="H1839">
        <v>1316.4854736</v>
      </c>
      <c r="I1839">
        <v>1357.4317627</v>
      </c>
      <c r="J1839">
        <v>1349.0825195</v>
      </c>
      <c r="K1839">
        <v>0</v>
      </c>
      <c r="L1839">
        <v>2400</v>
      </c>
      <c r="M1839">
        <v>2400</v>
      </c>
      <c r="N1839">
        <v>0</v>
      </c>
    </row>
    <row r="1840" spans="1:14" x14ac:dyDescent="0.25">
      <c r="A1840">
        <v>1295.0379350000001</v>
      </c>
      <c r="B1840" s="1">
        <f>DATE(2013,11,16) + TIME(0,54,37)</f>
        <v>41594.037928240738</v>
      </c>
      <c r="C1840">
        <v>80</v>
      </c>
      <c r="D1840">
        <v>78.504158020000006</v>
      </c>
      <c r="E1840">
        <v>50</v>
      </c>
      <c r="F1840">
        <v>49.976947783999996</v>
      </c>
      <c r="G1840">
        <v>1321.2819824000001</v>
      </c>
      <c r="H1840">
        <v>1316.4605713000001</v>
      </c>
      <c r="I1840">
        <v>1357.4127197</v>
      </c>
      <c r="J1840">
        <v>1349.0706786999999</v>
      </c>
      <c r="K1840">
        <v>0</v>
      </c>
      <c r="L1840">
        <v>2400</v>
      </c>
      <c r="M1840">
        <v>2400</v>
      </c>
      <c r="N1840">
        <v>0</v>
      </c>
    </row>
    <row r="1841" spans="1:14" x14ac:dyDescent="0.25">
      <c r="A1841">
        <v>1295.750393</v>
      </c>
      <c r="B1841" s="1">
        <f>DATE(2013,11,16) + TIME(18,0,33)</f>
        <v>41594.750381944446</v>
      </c>
      <c r="C1841">
        <v>80</v>
      </c>
      <c r="D1841">
        <v>78.446769713999998</v>
      </c>
      <c r="E1841">
        <v>50</v>
      </c>
      <c r="F1841">
        <v>49.976940155000001</v>
      </c>
      <c r="G1841">
        <v>1321.2614745999999</v>
      </c>
      <c r="H1841">
        <v>1316.4344481999999</v>
      </c>
      <c r="I1841">
        <v>1357.394043</v>
      </c>
      <c r="J1841">
        <v>1349.0589600000001</v>
      </c>
      <c r="K1841">
        <v>0</v>
      </c>
      <c r="L1841">
        <v>2400</v>
      </c>
      <c r="M1841">
        <v>2400</v>
      </c>
      <c r="N1841">
        <v>0</v>
      </c>
    </row>
    <row r="1842" spans="1:14" x14ac:dyDescent="0.25">
      <c r="A1842">
        <v>1296.4821930000001</v>
      </c>
      <c r="B1842" s="1">
        <f>DATE(2013,11,17) + TIME(11,34,21)</f>
        <v>41595.482187499998</v>
      </c>
      <c r="C1842">
        <v>80</v>
      </c>
      <c r="D1842">
        <v>78.388595581000004</v>
      </c>
      <c r="E1842">
        <v>50</v>
      </c>
      <c r="F1842">
        <v>49.976936340000002</v>
      </c>
      <c r="G1842">
        <v>1321.2401123</v>
      </c>
      <c r="H1842">
        <v>1316.4071045000001</v>
      </c>
      <c r="I1842">
        <v>1357.3758545000001</v>
      </c>
      <c r="J1842">
        <v>1349.0476074000001</v>
      </c>
      <c r="K1842">
        <v>0</v>
      </c>
      <c r="L1842">
        <v>2400</v>
      </c>
      <c r="M1842">
        <v>2400</v>
      </c>
      <c r="N1842">
        <v>0</v>
      </c>
    </row>
    <row r="1843" spans="1:14" x14ac:dyDescent="0.25">
      <c r="A1843">
        <v>1297.2315040000001</v>
      </c>
      <c r="B1843" s="1">
        <f>DATE(2013,11,18) + TIME(5,33,21)</f>
        <v>41596.231493055559</v>
      </c>
      <c r="C1843">
        <v>80</v>
      </c>
      <c r="D1843">
        <v>78.329681395999998</v>
      </c>
      <c r="E1843">
        <v>50</v>
      </c>
      <c r="F1843">
        <v>49.976928710999999</v>
      </c>
      <c r="G1843">
        <v>1321.2177733999999</v>
      </c>
      <c r="H1843">
        <v>1316.378418</v>
      </c>
      <c r="I1843">
        <v>1357.3577881000001</v>
      </c>
      <c r="J1843">
        <v>1349.0363769999999</v>
      </c>
      <c r="K1843">
        <v>0</v>
      </c>
      <c r="L1843">
        <v>2400</v>
      </c>
      <c r="M1843">
        <v>2400</v>
      </c>
      <c r="N1843">
        <v>0</v>
      </c>
    </row>
    <row r="1844" spans="1:14" x14ac:dyDescent="0.25">
      <c r="A1844">
        <v>1297.9900070000001</v>
      </c>
      <c r="B1844" s="1">
        <f>DATE(2013,11,18) + TIME(23,45,36)</f>
        <v>41596.99</v>
      </c>
      <c r="C1844">
        <v>80</v>
      </c>
      <c r="D1844">
        <v>78.270408630000006</v>
      </c>
      <c r="E1844">
        <v>50</v>
      </c>
      <c r="F1844">
        <v>49.976921081999997</v>
      </c>
      <c r="G1844">
        <v>1321.1944579999999</v>
      </c>
      <c r="H1844">
        <v>1316.3483887</v>
      </c>
      <c r="I1844">
        <v>1357.3402100000001</v>
      </c>
      <c r="J1844">
        <v>1349.0253906</v>
      </c>
      <c r="K1844">
        <v>0</v>
      </c>
      <c r="L1844">
        <v>2400</v>
      </c>
      <c r="M1844">
        <v>2400</v>
      </c>
      <c r="N1844">
        <v>0</v>
      </c>
    </row>
    <row r="1845" spans="1:14" x14ac:dyDescent="0.25">
      <c r="A1845">
        <v>1298.7592830000001</v>
      </c>
      <c r="B1845" s="1">
        <f>DATE(2013,11,19) + TIME(18,13,22)</f>
        <v>41597.759282407409</v>
      </c>
      <c r="C1845">
        <v>80</v>
      </c>
      <c r="D1845">
        <v>78.210861206000004</v>
      </c>
      <c r="E1845">
        <v>50</v>
      </c>
      <c r="F1845">
        <v>49.976917266999997</v>
      </c>
      <c r="G1845">
        <v>1321.1705322</v>
      </c>
      <c r="H1845">
        <v>1316.3173827999999</v>
      </c>
      <c r="I1845">
        <v>1357.3231201000001</v>
      </c>
      <c r="J1845">
        <v>1349.0146483999999</v>
      </c>
      <c r="K1845">
        <v>0</v>
      </c>
      <c r="L1845">
        <v>2400</v>
      </c>
      <c r="M1845">
        <v>2400</v>
      </c>
      <c r="N1845">
        <v>0</v>
      </c>
    </row>
    <row r="1846" spans="1:14" x14ac:dyDescent="0.25">
      <c r="A1846">
        <v>1299.5415109999999</v>
      </c>
      <c r="B1846" s="1">
        <f>DATE(2013,11,20) + TIME(12,59,46)</f>
        <v>41598.541504629633</v>
      </c>
      <c r="C1846">
        <v>80</v>
      </c>
      <c r="D1846">
        <v>78.151023864999999</v>
      </c>
      <c r="E1846">
        <v>50</v>
      </c>
      <c r="F1846">
        <v>49.976909636999999</v>
      </c>
      <c r="G1846">
        <v>1321.1457519999999</v>
      </c>
      <c r="H1846">
        <v>1316.2852783000001</v>
      </c>
      <c r="I1846">
        <v>1357.3065185999999</v>
      </c>
      <c r="J1846">
        <v>1349.0042725000001</v>
      </c>
      <c r="K1846">
        <v>0</v>
      </c>
      <c r="L1846">
        <v>2400</v>
      </c>
      <c r="M1846">
        <v>2400</v>
      </c>
      <c r="N1846">
        <v>0</v>
      </c>
    </row>
    <row r="1847" spans="1:14" x14ac:dyDescent="0.25">
      <c r="A1847">
        <v>1300.3385310000001</v>
      </c>
      <c r="B1847" s="1">
        <f>DATE(2013,11,21) + TIME(8,7,29)</f>
        <v>41599.338530092595</v>
      </c>
      <c r="C1847">
        <v>80</v>
      </c>
      <c r="D1847">
        <v>78.090820312000005</v>
      </c>
      <c r="E1847">
        <v>50</v>
      </c>
      <c r="F1847">
        <v>49.976905823000003</v>
      </c>
      <c r="G1847">
        <v>1321.1202393000001</v>
      </c>
      <c r="H1847">
        <v>1316.2519531</v>
      </c>
      <c r="I1847">
        <v>1357.2902832</v>
      </c>
      <c r="J1847">
        <v>1348.9941406</v>
      </c>
      <c r="K1847">
        <v>0</v>
      </c>
      <c r="L1847">
        <v>2400</v>
      </c>
      <c r="M1847">
        <v>2400</v>
      </c>
      <c r="N1847">
        <v>0</v>
      </c>
    </row>
    <row r="1848" spans="1:14" x14ac:dyDescent="0.25">
      <c r="A1848">
        <v>1301.152192</v>
      </c>
      <c r="B1848" s="1">
        <f>DATE(2013,11,22) + TIME(3,39,9)</f>
        <v>41600.152187500003</v>
      </c>
      <c r="C1848">
        <v>80</v>
      </c>
      <c r="D1848">
        <v>78.030158997000001</v>
      </c>
      <c r="E1848">
        <v>50</v>
      </c>
      <c r="F1848">
        <v>49.976902008000003</v>
      </c>
      <c r="G1848">
        <v>1321.09375</v>
      </c>
      <c r="H1848">
        <v>1316.2172852000001</v>
      </c>
      <c r="I1848">
        <v>1357.2742920000001</v>
      </c>
      <c r="J1848">
        <v>1348.9842529</v>
      </c>
      <c r="K1848">
        <v>0</v>
      </c>
      <c r="L1848">
        <v>2400</v>
      </c>
      <c r="M1848">
        <v>2400</v>
      </c>
      <c r="N1848">
        <v>0</v>
      </c>
    </row>
    <row r="1849" spans="1:14" x14ac:dyDescent="0.25">
      <c r="A1849">
        <v>1301.9843519999999</v>
      </c>
      <c r="B1849" s="1">
        <f>DATE(2013,11,22) + TIME(23,37,27)</f>
        <v>41600.984340277777</v>
      </c>
      <c r="C1849">
        <v>80</v>
      </c>
      <c r="D1849">
        <v>77.968948363999999</v>
      </c>
      <c r="E1849">
        <v>50</v>
      </c>
      <c r="F1849">
        <v>49.976898192999997</v>
      </c>
      <c r="G1849">
        <v>1321.0664062000001</v>
      </c>
      <c r="H1849">
        <v>1316.1813964999999</v>
      </c>
      <c r="I1849">
        <v>1357.2586670000001</v>
      </c>
      <c r="J1849">
        <v>1348.9744873</v>
      </c>
      <c r="K1849">
        <v>0</v>
      </c>
      <c r="L1849">
        <v>2400</v>
      </c>
      <c r="M1849">
        <v>2400</v>
      </c>
      <c r="N1849">
        <v>0</v>
      </c>
    </row>
    <row r="1850" spans="1:14" x14ac:dyDescent="0.25">
      <c r="A1850">
        <v>1302.8369399999999</v>
      </c>
      <c r="B1850" s="1">
        <f>DATE(2013,11,23) + TIME(20,5,11)</f>
        <v>41601.83693287037</v>
      </c>
      <c r="C1850">
        <v>80</v>
      </c>
      <c r="D1850">
        <v>77.907073975000003</v>
      </c>
      <c r="E1850">
        <v>50</v>
      </c>
      <c r="F1850">
        <v>49.976894379000001</v>
      </c>
      <c r="G1850">
        <v>1321.0378418</v>
      </c>
      <c r="H1850">
        <v>1316.1439209</v>
      </c>
      <c r="I1850">
        <v>1357.2432861</v>
      </c>
      <c r="J1850">
        <v>1348.9649658000001</v>
      </c>
      <c r="K1850">
        <v>0</v>
      </c>
      <c r="L1850">
        <v>2400</v>
      </c>
      <c r="M1850">
        <v>2400</v>
      </c>
      <c r="N1850">
        <v>0</v>
      </c>
    </row>
    <row r="1851" spans="1:14" x14ac:dyDescent="0.25">
      <c r="A1851">
        <v>1303.7119290000001</v>
      </c>
      <c r="B1851" s="1">
        <f>DATE(2013,11,24) + TIME(17,5,10)</f>
        <v>41602.711921296293</v>
      </c>
      <c r="C1851">
        <v>80</v>
      </c>
      <c r="D1851">
        <v>77.844436646000005</v>
      </c>
      <c r="E1851">
        <v>50</v>
      </c>
      <c r="F1851">
        <v>49.976890564000001</v>
      </c>
      <c r="G1851">
        <v>1321.0083007999999</v>
      </c>
      <c r="H1851">
        <v>1316.1048584</v>
      </c>
      <c r="I1851">
        <v>1357.2280272999999</v>
      </c>
      <c r="J1851">
        <v>1348.9555664</v>
      </c>
      <c r="K1851">
        <v>0</v>
      </c>
      <c r="L1851">
        <v>2400</v>
      </c>
      <c r="M1851">
        <v>2400</v>
      </c>
      <c r="N1851">
        <v>0</v>
      </c>
    </row>
    <row r="1852" spans="1:14" x14ac:dyDescent="0.25">
      <c r="A1852">
        <v>1304.6080999999999</v>
      </c>
      <c r="B1852" s="1">
        <f>DATE(2013,11,25) + TIME(14,35,39)</f>
        <v>41603.608090277776</v>
      </c>
      <c r="C1852">
        <v>80</v>
      </c>
      <c r="D1852">
        <v>77.781028747999997</v>
      </c>
      <c r="E1852">
        <v>50</v>
      </c>
      <c r="F1852">
        <v>49.976886749000002</v>
      </c>
      <c r="G1852">
        <v>1320.9775391000001</v>
      </c>
      <c r="H1852">
        <v>1316.0642089999999</v>
      </c>
      <c r="I1852">
        <v>1357.2130127</v>
      </c>
      <c r="J1852">
        <v>1348.9461670000001</v>
      </c>
      <c r="K1852">
        <v>0</v>
      </c>
      <c r="L1852">
        <v>2400</v>
      </c>
      <c r="M1852">
        <v>2400</v>
      </c>
      <c r="N1852">
        <v>0</v>
      </c>
    </row>
    <row r="1853" spans="1:14" x14ac:dyDescent="0.25">
      <c r="A1853">
        <v>1305.5203919999999</v>
      </c>
      <c r="B1853" s="1">
        <f>DATE(2013,11,26) + TIME(12,29,21)</f>
        <v>41604.520381944443</v>
      </c>
      <c r="C1853">
        <v>80</v>
      </c>
      <c r="D1853">
        <v>77.717041015999996</v>
      </c>
      <c r="E1853">
        <v>50</v>
      </c>
      <c r="F1853">
        <v>49.976886749000002</v>
      </c>
      <c r="G1853">
        <v>1320.9455565999999</v>
      </c>
      <c r="H1853">
        <v>1316.0217285000001</v>
      </c>
      <c r="I1853">
        <v>1357.1981201000001</v>
      </c>
      <c r="J1853">
        <v>1348.9370117000001</v>
      </c>
      <c r="K1853">
        <v>0</v>
      </c>
      <c r="L1853">
        <v>2400</v>
      </c>
      <c r="M1853">
        <v>2400</v>
      </c>
      <c r="N1853">
        <v>0</v>
      </c>
    </row>
    <row r="1854" spans="1:14" x14ac:dyDescent="0.25">
      <c r="A1854">
        <v>1306.449556</v>
      </c>
      <c r="B1854" s="1">
        <f>DATE(2013,11,27) + TIME(10,47,21)</f>
        <v>41605.449548611112</v>
      </c>
      <c r="C1854">
        <v>80</v>
      </c>
      <c r="D1854">
        <v>77.652572632000002</v>
      </c>
      <c r="E1854">
        <v>50</v>
      </c>
      <c r="F1854">
        <v>49.976882934999999</v>
      </c>
      <c r="G1854">
        <v>1320.9125977000001</v>
      </c>
      <c r="H1854">
        <v>1315.9777832</v>
      </c>
      <c r="I1854">
        <v>1357.1835937999999</v>
      </c>
      <c r="J1854">
        <v>1348.9278564000001</v>
      </c>
      <c r="K1854">
        <v>0</v>
      </c>
      <c r="L1854">
        <v>2400</v>
      </c>
      <c r="M1854">
        <v>2400</v>
      </c>
      <c r="N1854">
        <v>0</v>
      </c>
    </row>
    <row r="1855" spans="1:14" x14ac:dyDescent="0.25">
      <c r="A1855">
        <v>1307.3937109999999</v>
      </c>
      <c r="B1855" s="1">
        <f>DATE(2013,11,28) + TIME(9,26,56)</f>
        <v>41606.393703703703</v>
      </c>
      <c r="C1855">
        <v>80</v>
      </c>
      <c r="D1855">
        <v>77.587730407999999</v>
      </c>
      <c r="E1855">
        <v>50</v>
      </c>
      <c r="F1855">
        <v>49.976882934999999</v>
      </c>
      <c r="G1855">
        <v>1320.878418</v>
      </c>
      <c r="H1855">
        <v>1315.9323730000001</v>
      </c>
      <c r="I1855">
        <v>1357.1691894999999</v>
      </c>
      <c r="J1855">
        <v>1348.9190673999999</v>
      </c>
      <c r="K1855">
        <v>0</v>
      </c>
      <c r="L1855">
        <v>2400</v>
      </c>
      <c r="M1855">
        <v>2400</v>
      </c>
      <c r="N1855">
        <v>0</v>
      </c>
    </row>
    <row r="1856" spans="1:14" x14ac:dyDescent="0.25">
      <c r="A1856">
        <v>1308.355104</v>
      </c>
      <c r="B1856" s="1">
        <f>DATE(2013,11,29) + TIME(8,31,20)</f>
        <v>41607.355092592596</v>
      </c>
      <c r="C1856">
        <v>80</v>
      </c>
      <c r="D1856">
        <v>77.522506714000002</v>
      </c>
      <c r="E1856">
        <v>50</v>
      </c>
      <c r="F1856">
        <v>49.97687912</v>
      </c>
      <c r="G1856">
        <v>1320.8433838000001</v>
      </c>
      <c r="H1856">
        <v>1315.8854980000001</v>
      </c>
      <c r="I1856">
        <v>1357.1551514</v>
      </c>
      <c r="J1856">
        <v>1348.9102783000001</v>
      </c>
      <c r="K1856">
        <v>0</v>
      </c>
      <c r="L1856">
        <v>2400</v>
      </c>
      <c r="M1856">
        <v>2400</v>
      </c>
      <c r="N1856">
        <v>0</v>
      </c>
    </row>
    <row r="1857" spans="1:14" x14ac:dyDescent="0.25">
      <c r="A1857">
        <v>1309.335953</v>
      </c>
      <c r="B1857" s="1">
        <f>DATE(2013,11,30) + TIME(8,3,46)</f>
        <v>41608.335949074077</v>
      </c>
      <c r="C1857">
        <v>80</v>
      </c>
      <c r="D1857">
        <v>77.456848144999995</v>
      </c>
      <c r="E1857">
        <v>50</v>
      </c>
      <c r="F1857">
        <v>49.97687912</v>
      </c>
      <c r="G1857">
        <v>1320.8071289</v>
      </c>
      <c r="H1857">
        <v>1315.8369141000001</v>
      </c>
      <c r="I1857">
        <v>1357.1412353999999</v>
      </c>
      <c r="J1857">
        <v>1348.9017334</v>
      </c>
      <c r="K1857">
        <v>0</v>
      </c>
      <c r="L1857">
        <v>2400</v>
      </c>
      <c r="M1857">
        <v>2400</v>
      </c>
      <c r="N1857">
        <v>0</v>
      </c>
    </row>
    <row r="1858" spans="1:14" x14ac:dyDescent="0.25">
      <c r="A1858">
        <v>1310</v>
      </c>
      <c r="B1858" s="1">
        <f>DATE(2013,12,1) + TIME(0,0,0)</f>
        <v>41609</v>
      </c>
      <c r="C1858">
        <v>80</v>
      </c>
      <c r="D1858">
        <v>77.403221130000006</v>
      </c>
      <c r="E1858">
        <v>50</v>
      </c>
      <c r="F1858">
        <v>49.97687912</v>
      </c>
      <c r="G1858">
        <v>1320.7706298999999</v>
      </c>
      <c r="H1858">
        <v>1315.7888184000001</v>
      </c>
      <c r="I1858">
        <v>1357.1274414</v>
      </c>
      <c r="J1858">
        <v>1348.8931885</v>
      </c>
      <c r="K1858">
        <v>0</v>
      </c>
      <c r="L1858">
        <v>2400</v>
      </c>
      <c r="M1858">
        <v>2400</v>
      </c>
      <c r="N1858">
        <v>0</v>
      </c>
    </row>
    <row r="1859" spans="1:14" x14ac:dyDescent="0.25">
      <c r="A1859">
        <v>1311.0025390000001</v>
      </c>
      <c r="B1859" s="1">
        <f>DATE(2013,12,2) + TIME(0,3,39)</f>
        <v>41610.002534722225</v>
      </c>
      <c r="C1859">
        <v>80</v>
      </c>
      <c r="D1859">
        <v>77.342323303000001</v>
      </c>
      <c r="E1859">
        <v>50</v>
      </c>
      <c r="F1859">
        <v>49.97687912</v>
      </c>
      <c r="G1859">
        <v>1320.7430420000001</v>
      </c>
      <c r="H1859">
        <v>1315.7502440999999</v>
      </c>
      <c r="I1859">
        <v>1357.1186522999999</v>
      </c>
      <c r="J1859">
        <v>1348.8876952999999</v>
      </c>
      <c r="K1859">
        <v>0</v>
      </c>
      <c r="L1859">
        <v>2400</v>
      </c>
      <c r="M1859">
        <v>2400</v>
      </c>
      <c r="N1859">
        <v>0</v>
      </c>
    </row>
    <row r="1860" spans="1:14" x14ac:dyDescent="0.25">
      <c r="A1860">
        <v>1312.0469479999999</v>
      </c>
      <c r="B1860" s="1">
        <f>DATE(2013,12,3) + TIME(1,7,36)</f>
        <v>41611.046944444446</v>
      </c>
      <c r="C1860">
        <v>80</v>
      </c>
      <c r="D1860">
        <v>77.277709960999999</v>
      </c>
      <c r="E1860">
        <v>50</v>
      </c>
      <c r="F1860">
        <v>49.97687912</v>
      </c>
      <c r="G1860">
        <v>1320.7045897999999</v>
      </c>
      <c r="H1860">
        <v>1315.6986084</v>
      </c>
      <c r="I1860">
        <v>1357.1053466999999</v>
      </c>
      <c r="J1860">
        <v>1348.8795166</v>
      </c>
      <c r="K1860">
        <v>0</v>
      </c>
      <c r="L1860">
        <v>2400</v>
      </c>
      <c r="M1860">
        <v>2400</v>
      </c>
      <c r="N1860">
        <v>0</v>
      </c>
    </row>
    <row r="1861" spans="1:14" x14ac:dyDescent="0.25">
      <c r="A1861">
        <v>1313.1187299999999</v>
      </c>
      <c r="B1861" s="1">
        <f>DATE(2013,12,4) + TIME(2,50,58)</f>
        <v>41612.118726851855</v>
      </c>
      <c r="C1861">
        <v>80</v>
      </c>
      <c r="D1861">
        <v>77.210754394999995</v>
      </c>
      <c r="E1861">
        <v>50</v>
      </c>
      <c r="F1861">
        <v>49.976882934999999</v>
      </c>
      <c r="G1861">
        <v>1320.6638184000001</v>
      </c>
      <c r="H1861">
        <v>1315.6437988</v>
      </c>
      <c r="I1861">
        <v>1357.0920410000001</v>
      </c>
      <c r="J1861">
        <v>1348.8713379000001</v>
      </c>
      <c r="K1861">
        <v>0</v>
      </c>
      <c r="L1861">
        <v>2400</v>
      </c>
      <c r="M1861">
        <v>2400</v>
      </c>
      <c r="N1861">
        <v>0</v>
      </c>
    </row>
    <row r="1862" spans="1:14" x14ac:dyDescent="0.25">
      <c r="A1862">
        <v>1314.2209809999999</v>
      </c>
      <c r="B1862" s="1">
        <f>DATE(2013,12,5) + TIME(5,18,12)</f>
        <v>41613.220972222225</v>
      </c>
      <c r="C1862">
        <v>80</v>
      </c>
      <c r="D1862">
        <v>77.142158507999994</v>
      </c>
      <c r="E1862">
        <v>50</v>
      </c>
      <c r="F1862">
        <v>49.976882934999999</v>
      </c>
      <c r="G1862">
        <v>1320.6213379000001</v>
      </c>
      <c r="H1862">
        <v>1315.5864257999999</v>
      </c>
      <c r="I1862">
        <v>1357.0787353999999</v>
      </c>
      <c r="J1862">
        <v>1348.8631591999999</v>
      </c>
      <c r="K1862">
        <v>0</v>
      </c>
      <c r="L1862">
        <v>2400</v>
      </c>
      <c r="M1862">
        <v>2400</v>
      </c>
      <c r="N1862">
        <v>0</v>
      </c>
    </row>
    <row r="1863" spans="1:14" x14ac:dyDescent="0.25">
      <c r="A1863">
        <v>1315.356495</v>
      </c>
      <c r="B1863" s="1">
        <f>DATE(2013,12,6) + TIME(8,33,21)</f>
        <v>41614.356493055559</v>
      </c>
      <c r="C1863">
        <v>80</v>
      </c>
      <c r="D1863">
        <v>77.072181701999995</v>
      </c>
      <c r="E1863">
        <v>50</v>
      </c>
      <c r="F1863">
        <v>49.976886749000002</v>
      </c>
      <c r="G1863">
        <v>1320.5770264</v>
      </c>
      <c r="H1863">
        <v>1315.5264893000001</v>
      </c>
      <c r="I1863">
        <v>1357.0655518000001</v>
      </c>
      <c r="J1863">
        <v>1348.8549805</v>
      </c>
      <c r="K1863">
        <v>0</v>
      </c>
      <c r="L1863">
        <v>2400</v>
      </c>
      <c r="M1863">
        <v>2400</v>
      </c>
      <c r="N1863">
        <v>0</v>
      </c>
    </row>
    <row r="1864" spans="1:14" x14ac:dyDescent="0.25">
      <c r="A1864">
        <v>1316.527785</v>
      </c>
      <c r="B1864" s="1">
        <f>DATE(2013,12,7) + TIME(12,40,0)</f>
        <v>41615.527777777781</v>
      </c>
      <c r="C1864">
        <v>80</v>
      </c>
      <c r="D1864">
        <v>77.000877380000006</v>
      </c>
      <c r="E1864">
        <v>50</v>
      </c>
      <c r="F1864">
        <v>49.976890564000001</v>
      </c>
      <c r="G1864">
        <v>1320.5308838000001</v>
      </c>
      <c r="H1864">
        <v>1315.4639893000001</v>
      </c>
      <c r="I1864">
        <v>1357.0523682</v>
      </c>
      <c r="J1864">
        <v>1348.8468018000001</v>
      </c>
      <c r="K1864">
        <v>0</v>
      </c>
      <c r="L1864">
        <v>2400</v>
      </c>
      <c r="M1864">
        <v>2400</v>
      </c>
      <c r="N1864">
        <v>0</v>
      </c>
    </row>
    <row r="1865" spans="1:14" x14ac:dyDescent="0.25">
      <c r="A1865">
        <v>1317.738061</v>
      </c>
      <c r="B1865" s="1">
        <f>DATE(2013,12,8) + TIME(17,42,48)</f>
        <v>41616.738055555557</v>
      </c>
      <c r="C1865">
        <v>80</v>
      </c>
      <c r="D1865">
        <v>76.928199767999999</v>
      </c>
      <c r="E1865">
        <v>50</v>
      </c>
      <c r="F1865">
        <v>49.976890564000001</v>
      </c>
      <c r="G1865">
        <v>1320.4827881000001</v>
      </c>
      <c r="H1865">
        <v>1315.3986815999999</v>
      </c>
      <c r="I1865">
        <v>1357.0391846</v>
      </c>
      <c r="J1865">
        <v>1348.8387451000001</v>
      </c>
      <c r="K1865">
        <v>0</v>
      </c>
      <c r="L1865">
        <v>2400</v>
      </c>
      <c r="M1865">
        <v>2400</v>
      </c>
      <c r="N1865">
        <v>0</v>
      </c>
    </row>
    <row r="1866" spans="1:14" x14ac:dyDescent="0.25">
      <c r="A1866">
        <v>1318.990814</v>
      </c>
      <c r="B1866" s="1">
        <f>DATE(2013,12,9) + TIME(23,46,46)</f>
        <v>41617.990810185183</v>
      </c>
      <c r="C1866">
        <v>80</v>
      </c>
      <c r="D1866">
        <v>76.854049683</v>
      </c>
      <c r="E1866">
        <v>50</v>
      </c>
      <c r="F1866">
        <v>49.976894379000001</v>
      </c>
      <c r="G1866">
        <v>1320.4326172000001</v>
      </c>
      <c r="H1866">
        <v>1315.3303223</v>
      </c>
      <c r="I1866">
        <v>1357.0261230000001</v>
      </c>
      <c r="J1866">
        <v>1348.8305664</v>
      </c>
      <c r="K1866">
        <v>0</v>
      </c>
      <c r="L1866">
        <v>2400</v>
      </c>
      <c r="M1866">
        <v>2400</v>
      </c>
      <c r="N1866">
        <v>0</v>
      </c>
    </row>
    <row r="1867" spans="1:14" x14ac:dyDescent="0.25">
      <c r="A1867">
        <v>1320.2815390000001</v>
      </c>
      <c r="B1867" s="1">
        <f>DATE(2013,12,11) + TIME(6,45,24)</f>
        <v>41619.281527777777</v>
      </c>
      <c r="C1867">
        <v>80</v>
      </c>
      <c r="D1867">
        <v>76.778488159000005</v>
      </c>
      <c r="E1867">
        <v>50</v>
      </c>
      <c r="F1867">
        <v>49.976902008000003</v>
      </c>
      <c r="G1867">
        <v>1320.3801269999999</v>
      </c>
      <c r="H1867">
        <v>1315.2589111</v>
      </c>
      <c r="I1867">
        <v>1357.0128173999999</v>
      </c>
      <c r="J1867">
        <v>1348.8225098</v>
      </c>
      <c r="K1867">
        <v>0</v>
      </c>
      <c r="L1867">
        <v>2400</v>
      </c>
      <c r="M1867">
        <v>2400</v>
      </c>
      <c r="N1867">
        <v>0</v>
      </c>
    </row>
    <row r="1868" spans="1:14" x14ac:dyDescent="0.25">
      <c r="A1868">
        <v>1321.5916749999999</v>
      </c>
      <c r="B1868" s="1">
        <f>DATE(2013,12,12) + TIME(14,12,0)</f>
        <v>41620.591666666667</v>
      </c>
      <c r="C1868">
        <v>80</v>
      </c>
      <c r="D1868">
        <v>76.702049255000006</v>
      </c>
      <c r="E1868">
        <v>50</v>
      </c>
      <c r="F1868">
        <v>49.976905823000003</v>
      </c>
      <c r="G1868">
        <v>1320.3255615</v>
      </c>
      <c r="H1868">
        <v>1315.1844481999999</v>
      </c>
      <c r="I1868">
        <v>1356.9996338000001</v>
      </c>
      <c r="J1868">
        <v>1348.8143310999999</v>
      </c>
      <c r="K1868">
        <v>0</v>
      </c>
      <c r="L1868">
        <v>2400</v>
      </c>
      <c r="M1868">
        <v>2400</v>
      </c>
      <c r="N1868">
        <v>0</v>
      </c>
    </row>
    <row r="1869" spans="1:14" x14ac:dyDescent="0.25">
      <c r="A1869">
        <v>1322.924164</v>
      </c>
      <c r="B1869" s="1">
        <f>DATE(2013,12,13) + TIME(22,10,47)</f>
        <v>41621.924155092594</v>
      </c>
      <c r="C1869">
        <v>80</v>
      </c>
      <c r="D1869">
        <v>76.625137328999998</v>
      </c>
      <c r="E1869">
        <v>50</v>
      </c>
      <c r="F1869">
        <v>49.976909636999999</v>
      </c>
      <c r="G1869">
        <v>1320.2695312000001</v>
      </c>
      <c r="H1869">
        <v>1315.1077881000001</v>
      </c>
      <c r="I1869">
        <v>1356.9866943</v>
      </c>
      <c r="J1869">
        <v>1348.8063964999999</v>
      </c>
      <c r="K1869">
        <v>0</v>
      </c>
      <c r="L1869">
        <v>2400</v>
      </c>
      <c r="M1869">
        <v>2400</v>
      </c>
      <c r="N1869">
        <v>0</v>
      </c>
    </row>
    <row r="1870" spans="1:14" x14ac:dyDescent="0.25">
      <c r="A1870">
        <v>1324.2772970000001</v>
      </c>
      <c r="B1870" s="1">
        <f>DATE(2013,12,15) + TIME(6,39,18)</f>
        <v>41623.277291666665</v>
      </c>
      <c r="C1870">
        <v>80</v>
      </c>
      <c r="D1870">
        <v>76.547904967999997</v>
      </c>
      <c r="E1870">
        <v>50</v>
      </c>
      <c r="F1870">
        <v>49.976917266999997</v>
      </c>
      <c r="G1870">
        <v>1320.2119141000001</v>
      </c>
      <c r="H1870">
        <v>1315.0290527</v>
      </c>
      <c r="I1870">
        <v>1356.9738769999999</v>
      </c>
      <c r="J1870">
        <v>1348.7984618999999</v>
      </c>
      <c r="K1870">
        <v>0</v>
      </c>
      <c r="L1870">
        <v>2400</v>
      </c>
      <c r="M1870">
        <v>2400</v>
      </c>
      <c r="N1870">
        <v>0</v>
      </c>
    </row>
    <row r="1871" spans="1:14" x14ac:dyDescent="0.25">
      <c r="A1871">
        <v>1325.6540259999999</v>
      </c>
      <c r="B1871" s="1">
        <f>DATE(2013,12,16) + TIME(15,41,47)</f>
        <v>41624.654016203705</v>
      </c>
      <c r="C1871">
        <v>80</v>
      </c>
      <c r="D1871">
        <v>76.470397949000002</v>
      </c>
      <c r="E1871">
        <v>50</v>
      </c>
      <c r="F1871">
        <v>49.976921081999997</v>
      </c>
      <c r="G1871">
        <v>1320.1529541</v>
      </c>
      <c r="H1871">
        <v>1314.9481201000001</v>
      </c>
      <c r="I1871">
        <v>1356.9613036999999</v>
      </c>
      <c r="J1871">
        <v>1348.7907714999999</v>
      </c>
      <c r="K1871">
        <v>0</v>
      </c>
      <c r="L1871">
        <v>2400</v>
      </c>
      <c r="M1871">
        <v>2400</v>
      </c>
      <c r="N1871">
        <v>0</v>
      </c>
    </row>
    <row r="1872" spans="1:14" x14ac:dyDescent="0.25">
      <c r="A1872">
        <v>1327.05726</v>
      </c>
      <c r="B1872" s="1">
        <f>DATE(2013,12,18) + TIME(1,22,27)</f>
        <v>41626.057256944441</v>
      </c>
      <c r="C1872">
        <v>80</v>
      </c>
      <c r="D1872">
        <v>76.392524718999994</v>
      </c>
      <c r="E1872">
        <v>50</v>
      </c>
      <c r="F1872">
        <v>49.976928710999999</v>
      </c>
      <c r="G1872">
        <v>1320.0922852000001</v>
      </c>
      <c r="H1872">
        <v>1314.8648682</v>
      </c>
      <c r="I1872">
        <v>1356.9489745999999</v>
      </c>
      <c r="J1872">
        <v>1348.7830810999999</v>
      </c>
      <c r="K1872">
        <v>0</v>
      </c>
      <c r="L1872">
        <v>2400</v>
      </c>
      <c r="M1872">
        <v>2400</v>
      </c>
      <c r="N1872">
        <v>0</v>
      </c>
    </row>
    <row r="1873" spans="1:14" x14ac:dyDescent="0.25">
      <c r="A1873">
        <v>1328.490004</v>
      </c>
      <c r="B1873" s="1">
        <f>DATE(2013,12,19) + TIME(11,45,36)</f>
        <v>41627.49</v>
      </c>
      <c r="C1873">
        <v>80</v>
      </c>
      <c r="D1873">
        <v>76.314170837000006</v>
      </c>
      <c r="E1873">
        <v>50</v>
      </c>
      <c r="F1873">
        <v>49.976936340000002</v>
      </c>
      <c r="G1873">
        <v>1320.0300293</v>
      </c>
      <c r="H1873">
        <v>1314.7792969</v>
      </c>
      <c r="I1873">
        <v>1356.9366454999999</v>
      </c>
      <c r="J1873">
        <v>1348.7755127</v>
      </c>
      <c r="K1873">
        <v>0</v>
      </c>
      <c r="L1873">
        <v>2400</v>
      </c>
      <c r="M1873">
        <v>2400</v>
      </c>
      <c r="N1873">
        <v>0</v>
      </c>
    </row>
    <row r="1874" spans="1:14" x14ac:dyDescent="0.25">
      <c r="A1874">
        <v>1329.9553269999999</v>
      </c>
      <c r="B1874" s="1">
        <f>DATE(2013,12,20) + TIME(22,55,40)</f>
        <v>41628.955324074072</v>
      </c>
      <c r="C1874">
        <v>80</v>
      </c>
      <c r="D1874">
        <v>76.235198975000003</v>
      </c>
      <c r="E1874">
        <v>50</v>
      </c>
      <c r="F1874">
        <v>49.976943970000001</v>
      </c>
      <c r="G1874">
        <v>1319.9659423999999</v>
      </c>
      <c r="H1874">
        <v>1314.6911620999999</v>
      </c>
      <c r="I1874">
        <v>1356.9244385</v>
      </c>
      <c r="J1874">
        <v>1348.7679443</v>
      </c>
      <c r="K1874">
        <v>0</v>
      </c>
      <c r="L1874">
        <v>2400</v>
      </c>
      <c r="M1874">
        <v>2400</v>
      </c>
      <c r="N1874">
        <v>0</v>
      </c>
    </row>
    <row r="1875" spans="1:14" x14ac:dyDescent="0.25">
      <c r="A1875">
        <v>1331.456414</v>
      </c>
      <c r="B1875" s="1">
        <f>DATE(2013,12,22) + TIME(10,57,14)</f>
        <v>41630.456412037034</v>
      </c>
      <c r="C1875">
        <v>80</v>
      </c>
      <c r="D1875">
        <v>76.155464171999995</v>
      </c>
      <c r="E1875">
        <v>50</v>
      </c>
      <c r="F1875">
        <v>49.976951599000003</v>
      </c>
      <c r="G1875">
        <v>1319.8999022999999</v>
      </c>
      <c r="H1875">
        <v>1314.6002197</v>
      </c>
      <c r="I1875">
        <v>1356.9122314000001</v>
      </c>
      <c r="J1875">
        <v>1348.7604980000001</v>
      </c>
      <c r="K1875">
        <v>0</v>
      </c>
      <c r="L1875">
        <v>2400</v>
      </c>
      <c r="M1875">
        <v>2400</v>
      </c>
      <c r="N1875">
        <v>0</v>
      </c>
    </row>
    <row r="1876" spans="1:14" x14ac:dyDescent="0.25">
      <c r="A1876">
        <v>1332.9967690000001</v>
      </c>
      <c r="B1876" s="1">
        <f>DATE(2013,12,23) + TIME(23,55,20)</f>
        <v>41631.996759259258</v>
      </c>
      <c r="C1876">
        <v>80</v>
      </c>
      <c r="D1876">
        <v>76.074813843000001</v>
      </c>
      <c r="E1876">
        <v>50</v>
      </c>
      <c r="F1876">
        <v>49.976959229000002</v>
      </c>
      <c r="G1876">
        <v>1319.8319091999999</v>
      </c>
      <c r="H1876">
        <v>1314.5063477000001</v>
      </c>
      <c r="I1876">
        <v>1356.9001464999999</v>
      </c>
      <c r="J1876">
        <v>1348.7530518000001</v>
      </c>
      <c r="K1876">
        <v>0</v>
      </c>
      <c r="L1876">
        <v>2400</v>
      </c>
      <c r="M1876">
        <v>2400</v>
      </c>
      <c r="N1876">
        <v>0</v>
      </c>
    </row>
    <row r="1877" spans="1:14" x14ac:dyDescent="0.25">
      <c r="A1877">
        <v>1334.5797379999999</v>
      </c>
      <c r="B1877" s="1">
        <f>DATE(2013,12,25) + TIME(13,54,49)</f>
        <v>41633.579733796294</v>
      </c>
      <c r="C1877">
        <v>80</v>
      </c>
      <c r="D1877">
        <v>75.993103027000004</v>
      </c>
      <c r="E1877">
        <v>50</v>
      </c>
      <c r="F1877">
        <v>49.976966857999997</v>
      </c>
      <c r="G1877">
        <v>1319.7614745999999</v>
      </c>
      <c r="H1877">
        <v>1314.4091797000001</v>
      </c>
      <c r="I1877">
        <v>1356.8881836</v>
      </c>
      <c r="J1877">
        <v>1348.7456055</v>
      </c>
      <c r="K1877">
        <v>0</v>
      </c>
      <c r="L1877">
        <v>2400</v>
      </c>
      <c r="M1877">
        <v>2400</v>
      </c>
      <c r="N1877">
        <v>0</v>
      </c>
    </row>
    <row r="1878" spans="1:14" x14ac:dyDescent="0.25">
      <c r="A1878">
        <v>1336.208453</v>
      </c>
      <c r="B1878" s="1">
        <f>DATE(2013,12,27) + TIME(5,0,10)</f>
        <v>41635.208449074074</v>
      </c>
      <c r="C1878">
        <v>80</v>
      </c>
      <c r="D1878">
        <v>75.910179138000004</v>
      </c>
      <c r="E1878">
        <v>50</v>
      </c>
      <c r="F1878">
        <v>49.976978301999999</v>
      </c>
      <c r="G1878">
        <v>1319.6887207</v>
      </c>
      <c r="H1878">
        <v>1314.3087158000001</v>
      </c>
      <c r="I1878">
        <v>1356.8760986</v>
      </c>
      <c r="J1878">
        <v>1348.7381591999999</v>
      </c>
      <c r="K1878">
        <v>0</v>
      </c>
      <c r="L1878">
        <v>2400</v>
      </c>
      <c r="M1878">
        <v>2400</v>
      </c>
      <c r="N1878">
        <v>0</v>
      </c>
    </row>
    <row r="1879" spans="1:14" x14ac:dyDescent="0.25">
      <c r="A1879">
        <v>1337.8871140000001</v>
      </c>
      <c r="B1879" s="1">
        <f>DATE(2013,12,28) + TIME(21,17,26)</f>
        <v>41636.887106481481</v>
      </c>
      <c r="C1879">
        <v>80</v>
      </c>
      <c r="D1879">
        <v>75.825889587000006</v>
      </c>
      <c r="E1879">
        <v>50</v>
      </c>
      <c r="F1879">
        <v>49.976989746000001</v>
      </c>
      <c r="G1879">
        <v>1319.6134033000001</v>
      </c>
      <c r="H1879">
        <v>1314.2044678</v>
      </c>
      <c r="I1879">
        <v>1356.8640137</v>
      </c>
      <c r="J1879">
        <v>1348.7305908000001</v>
      </c>
      <c r="K1879">
        <v>0</v>
      </c>
      <c r="L1879">
        <v>2400</v>
      </c>
      <c r="M1879">
        <v>2400</v>
      </c>
      <c r="N1879">
        <v>0</v>
      </c>
    </row>
    <row r="1880" spans="1:14" x14ac:dyDescent="0.25">
      <c r="A1880">
        <v>1339.6201249999999</v>
      </c>
      <c r="B1880" s="1">
        <f>DATE(2013,12,30) + TIME(14,52,58)</f>
        <v>41638.620115740741</v>
      </c>
      <c r="C1880">
        <v>80</v>
      </c>
      <c r="D1880">
        <v>75.740058899000005</v>
      </c>
      <c r="E1880">
        <v>50</v>
      </c>
      <c r="F1880">
        <v>49.977001190000003</v>
      </c>
      <c r="G1880">
        <v>1319.5352783000001</v>
      </c>
      <c r="H1880">
        <v>1314.0964355000001</v>
      </c>
      <c r="I1880">
        <v>1356.8519286999999</v>
      </c>
      <c r="J1880">
        <v>1348.7231445</v>
      </c>
      <c r="K1880">
        <v>0</v>
      </c>
      <c r="L1880">
        <v>2400</v>
      </c>
      <c r="M1880">
        <v>2400</v>
      </c>
      <c r="N1880">
        <v>0</v>
      </c>
    </row>
    <row r="1881" spans="1:14" x14ac:dyDescent="0.25">
      <c r="A1881">
        <v>1341</v>
      </c>
      <c r="B1881" s="1">
        <f>DATE(2014,1,1) + TIME(0,0,0)</f>
        <v>41640</v>
      </c>
      <c r="C1881">
        <v>80</v>
      </c>
      <c r="D1881">
        <v>75.659873962000006</v>
      </c>
      <c r="E1881">
        <v>50</v>
      </c>
      <c r="F1881">
        <v>49.977008820000002</v>
      </c>
      <c r="G1881">
        <v>1319.4554443</v>
      </c>
      <c r="H1881">
        <v>1313.9866943</v>
      </c>
      <c r="I1881">
        <v>1356.8397216999999</v>
      </c>
      <c r="J1881">
        <v>1348.7155762</v>
      </c>
      <c r="K1881">
        <v>0</v>
      </c>
      <c r="L1881">
        <v>2400</v>
      </c>
      <c r="M1881">
        <v>2400</v>
      </c>
      <c r="N1881">
        <v>0</v>
      </c>
    </row>
    <row r="1882" spans="1:14" x14ac:dyDescent="0.25">
      <c r="A1882">
        <v>1342.7842020000001</v>
      </c>
      <c r="B1882" s="1">
        <f>DATE(2014,1,2) + TIME(18,49,15)</f>
        <v>41641.784201388888</v>
      </c>
      <c r="C1882">
        <v>80</v>
      </c>
      <c r="D1882">
        <v>75.580421447999996</v>
      </c>
      <c r="E1882">
        <v>50</v>
      </c>
      <c r="F1882">
        <v>49.977020263999997</v>
      </c>
      <c r="G1882">
        <v>1319.3864745999999</v>
      </c>
      <c r="H1882">
        <v>1313.8895264</v>
      </c>
      <c r="I1882">
        <v>1356.8303223</v>
      </c>
      <c r="J1882">
        <v>1348.7098389</v>
      </c>
      <c r="K1882">
        <v>0</v>
      </c>
      <c r="L1882">
        <v>2400</v>
      </c>
      <c r="M1882">
        <v>2400</v>
      </c>
      <c r="N1882">
        <v>0</v>
      </c>
    </row>
    <row r="1883" spans="1:14" x14ac:dyDescent="0.25">
      <c r="A1883">
        <v>1344.6214030000001</v>
      </c>
      <c r="B1883" s="1">
        <f>DATE(2014,1,4) + TIME(14,54,49)</f>
        <v>41643.621400462966</v>
      </c>
      <c r="C1883">
        <v>80</v>
      </c>
      <c r="D1883">
        <v>75.494346618999998</v>
      </c>
      <c r="E1883">
        <v>50</v>
      </c>
      <c r="F1883">
        <v>49.977031707999998</v>
      </c>
      <c r="G1883">
        <v>1319.3038329999999</v>
      </c>
      <c r="H1883">
        <v>1313.7752685999999</v>
      </c>
      <c r="I1883">
        <v>1356.8183594</v>
      </c>
      <c r="J1883">
        <v>1348.7023925999999</v>
      </c>
      <c r="K1883">
        <v>0</v>
      </c>
      <c r="L1883">
        <v>2400</v>
      </c>
      <c r="M1883">
        <v>2400</v>
      </c>
      <c r="N1883">
        <v>0</v>
      </c>
    </row>
    <row r="1884" spans="1:14" x14ac:dyDescent="0.25">
      <c r="A1884">
        <v>1346.4945090000001</v>
      </c>
      <c r="B1884" s="1">
        <f>DATE(2014,1,6) + TIME(11,52,5)</f>
        <v>41645.494502314818</v>
      </c>
      <c r="C1884">
        <v>80</v>
      </c>
      <c r="D1884">
        <v>75.405281067000004</v>
      </c>
      <c r="E1884">
        <v>50</v>
      </c>
      <c r="F1884">
        <v>49.977046967</v>
      </c>
      <c r="G1884">
        <v>1319.2170410000001</v>
      </c>
      <c r="H1884">
        <v>1313.6550293</v>
      </c>
      <c r="I1884">
        <v>1356.8063964999999</v>
      </c>
      <c r="J1884">
        <v>1348.6949463000001</v>
      </c>
      <c r="K1884">
        <v>0</v>
      </c>
      <c r="L1884">
        <v>2400</v>
      </c>
      <c r="M1884">
        <v>2400</v>
      </c>
      <c r="N1884">
        <v>0</v>
      </c>
    </row>
    <row r="1885" spans="1:14" x14ac:dyDescent="0.25">
      <c r="A1885">
        <v>1348.4077010000001</v>
      </c>
      <c r="B1885" s="1">
        <f>DATE(2014,1,8) + TIME(9,47,5)</f>
        <v>41647.407696759263</v>
      </c>
      <c r="C1885">
        <v>80</v>
      </c>
      <c r="D1885">
        <v>75.314636230000005</v>
      </c>
      <c r="E1885">
        <v>50</v>
      </c>
      <c r="F1885">
        <v>49.977058411000002</v>
      </c>
      <c r="G1885">
        <v>1319.1276855000001</v>
      </c>
      <c r="H1885">
        <v>1313.5308838000001</v>
      </c>
      <c r="I1885">
        <v>1356.7945557</v>
      </c>
      <c r="J1885">
        <v>1348.6875</v>
      </c>
      <c r="K1885">
        <v>0</v>
      </c>
      <c r="L1885">
        <v>2400</v>
      </c>
      <c r="M1885">
        <v>2400</v>
      </c>
      <c r="N1885">
        <v>0</v>
      </c>
    </row>
    <row r="1886" spans="1:14" x14ac:dyDescent="0.25">
      <c r="A1886">
        <v>1350.365245</v>
      </c>
      <c r="B1886" s="1">
        <f>DATE(2014,1,10) + TIME(8,45,57)</f>
        <v>41649.365243055552</v>
      </c>
      <c r="C1886">
        <v>80</v>
      </c>
      <c r="D1886">
        <v>75.22265625</v>
      </c>
      <c r="E1886">
        <v>50</v>
      </c>
      <c r="F1886">
        <v>49.977073668999999</v>
      </c>
      <c r="G1886">
        <v>1319.0357666</v>
      </c>
      <c r="H1886">
        <v>1313.4031981999999</v>
      </c>
      <c r="I1886">
        <v>1356.7825928</v>
      </c>
      <c r="J1886">
        <v>1348.6800536999999</v>
      </c>
      <c r="K1886">
        <v>0</v>
      </c>
      <c r="L1886">
        <v>2400</v>
      </c>
      <c r="M1886">
        <v>2400</v>
      </c>
      <c r="N1886">
        <v>0</v>
      </c>
    </row>
    <row r="1887" spans="1:14" x14ac:dyDescent="0.25">
      <c r="A1887">
        <v>1352.371709</v>
      </c>
      <c r="B1887" s="1">
        <f>DATE(2014,1,12) + TIME(8,55,15)</f>
        <v>41651.371701388889</v>
      </c>
      <c r="C1887">
        <v>80</v>
      </c>
      <c r="D1887">
        <v>75.129287719999994</v>
      </c>
      <c r="E1887">
        <v>50</v>
      </c>
      <c r="F1887">
        <v>49.977088928000001</v>
      </c>
      <c r="G1887">
        <v>1318.9415283000001</v>
      </c>
      <c r="H1887">
        <v>1313.2718506000001</v>
      </c>
      <c r="I1887">
        <v>1356.7707519999999</v>
      </c>
      <c r="J1887">
        <v>1348.6726074000001</v>
      </c>
      <c r="K1887">
        <v>0</v>
      </c>
      <c r="L1887">
        <v>2400</v>
      </c>
      <c r="M1887">
        <v>2400</v>
      </c>
      <c r="N1887">
        <v>0</v>
      </c>
    </row>
    <row r="1888" spans="1:14" x14ac:dyDescent="0.25">
      <c r="A1888">
        <v>1354.432006</v>
      </c>
      <c r="B1888" s="1">
        <f>DATE(2014,1,14) + TIME(10,22,5)</f>
        <v>41653.432002314818</v>
      </c>
      <c r="C1888">
        <v>80</v>
      </c>
      <c r="D1888">
        <v>75.034294127999999</v>
      </c>
      <c r="E1888">
        <v>50</v>
      </c>
      <c r="F1888">
        <v>49.977104187000002</v>
      </c>
      <c r="G1888">
        <v>1318.8443603999999</v>
      </c>
      <c r="H1888">
        <v>1313.1367187999999</v>
      </c>
      <c r="I1888">
        <v>1356.7589111</v>
      </c>
      <c r="J1888">
        <v>1348.6652832</v>
      </c>
      <c r="K1888">
        <v>0</v>
      </c>
      <c r="L1888">
        <v>2400</v>
      </c>
      <c r="M1888">
        <v>2400</v>
      </c>
      <c r="N1888">
        <v>0</v>
      </c>
    </row>
    <row r="1889" spans="1:14" x14ac:dyDescent="0.25">
      <c r="A1889">
        <v>1356.550694</v>
      </c>
      <c r="B1889" s="1">
        <f>DATE(2014,1,16) + TIME(13,12,59)</f>
        <v>41655.550682870373</v>
      </c>
      <c r="C1889">
        <v>80</v>
      </c>
      <c r="D1889">
        <v>74.937324524000005</v>
      </c>
      <c r="E1889">
        <v>50</v>
      </c>
      <c r="F1889">
        <v>49.977119446000003</v>
      </c>
      <c r="G1889">
        <v>1318.7445068</v>
      </c>
      <c r="H1889">
        <v>1312.9973144999999</v>
      </c>
      <c r="I1889">
        <v>1356.7470702999999</v>
      </c>
      <c r="J1889">
        <v>1348.6578368999999</v>
      </c>
      <c r="K1889">
        <v>0</v>
      </c>
      <c r="L1889">
        <v>2400</v>
      </c>
      <c r="M1889">
        <v>2400</v>
      </c>
      <c r="N1889">
        <v>0</v>
      </c>
    </row>
    <row r="1890" spans="1:14" x14ac:dyDescent="0.25">
      <c r="A1890">
        <v>1358.7324779999999</v>
      </c>
      <c r="B1890" s="1">
        <f>DATE(2014,1,18) + TIME(17,34,46)</f>
        <v>41657.732476851852</v>
      </c>
      <c r="C1890">
        <v>80</v>
      </c>
      <c r="D1890">
        <v>74.838088988999999</v>
      </c>
      <c r="E1890">
        <v>50</v>
      </c>
      <c r="F1890">
        <v>49.977138519</v>
      </c>
      <c r="G1890">
        <v>1318.6413574000001</v>
      </c>
      <c r="H1890">
        <v>1312.8536377</v>
      </c>
      <c r="I1890">
        <v>1356.7351074000001</v>
      </c>
      <c r="J1890">
        <v>1348.6502685999999</v>
      </c>
      <c r="K1890">
        <v>0</v>
      </c>
      <c r="L1890">
        <v>2400</v>
      </c>
      <c r="M1890">
        <v>2400</v>
      </c>
      <c r="N1890">
        <v>0</v>
      </c>
    </row>
    <row r="1891" spans="1:14" x14ac:dyDescent="0.25">
      <c r="A1891">
        <v>1360.956776</v>
      </c>
      <c r="B1891" s="1">
        <f>DATE(2014,1,20) + TIME(22,57,45)</f>
        <v>41659.956770833334</v>
      </c>
      <c r="C1891">
        <v>80</v>
      </c>
      <c r="D1891">
        <v>74.736610412999994</v>
      </c>
      <c r="E1891">
        <v>50</v>
      </c>
      <c r="F1891">
        <v>49.977153778000002</v>
      </c>
      <c r="G1891">
        <v>1318.5350341999999</v>
      </c>
      <c r="H1891">
        <v>1312.7052002</v>
      </c>
      <c r="I1891">
        <v>1356.7230225000001</v>
      </c>
      <c r="J1891">
        <v>1348.6427002</v>
      </c>
      <c r="K1891">
        <v>0</v>
      </c>
      <c r="L1891">
        <v>2400</v>
      </c>
      <c r="M1891">
        <v>2400</v>
      </c>
      <c r="N1891">
        <v>0</v>
      </c>
    </row>
    <row r="1892" spans="1:14" x14ac:dyDescent="0.25">
      <c r="A1892">
        <v>1363.227942</v>
      </c>
      <c r="B1892" s="1">
        <f>DATE(2014,1,23) + TIME(5,28,14)</f>
        <v>41662.227939814817</v>
      </c>
      <c r="C1892">
        <v>80</v>
      </c>
      <c r="D1892">
        <v>74.633224487000007</v>
      </c>
      <c r="E1892">
        <v>50</v>
      </c>
      <c r="F1892">
        <v>49.977172852000002</v>
      </c>
      <c r="G1892">
        <v>1318.4262695</v>
      </c>
      <c r="H1892">
        <v>1312.5532227000001</v>
      </c>
      <c r="I1892">
        <v>1356.7110596</v>
      </c>
      <c r="J1892">
        <v>1348.6351318</v>
      </c>
      <c r="K1892">
        <v>0</v>
      </c>
      <c r="L1892">
        <v>2400</v>
      </c>
      <c r="M1892">
        <v>2400</v>
      </c>
      <c r="N1892">
        <v>0</v>
      </c>
    </row>
    <row r="1893" spans="1:14" x14ac:dyDescent="0.25">
      <c r="A1893">
        <v>1365.5512880000001</v>
      </c>
      <c r="B1893" s="1">
        <f>DATE(2014,1,25) + TIME(13,13,51)</f>
        <v>41664.55128472222</v>
      </c>
      <c r="C1893">
        <v>80</v>
      </c>
      <c r="D1893">
        <v>74.527725219999994</v>
      </c>
      <c r="E1893">
        <v>50</v>
      </c>
      <c r="F1893">
        <v>49.977191925</v>
      </c>
      <c r="G1893">
        <v>1318.3148193</v>
      </c>
      <c r="H1893">
        <v>1312.3975829999999</v>
      </c>
      <c r="I1893">
        <v>1356.6989745999999</v>
      </c>
      <c r="J1893">
        <v>1348.6274414</v>
      </c>
      <c r="K1893">
        <v>0</v>
      </c>
      <c r="L1893">
        <v>2400</v>
      </c>
      <c r="M1893">
        <v>2400</v>
      </c>
      <c r="N1893">
        <v>0</v>
      </c>
    </row>
    <row r="1894" spans="1:14" x14ac:dyDescent="0.25">
      <c r="A1894">
        <v>1367.932575</v>
      </c>
      <c r="B1894" s="1">
        <f>DATE(2014,1,27) + TIME(22,22,54)</f>
        <v>41666.932569444441</v>
      </c>
      <c r="C1894">
        <v>80</v>
      </c>
      <c r="D1894">
        <v>74.419746399000005</v>
      </c>
      <c r="E1894">
        <v>50</v>
      </c>
      <c r="F1894">
        <v>49.977210999</v>
      </c>
      <c r="G1894">
        <v>1318.2008057</v>
      </c>
      <c r="H1894">
        <v>1312.2379149999999</v>
      </c>
      <c r="I1894">
        <v>1356.6870117000001</v>
      </c>
      <c r="J1894">
        <v>1348.6198730000001</v>
      </c>
      <c r="K1894">
        <v>0</v>
      </c>
      <c r="L1894">
        <v>2400</v>
      </c>
      <c r="M1894">
        <v>2400</v>
      </c>
      <c r="N1894">
        <v>0</v>
      </c>
    </row>
    <row r="1895" spans="1:14" x14ac:dyDescent="0.25">
      <c r="A1895">
        <v>1370.3777230000001</v>
      </c>
      <c r="B1895" s="1">
        <f>DATE(2014,1,30) + TIME(9,3,55)</f>
        <v>41669.37771990741</v>
      </c>
      <c r="C1895">
        <v>80</v>
      </c>
      <c r="D1895">
        <v>74.308860779</v>
      </c>
      <c r="E1895">
        <v>50</v>
      </c>
      <c r="F1895">
        <v>49.977230071999998</v>
      </c>
      <c r="G1895">
        <v>1318.0837402</v>
      </c>
      <c r="H1895">
        <v>1312.0740966999999</v>
      </c>
      <c r="I1895">
        <v>1356.6749268000001</v>
      </c>
      <c r="J1895">
        <v>1348.6120605000001</v>
      </c>
      <c r="K1895">
        <v>0</v>
      </c>
      <c r="L1895">
        <v>2400</v>
      </c>
      <c r="M1895">
        <v>2400</v>
      </c>
      <c r="N1895">
        <v>0</v>
      </c>
    </row>
    <row r="1896" spans="1:14" x14ac:dyDescent="0.25">
      <c r="A1896">
        <v>1372</v>
      </c>
      <c r="B1896" s="1">
        <f>DATE(2014,2,1) + TIME(0,0,0)</f>
        <v>41671</v>
      </c>
      <c r="C1896">
        <v>80</v>
      </c>
      <c r="D1896">
        <v>74.207244872999993</v>
      </c>
      <c r="E1896">
        <v>50</v>
      </c>
      <c r="F1896">
        <v>49.977241515999999</v>
      </c>
      <c r="G1896">
        <v>1317.9664307</v>
      </c>
      <c r="H1896">
        <v>1311.911499</v>
      </c>
      <c r="I1896">
        <v>1356.6625977000001</v>
      </c>
      <c r="J1896">
        <v>1348.604126</v>
      </c>
      <c r="K1896">
        <v>0</v>
      </c>
      <c r="L1896">
        <v>2400</v>
      </c>
      <c r="M1896">
        <v>2400</v>
      </c>
      <c r="N1896">
        <v>0</v>
      </c>
    </row>
    <row r="1897" spans="1:14" x14ac:dyDescent="0.25">
      <c r="A1897">
        <v>1374.514938</v>
      </c>
      <c r="B1897" s="1">
        <f>DATE(2014,2,3) + TIME(12,21,30)</f>
        <v>41673.514930555553</v>
      </c>
      <c r="C1897">
        <v>80</v>
      </c>
      <c r="D1897">
        <v>74.112442017000006</v>
      </c>
      <c r="E1897">
        <v>50</v>
      </c>
      <c r="F1897">
        <v>49.977264404000003</v>
      </c>
      <c r="G1897">
        <v>1317.8770752</v>
      </c>
      <c r="H1897">
        <v>1311.7822266000001</v>
      </c>
      <c r="I1897">
        <v>1356.6549072</v>
      </c>
      <c r="J1897">
        <v>1348.5992432</v>
      </c>
      <c r="K1897">
        <v>0</v>
      </c>
      <c r="L1897">
        <v>2400</v>
      </c>
      <c r="M1897">
        <v>2400</v>
      </c>
      <c r="N1897">
        <v>0</v>
      </c>
    </row>
    <row r="1898" spans="1:14" x14ac:dyDescent="0.25">
      <c r="A1898">
        <v>1377.1420909999999</v>
      </c>
      <c r="B1898" s="1">
        <f>DATE(2014,2,6) + TIME(3,24,36)</f>
        <v>41676.142083333332</v>
      </c>
      <c r="C1898">
        <v>80</v>
      </c>
      <c r="D1898">
        <v>73.997886657999999</v>
      </c>
      <c r="E1898">
        <v>50</v>
      </c>
      <c r="F1898">
        <v>49.977287292</v>
      </c>
      <c r="G1898">
        <v>1317.7583007999999</v>
      </c>
      <c r="H1898">
        <v>1311.6173096</v>
      </c>
      <c r="I1898">
        <v>1356.6427002</v>
      </c>
      <c r="J1898">
        <v>1348.5914307</v>
      </c>
      <c r="K1898">
        <v>0</v>
      </c>
      <c r="L1898">
        <v>2400</v>
      </c>
      <c r="M1898">
        <v>2400</v>
      </c>
      <c r="N1898">
        <v>0</v>
      </c>
    </row>
    <row r="1899" spans="1:14" x14ac:dyDescent="0.25">
      <c r="A1899">
        <v>1379.8181460000001</v>
      </c>
      <c r="B1899" s="1">
        <f>DATE(2014,2,8) + TIME(19,38,7)</f>
        <v>41678.818136574075</v>
      </c>
      <c r="C1899">
        <v>80</v>
      </c>
      <c r="D1899">
        <v>73.874343871999997</v>
      </c>
      <c r="E1899">
        <v>50</v>
      </c>
      <c r="F1899">
        <v>49.977306366000001</v>
      </c>
      <c r="G1899">
        <v>1317.6309814000001</v>
      </c>
      <c r="H1899">
        <v>1311.4392089999999</v>
      </c>
      <c r="I1899">
        <v>1356.630249</v>
      </c>
      <c r="J1899">
        <v>1348.583374</v>
      </c>
      <c r="K1899">
        <v>0</v>
      </c>
      <c r="L1899">
        <v>2400</v>
      </c>
      <c r="M1899">
        <v>2400</v>
      </c>
      <c r="N1899">
        <v>0</v>
      </c>
    </row>
    <row r="1900" spans="1:14" x14ac:dyDescent="0.25">
      <c r="A1900">
        <v>1382.55015</v>
      </c>
      <c r="B1900" s="1">
        <f>DATE(2014,2,11) + TIME(13,12,12)</f>
        <v>41681.550138888888</v>
      </c>
      <c r="C1900">
        <v>80</v>
      </c>
      <c r="D1900">
        <v>73.745796204000001</v>
      </c>
      <c r="E1900">
        <v>50</v>
      </c>
      <c r="F1900">
        <v>49.977329253999997</v>
      </c>
      <c r="G1900">
        <v>1317.5</v>
      </c>
      <c r="H1900">
        <v>1311.255249</v>
      </c>
      <c r="I1900">
        <v>1356.6177978999999</v>
      </c>
      <c r="J1900">
        <v>1348.5751952999999</v>
      </c>
      <c r="K1900">
        <v>0</v>
      </c>
      <c r="L1900">
        <v>2400</v>
      </c>
      <c r="M1900">
        <v>2400</v>
      </c>
      <c r="N1900">
        <v>0</v>
      </c>
    </row>
    <row r="1901" spans="1:14" x14ac:dyDescent="0.25">
      <c r="A1901">
        <v>1385.3448100000001</v>
      </c>
      <c r="B1901" s="1">
        <f>DATE(2014,2,14) + TIME(8,16,31)</f>
        <v>41684.34480324074</v>
      </c>
      <c r="C1901">
        <v>80</v>
      </c>
      <c r="D1901">
        <v>73.612579346000004</v>
      </c>
      <c r="E1901">
        <v>50</v>
      </c>
      <c r="F1901">
        <v>49.977355957</v>
      </c>
      <c r="G1901">
        <v>1317.3662108999999</v>
      </c>
      <c r="H1901">
        <v>1311.0671387</v>
      </c>
      <c r="I1901">
        <v>1356.6053466999999</v>
      </c>
      <c r="J1901">
        <v>1348.5670166</v>
      </c>
      <c r="K1901">
        <v>0</v>
      </c>
      <c r="L1901">
        <v>2400</v>
      </c>
      <c r="M1901">
        <v>2400</v>
      </c>
      <c r="N1901">
        <v>0</v>
      </c>
    </row>
    <row r="1902" spans="1:14" x14ac:dyDescent="0.25">
      <c r="A1902">
        <v>1388.209599</v>
      </c>
      <c r="B1902" s="1">
        <f>DATE(2014,2,17) + TIME(5,1,49)</f>
        <v>41687.209594907406</v>
      </c>
      <c r="C1902">
        <v>80</v>
      </c>
      <c r="D1902">
        <v>73.474227905000006</v>
      </c>
      <c r="E1902">
        <v>50</v>
      </c>
      <c r="F1902">
        <v>49.977378844999997</v>
      </c>
      <c r="G1902">
        <v>1317.2294922000001</v>
      </c>
      <c r="H1902">
        <v>1310.8748779</v>
      </c>
      <c r="I1902">
        <v>1356.5927733999999</v>
      </c>
      <c r="J1902">
        <v>1348.5588379000001</v>
      </c>
      <c r="K1902">
        <v>0</v>
      </c>
      <c r="L1902">
        <v>2400</v>
      </c>
      <c r="M1902">
        <v>2400</v>
      </c>
      <c r="N1902">
        <v>0</v>
      </c>
    </row>
    <row r="1903" spans="1:14" x14ac:dyDescent="0.25">
      <c r="A1903">
        <v>1391.1524039999999</v>
      </c>
      <c r="B1903" s="1">
        <f>DATE(2014,2,20) + TIME(3,39,27)</f>
        <v>41690.152395833335</v>
      </c>
      <c r="C1903">
        <v>80</v>
      </c>
      <c r="D1903">
        <v>73.329986571999996</v>
      </c>
      <c r="E1903">
        <v>50</v>
      </c>
      <c r="F1903">
        <v>49.977405548</v>
      </c>
      <c r="G1903">
        <v>1317.0898437999999</v>
      </c>
      <c r="H1903">
        <v>1310.6782227000001</v>
      </c>
      <c r="I1903">
        <v>1356.5799560999999</v>
      </c>
      <c r="J1903">
        <v>1348.5504149999999</v>
      </c>
      <c r="K1903">
        <v>0</v>
      </c>
      <c r="L1903">
        <v>2400</v>
      </c>
      <c r="M1903">
        <v>2400</v>
      </c>
      <c r="N1903">
        <v>0</v>
      </c>
    </row>
    <row r="1904" spans="1:14" x14ac:dyDescent="0.25">
      <c r="A1904">
        <v>1394.1819399999999</v>
      </c>
      <c r="B1904" s="1">
        <f>DATE(2014,2,23) + TIME(4,21,59)</f>
        <v>41693.181932870371</v>
      </c>
      <c r="C1904">
        <v>80</v>
      </c>
      <c r="D1904">
        <v>73.179023743000002</v>
      </c>
      <c r="E1904">
        <v>50</v>
      </c>
      <c r="F1904">
        <v>49.977428435999997</v>
      </c>
      <c r="G1904">
        <v>1316.9468993999999</v>
      </c>
      <c r="H1904">
        <v>1310.4766846</v>
      </c>
      <c r="I1904">
        <v>1356.5671387</v>
      </c>
      <c r="J1904">
        <v>1348.5418701000001</v>
      </c>
      <c r="K1904">
        <v>0</v>
      </c>
      <c r="L1904">
        <v>2400</v>
      </c>
      <c r="M1904">
        <v>2400</v>
      </c>
      <c r="N1904">
        <v>0</v>
      </c>
    </row>
    <row r="1905" spans="1:14" x14ac:dyDescent="0.25">
      <c r="A1905">
        <v>1397.30719</v>
      </c>
      <c r="B1905" s="1">
        <f>DATE(2014,2,26) + TIME(7,22,21)</f>
        <v>41696.307187500002</v>
      </c>
      <c r="C1905">
        <v>80</v>
      </c>
      <c r="D1905">
        <v>73.020362853999998</v>
      </c>
      <c r="E1905">
        <v>50</v>
      </c>
      <c r="F1905">
        <v>49.977455139</v>
      </c>
      <c r="G1905">
        <v>1316.8004149999999</v>
      </c>
      <c r="H1905">
        <v>1310.2700195</v>
      </c>
      <c r="I1905">
        <v>1356.5540771000001</v>
      </c>
      <c r="J1905">
        <v>1348.5332031</v>
      </c>
      <c r="K1905">
        <v>0</v>
      </c>
      <c r="L1905">
        <v>2400</v>
      </c>
      <c r="M1905">
        <v>2400</v>
      </c>
      <c r="N1905">
        <v>0</v>
      </c>
    </row>
    <row r="1906" spans="1:14" x14ac:dyDescent="0.25">
      <c r="A1906">
        <v>1400</v>
      </c>
      <c r="B1906" s="1">
        <f>DATE(2014,3,1) + TIME(0,0,0)</f>
        <v>41699</v>
      </c>
      <c r="C1906">
        <v>80</v>
      </c>
      <c r="D1906">
        <v>72.858665466000005</v>
      </c>
      <c r="E1906">
        <v>50</v>
      </c>
      <c r="F1906">
        <v>49.977478026999997</v>
      </c>
      <c r="G1906">
        <v>1316.651001</v>
      </c>
      <c r="H1906">
        <v>1310.0600586</v>
      </c>
      <c r="I1906">
        <v>1356.5406493999999</v>
      </c>
      <c r="J1906">
        <v>1348.5241699000001</v>
      </c>
      <c r="K1906">
        <v>0</v>
      </c>
      <c r="L1906">
        <v>2400</v>
      </c>
      <c r="M1906">
        <v>2400</v>
      </c>
      <c r="N1906">
        <v>0</v>
      </c>
    </row>
    <row r="1907" spans="1:14" x14ac:dyDescent="0.25">
      <c r="A1907">
        <v>1403.228288</v>
      </c>
      <c r="B1907" s="1">
        <f>DATE(2014,3,4) + TIME(5,28,44)</f>
        <v>41702.22828703704</v>
      </c>
      <c r="C1907">
        <v>80</v>
      </c>
      <c r="D1907">
        <v>72.702117920000006</v>
      </c>
      <c r="E1907">
        <v>50</v>
      </c>
      <c r="F1907">
        <v>49.977508544999999</v>
      </c>
      <c r="G1907">
        <v>1316.5166016000001</v>
      </c>
      <c r="H1907">
        <v>1309.8677978999999</v>
      </c>
      <c r="I1907">
        <v>1356.5294189000001</v>
      </c>
      <c r="J1907">
        <v>1348.5166016000001</v>
      </c>
      <c r="K1907">
        <v>0</v>
      </c>
      <c r="L1907">
        <v>2400</v>
      </c>
      <c r="M1907">
        <v>2400</v>
      </c>
      <c r="N1907">
        <v>0</v>
      </c>
    </row>
    <row r="1908" spans="1:14" x14ac:dyDescent="0.25">
      <c r="A1908">
        <v>1406.5881649999999</v>
      </c>
      <c r="B1908" s="1">
        <f>DATE(2014,3,7) + TIME(14,6,57)</f>
        <v>41705.588159722225</v>
      </c>
      <c r="C1908">
        <v>80</v>
      </c>
      <c r="D1908">
        <v>72.523460388000004</v>
      </c>
      <c r="E1908">
        <v>50</v>
      </c>
      <c r="F1908">
        <v>49.977535248000002</v>
      </c>
      <c r="G1908">
        <v>1316.3656006000001</v>
      </c>
      <c r="H1908">
        <v>1309.6552733999999</v>
      </c>
      <c r="I1908">
        <v>1356.5159911999999</v>
      </c>
      <c r="J1908">
        <v>1348.5074463000001</v>
      </c>
      <c r="K1908">
        <v>0</v>
      </c>
      <c r="L1908">
        <v>2400</v>
      </c>
      <c r="M1908">
        <v>2400</v>
      </c>
      <c r="N1908">
        <v>0</v>
      </c>
    </row>
    <row r="1909" spans="1:14" x14ac:dyDescent="0.25">
      <c r="A1909">
        <v>1410.035408</v>
      </c>
      <c r="B1909" s="1">
        <f>DATE(2014,3,11) + TIME(0,50,59)</f>
        <v>41709.035405092596</v>
      </c>
      <c r="C1909">
        <v>80</v>
      </c>
      <c r="D1909">
        <v>72.330657959000007</v>
      </c>
      <c r="E1909">
        <v>50</v>
      </c>
      <c r="F1909">
        <v>49.977565765000001</v>
      </c>
      <c r="G1909">
        <v>1316.2073975000001</v>
      </c>
      <c r="H1909">
        <v>1309.4316406</v>
      </c>
      <c r="I1909">
        <v>1356.5020752</v>
      </c>
      <c r="J1909">
        <v>1348.4979248</v>
      </c>
      <c r="K1909">
        <v>0</v>
      </c>
      <c r="L1909">
        <v>2400</v>
      </c>
      <c r="M1909">
        <v>2400</v>
      </c>
      <c r="N1909">
        <v>0</v>
      </c>
    </row>
    <row r="1910" spans="1:14" x14ac:dyDescent="0.25">
      <c r="A1910">
        <v>1413.58133</v>
      </c>
      <c r="B1910" s="1">
        <f>DATE(2014,3,14) + TIME(13,57,6)</f>
        <v>41712.581319444442</v>
      </c>
      <c r="C1910">
        <v>80</v>
      </c>
      <c r="D1910">
        <v>72.126312256000006</v>
      </c>
      <c r="E1910">
        <v>50</v>
      </c>
      <c r="F1910">
        <v>49.977596282999997</v>
      </c>
      <c r="G1910">
        <v>1316.0452881000001</v>
      </c>
      <c r="H1910">
        <v>1309.2019043</v>
      </c>
      <c r="I1910">
        <v>1356.4880370999999</v>
      </c>
      <c r="J1910">
        <v>1348.4882812000001</v>
      </c>
      <c r="K1910">
        <v>0</v>
      </c>
      <c r="L1910">
        <v>2400</v>
      </c>
      <c r="M1910">
        <v>2400</v>
      </c>
      <c r="N1910">
        <v>0</v>
      </c>
    </row>
    <row r="1911" spans="1:14" x14ac:dyDescent="0.25">
      <c r="A1911">
        <v>1417.2377349999999</v>
      </c>
      <c r="B1911" s="1">
        <f>DATE(2014,3,18) + TIME(5,42,20)</f>
        <v>41716.23773148148</v>
      </c>
      <c r="C1911">
        <v>80</v>
      </c>
      <c r="D1911">
        <v>71.909576415999993</v>
      </c>
      <c r="E1911">
        <v>50</v>
      </c>
      <c r="F1911">
        <v>49.977626801</v>
      </c>
      <c r="G1911">
        <v>1315.8797606999999</v>
      </c>
      <c r="H1911">
        <v>1308.9670410000001</v>
      </c>
      <c r="I1911">
        <v>1356.4736327999999</v>
      </c>
      <c r="J1911">
        <v>1348.4782714999999</v>
      </c>
      <c r="K1911">
        <v>0</v>
      </c>
      <c r="L1911">
        <v>2400</v>
      </c>
      <c r="M1911">
        <v>2400</v>
      </c>
      <c r="N1911">
        <v>0</v>
      </c>
    </row>
    <row r="1912" spans="1:14" x14ac:dyDescent="0.25">
      <c r="A1912">
        <v>1421.0179969999999</v>
      </c>
      <c r="B1912" s="1">
        <f>DATE(2014,3,22) + TIME(0,25,54)</f>
        <v>41720.01798611111</v>
      </c>
      <c r="C1912">
        <v>80</v>
      </c>
      <c r="D1912">
        <v>71.679077148000005</v>
      </c>
      <c r="E1912">
        <v>50</v>
      </c>
      <c r="F1912">
        <v>49.977661132999998</v>
      </c>
      <c r="G1912">
        <v>1315.7105713000001</v>
      </c>
      <c r="H1912">
        <v>1308.7266846</v>
      </c>
      <c r="I1912">
        <v>1356.4589844</v>
      </c>
      <c r="J1912">
        <v>1348.4681396000001</v>
      </c>
      <c r="K1912">
        <v>0</v>
      </c>
      <c r="L1912">
        <v>2400</v>
      </c>
      <c r="M1912">
        <v>2400</v>
      </c>
      <c r="N1912">
        <v>0</v>
      </c>
    </row>
    <row r="1913" spans="1:14" x14ac:dyDescent="0.25">
      <c r="A1913">
        <v>1424.9340729999999</v>
      </c>
      <c r="B1913" s="1">
        <f>DATE(2014,3,25) + TIME(22,25,3)</f>
        <v>41723.934062499997</v>
      </c>
      <c r="C1913">
        <v>80</v>
      </c>
      <c r="D1913">
        <v>71.433044433999996</v>
      </c>
      <c r="E1913">
        <v>50</v>
      </c>
      <c r="F1913">
        <v>49.977695464999996</v>
      </c>
      <c r="G1913">
        <v>1315.5373535000001</v>
      </c>
      <c r="H1913">
        <v>1308.4804687999999</v>
      </c>
      <c r="I1913">
        <v>1356.4439697</v>
      </c>
      <c r="J1913">
        <v>1348.4575195</v>
      </c>
      <c r="K1913">
        <v>0</v>
      </c>
      <c r="L1913">
        <v>2400</v>
      </c>
      <c r="M1913">
        <v>2400</v>
      </c>
      <c r="N1913">
        <v>0</v>
      </c>
    </row>
    <row r="1914" spans="1:14" x14ac:dyDescent="0.25">
      <c r="A1914">
        <v>1428.9719219999999</v>
      </c>
      <c r="B1914" s="1">
        <f>DATE(2014,3,29) + TIME(23,19,34)</f>
        <v>41727.971921296295</v>
      </c>
      <c r="C1914">
        <v>80</v>
      </c>
      <c r="D1914">
        <v>71.169960021999998</v>
      </c>
      <c r="E1914">
        <v>50</v>
      </c>
      <c r="F1914">
        <v>49.977729797000002</v>
      </c>
      <c r="G1914">
        <v>1315.3598632999999</v>
      </c>
      <c r="H1914">
        <v>1308.2277832</v>
      </c>
      <c r="I1914">
        <v>1356.4284668</v>
      </c>
      <c r="J1914">
        <v>1348.4465332</v>
      </c>
      <c r="K1914">
        <v>0</v>
      </c>
      <c r="L1914">
        <v>2400</v>
      </c>
      <c r="M1914">
        <v>2400</v>
      </c>
      <c r="N1914">
        <v>0</v>
      </c>
    </row>
    <row r="1915" spans="1:14" x14ac:dyDescent="0.25">
      <c r="A1915">
        <v>1431</v>
      </c>
      <c r="B1915" s="1">
        <f>DATE(2014,4,1) + TIME(0,0,0)</f>
        <v>41730</v>
      </c>
      <c r="C1915">
        <v>80</v>
      </c>
      <c r="D1915">
        <v>70.924186707000004</v>
      </c>
      <c r="E1915">
        <v>50</v>
      </c>
      <c r="F1915">
        <v>49.977741240999997</v>
      </c>
      <c r="G1915">
        <v>1315.1832274999999</v>
      </c>
      <c r="H1915">
        <v>1307.9807129000001</v>
      </c>
      <c r="I1915">
        <v>1356.4123535000001</v>
      </c>
      <c r="J1915">
        <v>1348.4349365</v>
      </c>
      <c r="K1915">
        <v>0</v>
      </c>
      <c r="L1915">
        <v>2400</v>
      </c>
      <c r="M1915">
        <v>2400</v>
      </c>
      <c r="N1915">
        <v>0</v>
      </c>
    </row>
    <row r="1916" spans="1:14" x14ac:dyDescent="0.25">
      <c r="A1916">
        <v>1435.1378319999999</v>
      </c>
      <c r="B1916" s="1">
        <f>DATE(2014,4,5) + TIME(3,18,28)</f>
        <v>41734.137824074074</v>
      </c>
      <c r="C1916">
        <v>80</v>
      </c>
      <c r="D1916">
        <v>70.729484557999996</v>
      </c>
      <c r="E1916">
        <v>50</v>
      </c>
      <c r="F1916">
        <v>49.977783203000001</v>
      </c>
      <c r="G1916">
        <v>1315.0743408000001</v>
      </c>
      <c r="H1916">
        <v>1307.8145752</v>
      </c>
      <c r="I1916">
        <v>1356.4046631000001</v>
      </c>
      <c r="J1916">
        <v>1348.4294434000001</v>
      </c>
      <c r="K1916">
        <v>0</v>
      </c>
      <c r="L1916">
        <v>2400</v>
      </c>
      <c r="M1916">
        <v>2400</v>
      </c>
      <c r="N1916">
        <v>0</v>
      </c>
    </row>
    <row r="1917" spans="1:14" x14ac:dyDescent="0.25">
      <c r="A1917">
        <v>1439.4520729999999</v>
      </c>
      <c r="B1917" s="1">
        <f>DATE(2014,4,9) + TIME(10,50,59)</f>
        <v>41738.45207175926</v>
      </c>
      <c r="C1917">
        <v>80</v>
      </c>
      <c r="D1917">
        <v>70.439437866000006</v>
      </c>
      <c r="E1917">
        <v>50</v>
      </c>
      <c r="F1917">
        <v>49.977821349999999</v>
      </c>
      <c r="G1917">
        <v>1314.9041748</v>
      </c>
      <c r="H1917">
        <v>1307.5760498</v>
      </c>
      <c r="I1917">
        <v>1356.3885498</v>
      </c>
      <c r="J1917">
        <v>1348.4177245999999</v>
      </c>
      <c r="K1917">
        <v>0</v>
      </c>
      <c r="L1917">
        <v>2400</v>
      </c>
      <c r="M1917">
        <v>2400</v>
      </c>
      <c r="N1917">
        <v>0</v>
      </c>
    </row>
    <row r="1918" spans="1:14" x14ac:dyDescent="0.25">
      <c r="A1918">
        <v>1443.919508</v>
      </c>
      <c r="B1918" s="1">
        <f>DATE(2014,4,13) + TIME(22,4,5)</f>
        <v>41742.919502314813</v>
      </c>
      <c r="C1918">
        <v>80</v>
      </c>
      <c r="D1918">
        <v>70.114814757999994</v>
      </c>
      <c r="E1918">
        <v>50</v>
      </c>
      <c r="F1918">
        <v>49.977859496999997</v>
      </c>
      <c r="G1918">
        <v>1314.7193603999999</v>
      </c>
      <c r="H1918">
        <v>1307.3122559000001</v>
      </c>
      <c r="I1918">
        <v>1356.3718262</v>
      </c>
      <c r="J1918">
        <v>1348.4055175999999</v>
      </c>
      <c r="K1918">
        <v>0</v>
      </c>
      <c r="L1918">
        <v>2400</v>
      </c>
      <c r="M1918">
        <v>2400</v>
      </c>
      <c r="N1918">
        <v>0</v>
      </c>
    </row>
    <row r="1919" spans="1:14" x14ac:dyDescent="0.25">
      <c r="A1919">
        <v>1448.5281440000001</v>
      </c>
      <c r="B1919" s="1">
        <f>DATE(2014,4,18) + TIME(12,40,31)</f>
        <v>41747.528136574074</v>
      </c>
      <c r="C1919">
        <v>80</v>
      </c>
      <c r="D1919">
        <v>69.766746521000002</v>
      </c>
      <c r="E1919">
        <v>50</v>
      </c>
      <c r="F1919">
        <v>49.977897644000002</v>
      </c>
      <c r="G1919">
        <v>1314.5294189000001</v>
      </c>
      <c r="H1919">
        <v>1307.0399170000001</v>
      </c>
      <c r="I1919">
        <v>1356.3544922000001</v>
      </c>
      <c r="J1919">
        <v>1348.3928223</v>
      </c>
      <c r="K1919">
        <v>0</v>
      </c>
      <c r="L1919">
        <v>2400</v>
      </c>
      <c r="M1919">
        <v>2400</v>
      </c>
      <c r="N1919">
        <v>0</v>
      </c>
    </row>
    <row r="1920" spans="1:14" x14ac:dyDescent="0.25">
      <c r="A1920">
        <v>1453.17797</v>
      </c>
      <c r="B1920" s="1">
        <f>DATE(2014,4,23) + TIME(4,16,16)</f>
        <v>41752.17796296296</v>
      </c>
      <c r="C1920">
        <v>80</v>
      </c>
      <c r="D1920">
        <v>69.394790649000001</v>
      </c>
      <c r="E1920">
        <v>50</v>
      </c>
      <c r="F1920">
        <v>49.977939606</v>
      </c>
      <c r="G1920">
        <v>1314.3364257999999</v>
      </c>
      <c r="H1920">
        <v>1306.7628173999999</v>
      </c>
      <c r="I1920">
        <v>1356.3366699000001</v>
      </c>
      <c r="J1920">
        <v>1348.3796387</v>
      </c>
      <c r="K1920">
        <v>0</v>
      </c>
      <c r="L1920">
        <v>2400</v>
      </c>
      <c r="M1920">
        <v>2400</v>
      </c>
      <c r="N1920">
        <v>0</v>
      </c>
    </row>
    <row r="1921" spans="1:14" x14ac:dyDescent="0.25">
      <c r="A1921">
        <v>1457.8988280000001</v>
      </c>
      <c r="B1921" s="1">
        <f>DATE(2014,4,27) + TIME(21,34,18)</f>
        <v>41756.898819444446</v>
      </c>
      <c r="C1921">
        <v>80</v>
      </c>
      <c r="D1921">
        <v>69.008201599000003</v>
      </c>
      <c r="E1921">
        <v>50</v>
      </c>
      <c r="F1921">
        <v>49.977977752999998</v>
      </c>
      <c r="G1921">
        <v>1314.1446533000001</v>
      </c>
      <c r="H1921">
        <v>1306.4864502</v>
      </c>
      <c r="I1921">
        <v>1356.3187256000001</v>
      </c>
      <c r="J1921">
        <v>1348.3660889</v>
      </c>
      <c r="K1921">
        <v>0</v>
      </c>
      <c r="L1921">
        <v>2400</v>
      </c>
      <c r="M1921">
        <v>2400</v>
      </c>
      <c r="N1921">
        <v>0</v>
      </c>
    </row>
    <row r="1922" spans="1:14" x14ac:dyDescent="0.25">
      <c r="A1922">
        <v>1461</v>
      </c>
      <c r="B1922" s="1">
        <f>DATE(2014,5,1) + TIME(0,0,0)</f>
        <v>41760</v>
      </c>
      <c r="C1922">
        <v>80</v>
      </c>
      <c r="D1922">
        <v>68.625022888000004</v>
      </c>
      <c r="E1922">
        <v>50</v>
      </c>
      <c r="F1922">
        <v>49.978000641000001</v>
      </c>
      <c r="G1922">
        <v>1313.9558105000001</v>
      </c>
      <c r="H1922">
        <v>1306.2171631000001</v>
      </c>
      <c r="I1922">
        <v>1356.3005370999999</v>
      </c>
      <c r="J1922">
        <v>1348.3522949000001</v>
      </c>
      <c r="K1922">
        <v>0</v>
      </c>
      <c r="L1922">
        <v>2400</v>
      </c>
      <c r="M1922">
        <v>2400</v>
      </c>
      <c r="N1922">
        <v>0</v>
      </c>
    </row>
    <row r="1923" spans="1:14" x14ac:dyDescent="0.25">
      <c r="A1923">
        <v>1461.0000010000001</v>
      </c>
      <c r="B1923" s="1">
        <f>DATE(2014,5,1) + TIME(0,0,0)</f>
        <v>41760</v>
      </c>
      <c r="C1923">
        <v>80</v>
      </c>
      <c r="D1923">
        <v>68.625190735000004</v>
      </c>
      <c r="E1923">
        <v>50</v>
      </c>
      <c r="F1923">
        <v>49.977897644000002</v>
      </c>
      <c r="G1923">
        <v>1322.9989014</v>
      </c>
      <c r="H1923">
        <v>1315.0454102000001</v>
      </c>
      <c r="I1923">
        <v>1347.5274658000001</v>
      </c>
      <c r="J1923">
        <v>1340.1386719</v>
      </c>
      <c r="K1923">
        <v>2400</v>
      </c>
      <c r="L1923">
        <v>0</v>
      </c>
      <c r="M1923">
        <v>0</v>
      </c>
      <c r="N1923">
        <v>2400</v>
      </c>
    </row>
    <row r="1924" spans="1:14" x14ac:dyDescent="0.25">
      <c r="A1924">
        <v>1461.000004</v>
      </c>
      <c r="B1924" s="1">
        <f>DATE(2014,5,1) + TIME(0,0,0)</f>
        <v>41760</v>
      </c>
      <c r="C1924">
        <v>80</v>
      </c>
      <c r="D1924">
        <v>68.625564574999999</v>
      </c>
      <c r="E1924">
        <v>50</v>
      </c>
      <c r="F1924">
        <v>49.977657317999999</v>
      </c>
      <c r="G1924">
        <v>1325.0119629000001</v>
      </c>
      <c r="H1924">
        <v>1317.3721923999999</v>
      </c>
      <c r="I1924">
        <v>1345.6112060999999</v>
      </c>
      <c r="J1924">
        <v>1338.222168</v>
      </c>
      <c r="K1924">
        <v>2400</v>
      </c>
      <c r="L1924">
        <v>0</v>
      </c>
      <c r="M1924">
        <v>0</v>
      </c>
      <c r="N1924">
        <v>2400</v>
      </c>
    </row>
    <row r="1925" spans="1:14" x14ac:dyDescent="0.25">
      <c r="A1925">
        <v>1461.0000130000001</v>
      </c>
      <c r="B1925" s="1">
        <f>DATE(2014,5,1) + TIME(0,0,1)</f>
        <v>41760.000011574077</v>
      </c>
      <c r="C1925">
        <v>80</v>
      </c>
      <c r="D1925">
        <v>68.626220703000001</v>
      </c>
      <c r="E1925">
        <v>50</v>
      </c>
      <c r="F1925">
        <v>49.977233886999997</v>
      </c>
      <c r="G1925">
        <v>1328.4942627</v>
      </c>
      <c r="H1925">
        <v>1321.0460204999999</v>
      </c>
      <c r="I1925">
        <v>1342.2469481999999</v>
      </c>
      <c r="J1925">
        <v>1334.8579102000001</v>
      </c>
      <c r="K1925">
        <v>2400</v>
      </c>
      <c r="L1925">
        <v>0</v>
      </c>
      <c r="M1925">
        <v>0</v>
      </c>
      <c r="N1925">
        <v>2400</v>
      </c>
    </row>
    <row r="1926" spans="1:14" x14ac:dyDescent="0.25">
      <c r="A1926">
        <v>1461.0000399999999</v>
      </c>
      <c r="B1926" s="1">
        <f>DATE(2014,5,1) + TIME(0,0,3)</f>
        <v>41760.000034722223</v>
      </c>
      <c r="C1926">
        <v>80</v>
      </c>
      <c r="D1926">
        <v>68.627296447999996</v>
      </c>
      <c r="E1926">
        <v>50</v>
      </c>
      <c r="F1926">
        <v>49.976692200000002</v>
      </c>
      <c r="G1926">
        <v>1332.9125977000001</v>
      </c>
      <c r="H1926">
        <v>1325.4091797000001</v>
      </c>
      <c r="I1926">
        <v>1337.9833983999999</v>
      </c>
      <c r="J1926">
        <v>1330.5959473</v>
      </c>
      <c r="K1926">
        <v>2400</v>
      </c>
      <c r="L1926">
        <v>0</v>
      </c>
      <c r="M1926">
        <v>0</v>
      </c>
      <c r="N1926">
        <v>2400</v>
      </c>
    </row>
    <row r="1927" spans="1:14" x14ac:dyDescent="0.25">
      <c r="A1927">
        <v>1461.000121</v>
      </c>
      <c r="B1927" s="1">
        <f>DATE(2014,5,1) + TIME(0,0,10)</f>
        <v>41760.000115740739</v>
      </c>
      <c r="C1927">
        <v>80</v>
      </c>
      <c r="D1927">
        <v>68.629379271999994</v>
      </c>
      <c r="E1927">
        <v>50</v>
      </c>
      <c r="F1927">
        <v>49.976127624999997</v>
      </c>
      <c r="G1927">
        <v>1337.5601807</v>
      </c>
      <c r="H1927">
        <v>1329.9270019999999</v>
      </c>
      <c r="I1927">
        <v>1333.5604248</v>
      </c>
      <c r="J1927">
        <v>1326.1757812000001</v>
      </c>
      <c r="K1927">
        <v>2400</v>
      </c>
      <c r="L1927">
        <v>0</v>
      </c>
      <c r="M1927">
        <v>0</v>
      </c>
      <c r="N1927">
        <v>2400</v>
      </c>
    </row>
    <row r="1928" spans="1:14" x14ac:dyDescent="0.25">
      <c r="A1928">
        <v>1461.000364</v>
      </c>
      <c r="B1928" s="1">
        <f>DATE(2014,5,1) + TIME(0,0,31)</f>
        <v>41760.000358796293</v>
      </c>
      <c r="C1928">
        <v>80</v>
      </c>
      <c r="D1928">
        <v>68.634483337000006</v>
      </c>
      <c r="E1928">
        <v>50</v>
      </c>
      <c r="F1928">
        <v>49.975551605</v>
      </c>
      <c r="G1928">
        <v>1342.2489014</v>
      </c>
      <c r="H1928">
        <v>1334.4840088000001</v>
      </c>
      <c r="I1928">
        <v>1329.1597899999999</v>
      </c>
      <c r="J1928">
        <v>1321.7764893000001</v>
      </c>
      <c r="K1928">
        <v>2400</v>
      </c>
      <c r="L1928">
        <v>0</v>
      </c>
      <c r="M1928">
        <v>0</v>
      </c>
      <c r="N1928">
        <v>2400</v>
      </c>
    </row>
    <row r="1929" spans="1:14" x14ac:dyDescent="0.25">
      <c r="A1929">
        <v>1461.0010930000001</v>
      </c>
      <c r="B1929" s="1">
        <f>DATE(2014,5,1) + TIME(0,1,34)</f>
        <v>41760.001087962963</v>
      </c>
      <c r="C1929">
        <v>80</v>
      </c>
      <c r="D1929">
        <v>68.648796082000004</v>
      </c>
      <c r="E1929">
        <v>50</v>
      </c>
      <c r="F1929">
        <v>49.97492218</v>
      </c>
      <c r="G1929">
        <v>1347.0252685999999</v>
      </c>
      <c r="H1929">
        <v>1339.1108397999999</v>
      </c>
      <c r="I1929">
        <v>1324.7398682</v>
      </c>
      <c r="J1929">
        <v>1317.3367920000001</v>
      </c>
      <c r="K1929">
        <v>2400</v>
      </c>
      <c r="L1929">
        <v>0</v>
      </c>
      <c r="M1929">
        <v>0</v>
      </c>
      <c r="N1929">
        <v>2400</v>
      </c>
    </row>
    <row r="1930" spans="1:14" x14ac:dyDescent="0.25">
      <c r="A1930">
        <v>1461.0032799999999</v>
      </c>
      <c r="B1930" s="1">
        <f>DATE(2014,5,1) + TIME(0,4,43)</f>
        <v>41760.003275462965</v>
      </c>
      <c r="C1930">
        <v>80</v>
      </c>
      <c r="D1930">
        <v>68.691101074000002</v>
      </c>
      <c r="E1930">
        <v>50</v>
      </c>
      <c r="F1930">
        <v>49.974151611000003</v>
      </c>
      <c r="G1930">
        <v>1351.6706543</v>
      </c>
      <c r="H1930">
        <v>1343.6051024999999</v>
      </c>
      <c r="I1930">
        <v>1320.3774414</v>
      </c>
      <c r="J1930">
        <v>1312.9145507999999</v>
      </c>
      <c r="K1930">
        <v>2400</v>
      </c>
      <c r="L1930">
        <v>0</v>
      </c>
      <c r="M1930">
        <v>0</v>
      </c>
      <c r="N1930">
        <v>2400</v>
      </c>
    </row>
    <row r="1931" spans="1:14" x14ac:dyDescent="0.25">
      <c r="A1931">
        <v>1461.0098410000001</v>
      </c>
      <c r="B1931" s="1">
        <f>DATE(2014,5,1) + TIME(0,14,10)</f>
        <v>41760.009837962964</v>
      </c>
      <c r="C1931">
        <v>80</v>
      </c>
      <c r="D1931">
        <v>68.816886901999993</v>
      </c>
      <c r="E1931">
        <v>50</v>
      </c>
      <c r="F1931">
        <v>49.973030090000002</v>
      </c>
      <c r="G1931">
        <v>1355.3845214999999</v>
      </c>
      <c r="H1931">
        <v>1347.2283935999999</v>
      </c>
      <c r="I1931">
        <v>1316.7404785000001</v>
      </c>
      <c r="J1931">
        <v>1309.2213135</v>
      </c>
      <c r="K1931">
        <v>2400</v>
      </c>
      <c r="L1931">
        <v>0</v>
      </c>
      <c r="M1931">
        <v>0</v>
      </c>
      <c r="N1931">
        <v>2400</v>
      </c>
    </row>
    <row r="1932" spans="1:14" x14ac:dyDescent="0.25">
      <c r="A1932">
        <v>1461.029524</v>
      </c>
      <c r="B1932" s="1">
        <f>DATE(2014,5,1) + TIME(0,42,30)</f>
        <v>41760.029513888891</v>
      </c>
      <c r="C1932">
        <v>80</v>
      </c>
      <c r="D1932">
        <v>69.181999207000004</v>
      </c>
      <c r="E1932">
        <v>50</v>
      </c>
      <c r="F1932">
        <v>49.970825195000003</v>
      </c>
      <c r="G1932">
        <v>1357.3332519999999</v>
      </c>
      <c r="H1932">
        <v>1349.1898193</v>
      </c>
      <c r="I1932">
        <v>1314.8720702999999</v>
      </c>
      <c r="J1932">
        <v>1307.3286132999999</v>
      </c>
      <c r="K1932">
        <v>2400</v>
      </c>
      <c r="L1932">
        <v>0</v>
      </c>
      <c r="M1932">
        <v>0</v>
      </c>
      <c r="N1932">
        <v>2400</v>
      </c>
    </row>
    <row r="1933" spans="1:14" x14ac:dyDescent="0.25">
      <c r="A1933">
        <v>1461.0544850000001</v>
      </c>
      <c r="B1933" s="1">
        <f>DATE(2014,5,1) + TIME(1,18,27)</f>
        <v>41760.054479166669</v>
      </c>
      <c r="C1933">
        <v>80</v>
      </c>
      <c r="D1933">
        <v>69.625793457</v>
      </c>
      <c r="E1933">
        <v>50</v>
      </c>
      <c r="F1933">
        <v>49.968311309999997</v>
      </c>
      <c r="G1933">
        <v>1357.7519531</v>
      </c>
      <c r="H1933">
        <v>1349.6572266000001</v>
      </c>
      <c r="I1933">
        <v>1314.5081786999999</v>
      </c>
      <c r="J1933">
        <v>1306.9602050999999</v>
      </c>
      <c r="K1933">
        <v>2400</v>
      </c>
      <c r="L1933">
        <v>0</v>
      </c>
      <c r="M1933">
        <v>0</v>
      </c>
      <c r="N1933">
        <v>2400</v>
      </c>
    </row>
    <row r="1934" spans="1:14" x14ac:dyDescent="0.25">
      <c r="A1934">
        <v>1461.079972</v>
      </c>
      <c r="B1934" s="1">
        <f>DATE(2014,5,1) + TIME(1,55,9)</f>
        <v>41760.079965277779</v>
      </c>
      <c r="C1934">
        <v>80</v>
      </c>
      <c r="D1934">
        <v>70.059814453000001</v>
      </c>
      <c r="E1934">
        <v>50</v>
      </c>
      <c r="F1934">
        <v>49.965808868000003</v>
      </c>
      <c r="G1934">
        <v>1357.7890625</v>
      </c>
      <c r="H1934">
        <v>1349.7431641000001</v>
      </c>
      <c r="I1934">
        <v>1314.4611815999999</v>
      </c>
      <c r="J1934">
        <v>1306.9123535000001</v>
      </c>
      <c r="K1934">
        <v>2400</v>
      </c>
      <c r="L1934">
        <v>0</v>
      </c>
      <c r="M1934">
        <v>0</v>
      </c>
      <c r="N1934">
        <v>2400</v>
      </c>
    </row>
    <row r="1935" spans="1:14" x14ac:dyDescent="0.25">
      <c r="A1935">
        <v>1461.1059700000001</v>
      </c>
      <c r="B1935" s="1">
        <f>DATE(2014,5,1) + TIME(2,32,35)</f>
        <v>41760.10596064815</v>
      </c>
      <c r="C1935">
        <v>80</v>
      </c>
      <c r="D1935">
        <v>70.483314514</v>
      </c>
      <c r="E1935">
        <v>50</v>
      </c>
      <c r="F1935">
        <v>49.963287354000002</v>
      </c>
      <c r="G1935">
        <v>1357.7397461</v>
      </c>
      <c r="H1935">
        <v>1349.7416992000001</v>
      </c>
      <c r="I1935">
        <v>1314.4605713000001</v>
      </c>
      <c r="J1935">
        <v>1306.911499</v>
      </c>
      <c r="K1935">
        <v>2400</v>
      </c>
      <c r="L1935">
        <v>0</v>
      </c>
      <c r="M1935">
        <v>0</v>
      </c>
      <c r="N1935">
        <v>2400</v>
      </c>
    </row>
    <row r="1936" spans="1:14" x14ac:dyDescent="0.25">
      <c r="A1936">
        <v>1461.132447</v>
      </c>
      <c r="B1936" s="1">
        <f>DATE(2014,5,1) + TIME(3,10,43)</f>
        <v>41760.13244212963</v>
      </c>
      <c r="C1936">
        <v>80</v>
      </c>
      <c r="D1936">
        <v>70.895790099999999</v>
      </c>
      <c r="E1936">
        <v>50</v>
      </c>
      <c r="F1936">
        <v>49.960742949999997</v>
      </c>
      <c r="G1936">
        <v>1357.6713867000001</v>
      </c>
      <c r="H1936">
        <v>1349.7193603999999</v>
      </c>
      <c r="I1936">
        <v>1314.4636230000001</v>
      </c>
      <c r="J1936">
        <v>1306.9144286999999</v>
      </c>
      <c r="K1936">
        <v>2400</v>
      </c>
      <c r="L1936">
        <v>0</v>
      </c>
      <c r="M1936">
        <v>0</v>
      </c>
      <c r="N1936">
        <v>2400</v>
      </c>
    </row>
    <row r="1937" spans="1:14" x14ac:dyDescent="0.25">
      <c r="A1937">
        <v>1461.1594230000001</v>
      </c>
      <c r="B1937" s="1">
        <f>DATE(2014,5,1) + TIME(3,49,34)</f>
        <v>41760.159421296295</v>
      </c>
      <c r="C1937">
        <v>80</v>
      </c>
      <c r="D1937">
        <v>71.297439574999999</v>
      </c>
      <c r="E1937">
        <v>50</v>
      </c>
      <c r="F1937">
        <v>49.958171843999999</v>
      </c>
      <c r="G1937">
        <v>1357.6000977000001</v>
      </c>
      <c r="H1937">
        <v>1349.6921387</v>
      </c>
      <c r="I1937">
        <v>1314.465332</v>
      </c>
      <c r="J1937">
        <v>1306.9161377</v>
      </c>
      <c r="K1937">
        <v>2400</v>
      </c>
      <c r="L1937">
        <v>0</v>
      </c>
      <c r="M1937">
        <v>0</v>
      </c>
      <c r="N1937">
        <v>2400</v>
      </c>
    </row>
    <row r="1938" spans="1:14" x14ac:dyDescent="0.25">
      <c r="A1938">
        <v>1461.1869260000001</v>
      </c>
      <c r="B1938" s="1">
        <f>DATE(2014,5,1) + TIME(4,29,10)</f>
        <v>41760.186921296299</v>
      </c>
      <c r="C1938">
        <v>80</v>
      </c>
      <c r="D1938">
        <v>71.688438415999997</v>
      </c>
      <c r="E1938">
        <v>50</v>
      </c>
      <c r="F1938">
        <v>49.955577849999997</v>
      </c>
      <c r="G1938">
        <v>1357.5303954999999</v>
      </c>
      <c r="H1938">
        <v>1349.6644286999999</v>
      </c>
      <c r="I1938">
        <v>1314.4661865</v>
      </c>
      <c r="J1938">
        <v>1306.9168701000001</v>
      </c>
      <c r="K1938">
        <v>2400</v>
      </c>
      <c r="L1938">
        <v>0</v>
      </c>
      <c r="M1938">
        <v>0</v>
      </c>
      <c r="N1938">
        <v>2400</v>
      </c>
    </row>
    <row r="1939" spans="1:14" x14ac:dyDescent="0.25">
      <c r="A1939">
        <v>1461.2149830000001</v>
      </c>
      <c r="B1939" s="1">
        <f>DATE(2014,5,1) + TIME(5,9,34)</f>
        <v>41760.21497685185</v>
      </c>
      <c r="C1939">
        <v>80</v>
      </c>
      <c r="D1939">
        <v>72.068992614999999</v>
      </c>
      <c r="E1939">
        <v>50</v>
      </c>
      <c r="F1939">
        <v>49.952953338999997</v>
      </c>
      <c r="G1939">
        <v>1357.4632568</v>
      </c>
      <c r="H1939">
        <v>1349.6375731999999</v>
      </c>
      <c r="I1939">
        <v>1314.4665527</v>
      </c>
      <c r="J1939">
        <v>1306.9171143000001</v>
      </c>
      <c r="K1939">
        <v>2400</v>
      </c>
      <c r="L1939">
        <v>0</v>
      </c>
      <c r="M1939">
        <v>0</v>
      </c>
      <c r="N1939">
        <v>2400</v>
      </c>
    </row>
    <row r="1940" spans="1:14" x14ac:dyDescent="0.25">
      <c r="A1940">
        <v>1461.243622</v>
      </c>
      <c r="B1940" s="1">
        <f>DATE(2014,5,1) + TIME(5,50,48)</f>
        <v>41760.243611111109</v>
      </c>
      <c r="C1940">
        <v>80</v>
      </c>
      <c r="D1940">
        <v>72.439262389999996</v>
      </c>
      <c r="E1940">
        <v>50</v>
      </c>
      <c r="F1940">
        <v>49.950302123999997</v>
      </c>
      <c r="G1940">
        <v>1357.3990478999999</v>
      </c>
      <c r="H1940">
        <v>1349.6118164</v>
      </c>
      <c r="I1940">
        <v>1314.4667969</v>
      </c>
      <c r="J1940">
        <v>1306.9172363</v>
      </c>
      <c r="K1940">
        <v>2400</v>
      </c>
      <c r="L1940">
        <v>0</v>
      </c>
      <c r="M1940">
        <v>0</v>
      </c>
      <c r="N1940">
        <v>2400</v>
      </c>
    </row>
    <row r="1941" spans="1:14" x14ac:dyDescent="0.25">
      <c r="A1941">
        <v>1461.2728750000001</v>
      </c>
      <c r="B1941" s="1">
        <f>DATE(2014,5,1) + TIME(6,32,56)</f>
        <v>41760.272870370369</v>
      </c>
      <c r="C1941">
        <v>80</v>
      </c>
      <c r="D1941">
        <v>72.799415588000002</v>
      </c>
      <c r="E1941">
        <v>50</v>
      </c>
      <c r="F1941">
        <v>49.947620391999997</v>
      </c>
      <c r="G1941">
        <v>1357.3377685999999</v>
      </c>
      <c r="H1941">
        <v>1349.5872803</v>
      </c>
      <c r="I1941">
        <v>1314.4669189000001</v>
      </c>
      <c r="J1941">
        <v>1306.9172363</v>
      </c>
      <c r="K1941">
        <v>2400</v>
      </c>
      <c r="L1941">
        <v>0</v>
      </c>
      <c r="M1941">
        <v>0</v>
      </c>
      <c r="N1941">
        <v>2400</v>
      </c>
    </row>
    <row r="1942" spans="1:14" x14ac:dyDescent="0.25">
      <c r="A1942">
        <v>1461.302774</v>
      </c>
      <c r="B1942" s="1">
        <f>DATE(2014,5,1) + TIME(7,15,59)</f>
        <v>41760.302766203706</v>
      </c>
      <c r="C1942">
        <v>80</v>
      </c>
      <c r="D1942">
        <v>73.149597168</v>
      </c>
      <c r="E1942">
        <v>50</v>
      </c>
      <c r="F1942">
        <v>49.944904327000003</v>
      </c>
      <c r="G1942">
        <v>1357.2791748</v>
      </c>
      <c r="H1942">
        <v>1349.5638428</v>
      </c>
      <c r="I1942">
        <v>1314.4670410000001</v>
      </c>
      <c r="J1942">
        <v>1306.9171143000001</v>
      </c>
      <c r="K1942">
        <v>2400</v>
      </c>
      <c r="L1942">
        <v>0</v>
      </c>
      <c r="M1942">
        <v>0</v>
      </c>
      <c r="N1942">
        <v>2400</v>
      </c>
    </row>
    <row r="1943" spans="1:14" x14ac:dyDescent="0.25">
      <c r="A1943">
        <v>1461.3333520000001</v>
      </c>
      <c r="B1943" s="1">
        <f>DATE(2014,5,1) + TIME(8,0,1)</f>
        <v>41760.333344907405</v>
      </c>
      <c r="C1943">
        <v>80</v>
      </c>
      <c r="D1943">
        <v>73.489906310999999</v>
      </c>
      <c r="E1943">
        <v>50</v>
      </c>
      <c r="F1943">
        <v>49.942150116000001</v>
      </c>
      <c r="G1943">
        <v>1357.2233887</v>
      </c>
      <c r="H1943">
        <v>1349.541626</v>
      </c>
      <c r="I1943">
        <v>1314.4670410000001</v>
      </c>
      <c r="J1943">
        <v>1306.9171143000001</v>
      </c>
      <c r="K1943">
        <v>2400</v>
      </c>
      <c r="L1943">
        <v>0</v>
      </c>
      <c r="M1943">
        <v>0</v>
      </c>
      <c r="N1943">
        <v>2400</v>
      </c>
    </row>
    <row r="1944" spans="1:14" x14ac:dyDescent="0.25">
      <c r="A1944">
        <v>1461.3645799999999</v>
      </c>
      <c r="B1944" s="1">
        <f>DATE(2014,5,1) + TIME(8,44,59)</f>
        <v>41760.364571759259</v>
      </c>
      <c r="C1944">
        <v>80</v>
      </c>
      <c r="D1944">
        <v>73.819824218999997</v>
      </c>
      <c r="E1944">
        <v>50</v>
      </c>
      <c r="F1944">
        <v>49.939365387000002</v>
      </c>
      <c r="G1944">
        <v>1357.1704102000001</v>
      </c>
      <c r="H1944">
        <v>1349.5205077999999</v>
      </c>
      <c r="I1944">
        <v>1314.4670410000001</v>
      </c>
      <c r="J1944">
        <v>1306.9169922000001</v>
      </c>
      <c r="K1944">
        <v>2400</v>
      </c>
      <c r="L1944">
        <v>0</v>
      </c>
      <c r="M1944">
        <v>0</v>
      </c>
      <c r="N1944">
        <v>2400</v>
      </c>
    </row>
    <row r="1945" spans="1:14" x14ac:dyDescent="0.25">
      <c r="A1945">
        <v>1461.396491</v>
      </c>
      <c r="B1945" s="1">
        <f>DATE(2014,5,1) + TIME(9,30,56)</f>
        <v>41760.396481481483</v>
      </c>
      <c r="C1945">
        <v>80</v>
      </c>
      <c r="D1945">
        <v>74.139511107999994</v>
      </c>
      <c r="E1945">
        <v>50</v>
      </c>
      <c r="F1945">
        <v>49.936550140000001</v>
      </c>
      <c r="G1945">
        <v>1357.1198730000001</v>
      </c>
      <c r="H1945">
        <v>1349.5004882999999</v>
      </c>
      <c r="I1945">
        <v>1314.4670410000001</v>
      </c>
      <c r="J1945">
        <v>1306.9168701000001</v>
      </c>
      <c r="K1945">
        <v>2400</v>
      </c>
      <c r="L1945">
        <v>0</v>
      </c>
      <c r="M1945">
        <v>0</v>
      </c>
      <c r="N1945">
        <v>2400</v>
      </c>
    </row>
    <row r="1946" spans="1:14" x14ac:dyDescent="0.25">
      <c r="A1946">
        <v>1461.429124</v>
      </c>
      <c r="B1946" s="1">
        <f>DATE(2014,5,1) + TIME(10,17,56)</f>
        <v>41760.429120370369</v>
      </c>
      <c r="C1946">
        <v>80</v>
      </c>
      <c r="D1946">
        <v>74.449134826999995</v>
      </c>
      <c r="E1946">
        <v>50</v>
      </c>
      <c r="F1946">
        <v>49.933692932</v>
      </c>
      <c r="G1946">
        <v>1357.0716553</v>
      </c>
      <c r="H1946">
        <v>1349.4814452999999</v>
      </c>
      <c r="I1946">
        <v>1314.4670410000001</v>
      </c>
      <c r="J1946">
        <v>1306.916626</v>
      </c>
      <c r="K1946">
        <v>2400</v>
      </c>
      <c r="L1946">
        <v>0</v>
      </c>
      <c r="M1946">
        <v>0</v>
      </c>
      <c r="N1946">
        <v>2400</v>
      </c>
    </row>
    <row r="1947" spans="1:14" x14ac:dyDescent="0.25">
      <c r="A1947">
        <v>1461.4625160000001</v>
      </c>
      <c r="B1947" s="1">
        <f>DATE(2014,5,1) + TIME(11,6,1)</f>
        <v>41760.462511574071</v>
      </c>
      <c r="C1947">
        <v>80</v>
      </c>
      <c r="D1947">
        <v>74.748840332</v>
      </c>
      <c r="E1947">
        <v>50</v>
      </c>
      <c r="F1947">
        <v>49.930801391999999</v>
      </c>
      <c r="G1947">
        <v>1357.0257568</v>
      </c>
      <c r="H1947">
        <v>1349.4632568</v>
      </c>
      <c r="I1947">
        <v>1314.4669189000001</v>
      </c>
      <c r="J1947">
        <v>1306.9165039</v>
      </c>
      <c r="K1947">
        <v>2400</v>
      </c>
      <c r="L1947">
        <v>0</v>
      </c>
      <c r="M1947">
        <v>0</v>
      </c>
      <c r="N1947">
        <v>2400</v>
      </c>
    </row>
    <row r="1948" spans="1:14" x14ac:dyDescent="0.25">
      <c r="A1948">
        <v>1461.496705</v>
      </c>
      <c r="B1948" s="1">
        <f>DATE(2014,5,1) + TIME(11,55,15)</f>
        <v>41760.496701388889</v>
      </c>
      <c r="C1948">
        <v>80</v>
      </c>
      <c r="D1948">
        <v>75.038711547999995</v>
      </c>
      <c r="E1948">
        <v>50</v>
      </c>
      <c r="F1948">
        <v>49.927864075000002</v>
      </c>
      <c r="G1948">
        <v>1356.9820557</v>
      </c>
      <c r="H1948">
        <v>1349.4459228999999</v>
      </c>
      <c r="I1948">
        <v>1314.4669189000001</v>
      </c>
      <c r="J1948">
        <v>1306.9162598</v>
      </c>
      <c r="K1948">
        <v>2400</v>
      </c>
      <c r="L1948">
        <v>0</v>
      </c>
      <c r="M1948">
        <v>0</v>
      </c>
      <c r="N1948">
        <v>2400</v>
      </c>
    </row>
    <row r="1949" spans="1:14" x14ac:dyDescent="0.25">
      <c r="A1949">
        <v>1461.531737</v>
      </c>
      <c r="B1949" s="1">
        <f>DATE(2014,5,1) + TIME(12,45,42)</f>
        <v>41760.531736111108</v>
      </c>
      <c r="C1949">
        <v>80</v>
      </c>
      <c r="D1949">
        <v>75.318748474000003</v>
      </c>
      <c r="E1949">
        <v>50</v>
      </c>
      <c r="F1949">
        <v>49.924884796000001</v>
      </c>
      <c r="G1949">
        <v>1356.9403076000001</v>
      </c>
      <c r="H1949">
        <v>1349.4294434000001</v>
      </c>
      <c r="I1949">
        <v>1314.4667969</v>
      </c>
      <c r="J1949">
        <v>1306.9160156</v>
      </c>
      <c r="K1949">
        <v>2400</v>
      </c>
      <c r="L1949">
        <v>0</v>
      </c>
      <c r="M1949">
        <v>0</v>
      </c>
      <c r="N1949">
        <v>2400</v>
      </c>
    </row>
    <row r="1950" spans="1:14" x14ac:dyDescent="0.25">
      <c r="A1950">
        <v>1461.5676639999999</v>
      </c>
      <c r="B1950" s="1">
        <f>DATE(2014,5,1) + TIME(13,37,26)</f>
        <v>41760.567662037036</v>
      </c>
      <c r="C1950">
        <v>80</v>
      </c>
      <c r="D1950">
        <v>75.589279175000001</v>
      </c>
      <c r="E1950">
        <v>50</v>
      </c>
      <c r="F1950">
        <v>49.921859740999999</v>
      </c>
      <c r="G1950">
        <v>1356.9005127</v>
      </c>
      <c r="H1950">
        <v>1349.4136963000001</v>
      </c>
      <c r="I1950">
        <v>1314.4666748</v>
      </c>
      <c r="J1950">
        <v>1306.9157714999999</v>
      </c>
      <c r="K1950">
        <v>2400</v>
      </c>
      <c r="L1950">
        <v>0</v>
      </c>
      <c r="M1950">
        <v>0</v>
      </c>
      <c r="N1950">
        <v>2400</v>
      </c>
    </row>
    <row r="1951" spans="1:14" x14ac:dyDescent="0.25">
      <c r="A1951">
        <v>1461.6045360000001</v>
      </c>
      <c r="B1951" s="1">
        <f>DATE(2014,5,1) + TIME(14,30,31)</f>
        <v>41760.604525462964</v>
      </c>
      <c r="C1951">
        <v>80</v>
      </c>
      <c r="D1951">
        <v>75.850425720000004</v>
      </c>
      <c r="E1951">
        <v>50</v>
      </c>
      <c r="F1951">
        <v>49.918785094999997</v>
      </c>
      <c r="G1951">
        <v>1356.8624268000001</v>
      </c>
      <c r="H1951">
        <v>1349.3985596</v>
      </c>
      <c r="I1951">
        <v>1314.4665527</v>
      </c>
      <c r="J1951">
        <v>1306.9155272999999</v>
      </c>
      <c r="K1951">
        <v>2400</v>
      </c>
      <c r="L1951">
        <v>0</v>
      </c>
      <c r="M1951">
        <v>0</v>
      </c>
      <c r="N1951">
        <v>2400</v>
      </c>
    </row>
    <row r="1952" spans="1:14" x14ac:dyDescent="0.25">
      <c r="A1952">
        <v>1461.642409</v>
      </c>
      <c r="B1952" s="1">
        <f>DATE(2014,5,1) + TIME(15,25,4)</f>
        <v>41760.642407407409</v>
      </c>
      <c r="C1952">
        <v>80</v>
      </c>
      <c r="D1952">
        <v>76.102310181000007</v>
      </c>
      <c r="E1952">
        <v>50</v>
      </c>
      <c r="F1952">
        <v>49.915653229</v>
      </c>
      <c r="G1952">
        <v>1356.8260498</v>
      </c>
      <c r="H1952">
        <v>1349.3840332</v>
      </c>
      <c r="I1952">
        <v>1314.4663086</v>
      </c>
      <c r="J1952">
        <v>1306.9151611</v>
      </c>
      <c r="K1952">
        <v>2400</v>
      </c>
      <c r="L1952">
        <v>0</v>
      </c>
      <c r="M1952">
        <v>0</v>
      </c>
      <c r="N1952">
        <v>2400</v>
      </c>
    </row>
    <row r="1953" spans="1:14" x14ac:dyDescent="0.25">
      <c r="A1953">
        <v>1461.6813440000001</v>
      </c>
      <c r="B1953" s="1">
        <f>DATE(2014,5,1) + TIME(16,21,8)</f>
        <v>41760.681342592594</v>
      </c>
      <c r="C1953">
        <v>80</v>
      </c>
      <c r="D1953">
        <v>76.345046996999997</v>
      </c>
      <c r="E1953">
        <v>50</v>
      </c>
      <c r="F1953">
        <v>49.912467956999997</v>
      </c>
      <c r="G1953">
        <v>1356.7912598</v>
      </c>
      <c r="H1953">
        <v>1349.3701172000001</v>
      </c>
      <c r="I1953">
        <v>1314.4661865</v>
      </c>
      <c r="J1953">
        <v>1306.9149170000001</v>
      </c>
      <c r="K1953">
        <v>2400</v>
      </c>
      <c r="L1953">
        <v>0</v>
      </c>
      <c r="M1953">
        <v>0</v>
      </c>
      <c r="N1953">
        <v>2400</v>
      </c>
    </row>
    <row r="1954" spans="1:14" x14ac:dyDescent="0.25">
      <c r="A1954">
        <v>1461.7214059999999</v>
      </c>
      <c r="B1954" s="1">
        <f>DATE(2014,5,1) + TIME(17,18,49)</f>
        <v>41760.721400462964</v>
      </c>
      <c r="C1954">
        <v>80</v>
      </c>
      <c r="D1954">
        <v>76.578735351999995</v>
      </c>
      <c r="E1954">
        <v>50</v>
      </c>
      <c r="F1954">
        <v>49.909217834000003</v>
      </c>
      <c r="G1954">
        <v>1356.7578125</v>
      </c>
      <c r="H1954">
        <v>1349.3568115</v>
      </c>
      <c r="I1954">
        <v>1314.4660644999999</v>
      </c>
      <c r="J1954">
        <v>1306.9145507999999</v>
      </c>
      <c r="K1954">
        <v>2400</v>
      </c>
      <c r="L1954">
        <v>0</v>
      </c>
      <c r="M1954">
        <v>0</v>
      </c>
      <c r="N1954">
        <v>2400</v>
      </c>
    </row>
    <row r="1955" spans="1:14" x14ac:dyDescent="0.25">
      <c r="A1955">
        <v>1461.7626640000001</v>
      </c>
      <c r="B1955" s="1">
        <f>DATE(2014,5,1) + TIME(18,18,14)</f>
        <v>41760.762662037036</v>
      </c>
      <c r="C1955">
        <v>80</v>
      </c>
      <c r="D1955">
        <v>76.803474425999994</v>
      </c>
      <c r="E1955">
        <v>50</v>
      </c>
      <c r="F1955">
        <v>49.905902863000001</v>
      </c>
      <c r="G1955">
        <v>1356.7259521000001</v>
      </c>
      <c r="H1955">
        <v>1349.3438721</v>
      </c>
      <c r="I1955">
        <v>1314.4658202999999</v>
      </c>
      <c r="J1955">
        <v>1306.9141846</v>
      </c>
      <c r="K1955">
        <v>2400</v>
      </c>
      <c r="L1955">
        <v>0</v>
      </c>
      <c r="M1955">
        <v>0</v>
      </c>
      <c r="N1955">
        <v>2400</v>
      </c>
    </row>
    <row r="1956" spans="1:14" x14ac:dyDescent="0.25">
      <c r="A1956">
        <v>1461.8051949999999</v>
      </c>
      <c r="B1956" s="1">
        <f>DATE(2014,5,1) + TIME(19,19,28)</f>
        <v>41760.805185185185</v>
      </c>
      <c r="C1956">
        <v>80</v>
      </c>
      <c r="D1956">
        <v>77.019378661999994</v>
      </c>
      <c r="E1956">
        <v>50</v>
      </c>
      <c r="F1956">
        <v>49.902519226000003</v>
      </c>
      <c r="G1956">
        <v>1356.6951904</v>
      </c>
      <c r="H1956">
        <v>1349.3312988</v>
      </c>
      <c r="I1956">
        <v>1314.4655762</v>
      </c>
      <c r="J1956">
        <v>1306.9138184000001</v>
      </c>
      <c r="K1956">
        <v>2400</v>
      </c>
      <c r="L1956">
        <v>0</v>
      </c>
      <c r="M1956">
        <v>0</v>
      </c>
      <c r="N1956">
        <v>2400</v>
      </c>
    </row>
    <row r="1957" spans="1:14" x14ac:dyDescent="0.25">
      <c r="A1957">
        <v>1461.849082</v>
      </c>
      <c r="B1957" s="1">
        <f>DATE(2014,5,1) + TIME(20,22,40)</f>
        <v>41760.849074074074</v>
      </c>
      <c r="C1957">
        <v>80</v>
      </c>
      <c r="D1957">
        <v>77.226539611999996</v>
      </c>
      <c r="E1957">
        <v>50</v>
      </c>
      <c r="F1957">
        <v>49.89906311</v>
      </c>
      <c r="G1957">
        <v>1356.6657714999999</v>
      </c>
      <c r="H1957">
        <v>1349.3192139</v>
      </c>
      <c r="I1957">
        <v>1314.465332</v>
      </c>
      <c r="J1957">
        <v>1306.9133300999999</v>
      </c>
      <c r="K1957">
        <v>2400</v>
      </c>
      <c r="L1957">
        <v>0</v>
      </c>
      <c r="M1957">
        <v>0</v>
      </c>
      <c r="N1957">
        <v>2400</v>
      </c>
    </row>
    <row r="1958" spans="1:14" x14ac:dyDescent="0.25">
      <c r="A1958">
        <v>1461.894423</v>
      </c>
      <c r="B1958" s="1">
        <f>DATE(2014,5,1) + TIME(21,27,58)</f>
        <v>41760.894421296296</v>
      </c>
      <c r="C1958">
        <v>80</v>
      </c>
      <c r="D1958">
        <v>77.425079346000004</v>
      </c>
      <c r="E1958">
        <v>50</v>
      </c>
      <c r="F1958">
        <v>49.895523071</v>
      </c>
      <c r="G1958">
        <v>1356.6373291</v>
      </c>
      <c r="H1958">
        <v>1349.3073730000001</v>
      </c>
      <c r="I1958">
        <v>1314.4650879000001</v>
      </c>
      <c r="J1958">
        <v>1306.9129639</v>
      </c>
      <c r="K1958">
        <v>2400</v>
      </c>
      <c r="L1958">
        <v>0</v>
      </c>
      <c r="M1958">
        <v>0</v>
      </c>
      <c r="N1958">
        <v>2400</v>
      </c>
    </row>
    <row r="1959" spans="1:14" x14ac:dyDescent="0.25">
      <c r="A1959">
        <v>1461.941327</v>
      </c>
      <c r="B1959" s="1">
        <f>DATE(2014,5,1) + TIME(22,35,30)</f>
        <v>41760.941319444442</v>
      </c>
      <c r="C1959">
        <v>80</v>
      </c>
      <c r="D1959">
        <v>77.615119934000006</v>
      </c>
      <c r="E1959">
        <v>50</v>
      </c>
      <c r="F1959">
        <v>49.891899109000001</v>
      </c>
      <c r="G1959">
        <v>1356.6098632999999</v>
      </c>
      <c r="H1959">
        <v>1349.2957764</v>
      </c>
      <c r="I1959">
        <v>1314.4648437999999</v>
      </c>
      <c r="J1959">
        <v>1306.9124756000001</v>
      </c>
      <c r="K1959">
        <v>2400</v>
      </c>
      <c r="L1959">
        <v>0</v>
      </c>
      <c r="M1959">
        <v>0</v>
      </c>
      <c r="N1959">
        <v>2400</v>
      </c>
    </row>
    <row r="1960" spans="1:14" x14ac:dyDescent="0.25">
      <c r="A1960">
        <v>1461.9898900000001</v>
      </c>
      <c r="B1960" s="1">
        <f>DATE(2014,5,1) + TIME(23,45,26)</f>
        <v>41760.989884259259</v>
      </c>
      <c r="C1960">
        <v>80</v>
      </c>
      <c r="D1960">
        <v>77.796699524000005</v>
      </c>
      <c r="E1960">
        <v>50</v>
      </c>
      <c r="F1960">
        <v>49.888179778999998</v>
      </c>
      <c r="G1960">
        <v>1356.5834961</v>
      </c>
      <c r="H1960">
        <v>1349.2844238</v>
      </c>
      <c r="I1960">
        <v>1314.4645995999999</v>
      </c>
      <c r="J1960">
        <v>1306.9119873</v>
      </c>
      <c r="K1960">
        <v>2400</v>
      </c>
      <c r="L1960">
        <v>0</v>
      </c>
      <c r="M1960">
        <v>0</v>
      </c>
      <c r="N1960">
        <v>2400</v>
      </c>
    </row>
    <row r="1961" spans="1:14" x14ac:dyDescent="0.25">
      <c r="A1961">
        <v>1462.0402320000001</v>
      </c>
      <c r="B1961" s="1">
        <f>DATE(2014,5,2) + TIME(0,57,56)</f>
        <v>41761.040231481478</v>
      </c>
      <c r="C1961">
        <v>80</v>
      </c>
      <c r="D1961">
        <v>77.969909668</v>
      </c>
      <c r="E1961">
        <v>50</v>
      </c>
      <c r="F1961">
        <v>49.884365082000002</v>
      </c>
      <c r="G1961">
        <v>1356.5578613</v>
      </c>
      <c r="H1961">
        <v>1349.2731934000001</v>
      </c>
      <c r="I1961">
        <v>1314.4642334</v>
      </c>
      <c r="J1961">
        <v>1306.9116211</v>
      </c>
      <c r="K1961">
        <v>2400</v>
      </c>
      <c r="L1961">
        <v>0</v>
      </c>
      <c r="M1961">
        <v>0</v>
      </c>
      <c r="N1961">
        <v>2400</v>
      </c>
    </row>
    <row r="1962" spans="1:14" x14ac:dyDescent="0.25">
      <c r="A1962">
        <v>1462.0924869999999</v>
      </c>
      <c r="B1962" s="1">
        <f>DATE(2014,5,2) + TIME(2,13,10)</f>
        <v>41761.092476851853</v>
      </c>
      <c r="C1962">
        <v>80</v>
      </c>
      <c r="D1962">
        <v>78.134849548000005</v>
      </c>
      <c r="E1962">
        <v>50</v>
      </c>
      <c r="F1962">
        <v>49.880443573000001</v>
      </c>
      <c r="G1962">
        <v>1356.5329589999999</v>
      </c>
      <c r="H1962">
        <v>1349.262207</v>
      </c>
      <c r="I1962">
        <v>1314.4639893000001</v>
      </c>
      <c r="J1962">
        <v>1306.9110106999999</v>
      </c>
      <c r="K1962">
        <v>2400</v>
      </c>
      <c r="L1962">
        <v>0</v>
      </c>
      <c r="M1962">
        <v>0</v>
      </c>
      <c r="N1962">
        <v>2400</v>
      </c>
    </row>
    <row r="1963" spans="1:14" x14ac:dyDescent="0.25">
      <c r="A1963">
        <v>1462.146804</v>
      </c>
      <c r="B1963" s="1">
        <f>DATE(2014,5,2) + TIME(3,31,23)</f>
        <v>41761.146793981483</v>
      </c>
      <c r="C1963">
        <v>80</v>
      </c>
      <c r="D1963">
        <v>78.291610718000001</v>
      </c>
      <c r="E1963">
        <v>50</v>
      </c>
      <c r="F1963">
        <v>49.876403809000003</v>
      </c>
      <c r="G1963">
        <v>1356.5086670000001</v>
      </c>
      <c r="H1963">
        <v>1349.2512207</v>
      </c>
      <c r="I1963">
        <v>1314.4636230000001</v>
      </c>
      <c r="J1963">
        <v>1306.9105225000001</v>
      </c>
      <c r="K1963">
        <v>2400</v>
      </c>
      <c r="L1963">
        <v>0</v>
      </c>
      <c r="M1963">
        <v>0</v>
      </c>
      <c r="N1963">
        <v>2400</v>
      </c>
    </row>
    <row r="1964" spans="1:14" x14ac:dyDescent="0.25">
      <c r="A1964">
        <v>1462.203348</v>
      </c>
      <c r="B1964" s="1">
        <f>DATE(2014,5,2) + TIME(4,52,49)</f>
        <v>41761.203344907408</v>
      </c>
      <c r="C1964">
        <v>80</v>
      </c>
      <c r="D1964">
        <v>78.440292357999994</v>
      </c>
      <c r="E1964">
        <v>50</v>
      </c>
      <c r="F1964">
        <v>49.872241973999998</v>
      </c>
      <c r="G1964">
        <v>1356.4849853999999</v>
      </c>
      <c r="H1964">
        <v>1349.2402344</v>
      </c>
      <c r="I1964">
        <v>1314.4632568</v>
      </c>
      <c r="J1964">
        <v>1306.9100341999999</v>
      </c>
      <c r="K1964">
        <v>2400</v>
      </c>
      <c r="L1964">
        <v>0</v>
      </c>
      <c r="M1964">
        <v>0</v>
      </c>
      <c r="N1964">
        <v>2400</v>
      </c>
    </row>
    <row r="1965" spans="1:14" x14ac:dyDescent="0.25">
      <c r="A1965">
        <v>1462.2623040000001</v>
      </c>
      <c r="B1965" s="1">
        <f>DATE(2014,5,2) + TIME(6,17,43)</f>
        <v>41761.262303240743</v>
      </c>
      <c r="C1965">
        <v>80</v>
      </c>
      <c r="D1965">
        <v>78.581001282000003</v>
      </c>
      <c r="E1965">
        <v>50</v>
      </c>
      <c r="F1965">
        <v>49.867942810000002</v>
      </c>
      <c r="G1965">
        <v>1356.4619141000001</v>
      </c>
      <c r="H1965">
        <v>1349.2292480000001</v>
      </c>
      <c r="I1965">
        <v>1314.4628906</v>
      </c>
      <c r="J1965">
        <v>1306.9094238</v>
      </c>
      <c r="K1965">
        <v>2400</v>
      </c>
      <c r="L1965">
        <v>0</v>
      </c>
      <c r="M1965">
        <v>0</v>
      </c>
      <c r="N1965">
        <v>2400</v>
      </c>
    </row>
    <row r="1966" spans="1:14" x14ac:dyDescent="0.25">
      <c r="A1966">
        <v>1462.3238799999999</v>
      </c>
      <c r="B1966" s="1">
        <f>DATE(2014,5,2) + TIME(7,46,23)</f>
        <v>41761.323877314811</v>
      </c>
      <c r="C1966">
        <v>80</v>
      </c>
      <c r="D1966">
        <v>78.713844299000002</v>
      </c>
      <c r="E1966">
        <v>50</v>
      </c>
      <c r="F1966">
        <v>49.863502502000003</v>
      </c>
      <c r="G1966">
        <v>1356.4390868999999</v>
      </c>
      <c r="H1966">
        <v>1349.2182617000001</v>
      </c>
      <c r="I1966">
        <v>1314.4625243999999</v>
      </c>
      <c r="J1966">
        <v>1306.9088135</v>
      </c>
      <c r="K1966">
        <v>2400</v>
      </c>
      <c r="L1966">
        <v>0</v>
      </c>
      <c r="M1966">
        <v>0</v>
      </c>
      <c r="N1966">
        <v>2400</v>
      </c>
    </row>
    <row r="1967" spans="1:14" x14ac:dyDescent="0.25">
      <c r="A1967">
        <v>1462.3883109999999</v>
      </c>
      <c r="B1967" s="1">
        <f>DATE(2014,5,2) + TIME(9,19,10)</f>
        <v>41761.388310185182</v>
      </c>
      <c r="C1967">
        <v>80</v>
      </c>
      <c r="D1967">
        <v>78.838928222999996</v>
      </c>
      <c r="E1967">
        <v>50</v>
      </c>
      <c r="F1967">
        <v>49.858898162999999</v>
      </c>
      <c r="G1967">
        <v>1356.416626</v>
      </c>
      <c r="H1967">
        <v>1349.2070312000001</v>
      </c>
      <c r="I1967">
        <v>1314.4620361</v>
      </c>
      <c r="J1967">
        <v>1306.9082031</v>
      </c>
      <c r="K1967">
        <v>2400</v>
      </c>
      <c r="L1967">
        <v>0</v>
      </c>
      <c r="M1967">
        <v>0</v>
      </c>
      <c r="N1967">
        <v>2400</v>
      </c>
    </row>
    <row r="1968" spans="1:14" x14ac:dyDescent="0.25">
      <c r="A1968">
        <v>1462.455864</v>
      </c>
      <c r="B1968" s="1">
        <f>DATE(2014,5,2) + TIME(10,56,26)</f>
        <v>41761.45585648148</v>
      </c>
      <c r="C1968">
        <v>80</v>
      </c>
      <c r="D1968">
        <v>78.956367493000002</v>
      </c>
      <c r="E1968">
        <v>50</v>
      </c>
      <c r="F1968">
        <v>49.854122162000003</v>
      </c>
      <c r="G1968">
        <v>1356.3944091999999</v>
      </c>
      <c r="H1968">
        <v>1349.1956786999999</v>
      </c>
      <c r="I1968">
        <v>1314.4616699000001</v>
      </c>
      <c r="J1968">
        <v>1306.9074707</v>
      </c>
      <c r="K1968">
        <v>2400</v>
      </c>
      <c r="L1968">
        <v>0</v>
      </c>
      <c r="M1968">
        <v>0</v>
      </c>
      <c r="N1968">
        <v>2400</v>
      </c>
    </row>
    <row r="1969" spans="1:14" x14ac:dyDescent="0.25">
      <c r="A1969">
        <v>1462.526783</v>
      </c>
      <c r="B1969" s="1">
        <f>DATE(2014,5,2) + TIME(12,38,34)</f>
        <v>41761.526782407411</v>
      </c>
      <c r="C1969">
        <v>80</v>
      </c>
      <c r="D1969">
        <v>79.066207886000001</v>
      </c>
      <c r="E1969">
        <v>50</v>
      </c>
      <c r="F1969">
        <v>49.849155426000003</v>
      </c>
      <c r="G1969">
        <v>1356.3723144999999</v>
      </c>
      <c r="H1969">
        <v>1349.184082</v>
      </c>
      <c r="I1969">
        <v>1314.4611815999999</v>
      </c>
      <c r="J1969">
        <v>1306.9068603999999</v>
      </c>
      <c r="K1969">
        <v>2400</v>
      </c>
      <c r="L1969">
        <v>0</v>
      </c>
      <c r="M1969">
        <v>0</v>
      </c>
      <c r="N1969">
        <v>2400</v>
      </c>
    </row>
    <row r="1970" spans="1:14" x14ac:dyDescent="0.25">
      <c r="A1970">
        <v>1462.601318</v>
      </c>
      <c r="B1970" s="1">
        <f>DATE(2014,5,2) + TIME(14,25,53)</f>
        <v>41761.601307870369</v>
      </c>
      <c r="C1970">
        <v>80</v>
      </c>
      <c r="D1970">
        <v>79.168479919000006</v>
      </c>
      <c r="E1970">
        <v>50</v>
      </c>
      <c r="F1970">
        <v>49.843990325999997</v>
      </c>
      <c r="G1970">
        <v>1356.3503418</v>
      </c>
      <c r="H1970">
        <v>1349.1723632999999</v>
      </c>
      <c r="I1970">
        <v>1314.4606934000001</v>
      </c>
      <c r="J1970">
        <v>1306.9061279</v>
      </c>
      <c r="K1970">
        <v>2400</v>
      </c>
      <c r="L1970">
        <v>0</v>
      </c>
      <c r="M1970">
        <v>0</v>
      </c>
      <c r="N1970">
        <v>2400</v>
      </c>
    </row>
    <row r="1971" spans="1:14" x14ac:dyDescent="0.25">
      <c r="A1971">
        <v>1462.679854</v>
      </c>
      <c r="B1971" s="1">
        <f>DATE(2014,5,2) + TIME(16,18,59)</f>
        <v>41761.679849537039</v>
      </c>
      <c r="C1971">
        <v>80</v>
      </c>
      <c r="D1971">
        <v>79.263366699000002</v>
      </c>
      <c r="E1971">
        <v>50</v>
      </c>
      <c r="F1971">
        <v>49.838607787999997</v>
      </c>
      <c r="G1971">
        <v>1356.3283690999999</v>
      </c>
      <c r="H1971">
        <v>1349.1601562000001</v>
      </c>
      <c r="I1971">
        <v>1314.4602050999999</v>
      </c>
      <c r="J1971">
        <v>1306.9053954999999</v>
      </c>
      <c r="K1971">
        <v>2400</v>
      </c>
      <c r="L1971">
        <v>0</v>
      </c>
      <c r="M1971">
        <v>0</v>
      </c>
      <c r="N1971">
        <v>2400</v>
      </c>
    </row>
    <row r="1972" spans="1:14" x14ac:dyDescent="0.25">
      <c r="A1972">
        <v>1462.7627990000001</v>
      </c>
      <c r="B1972" s="1">
        <f>DATE(2014,5,2) + TIME(18,18,25)</f>
        <v>41761.762789351851</v>
      </c>
      <c r="C1972">
        <v>80</v>
      </c>
      <c r="D1972">
        <v>79.351036071999999</v>
      </c>
      <c r="E1972">
        <v>50</v>
      </c>
      <c r="F1972">
        <v>49.832977294999999</v>
      </c>
      <c r="G1972">
        <v>1356.3062743999999</v>
      </c>
      <c r="H1972">
        <v>1349.1475829999999</v>
      </c>
      <c r="I1972">
        <v>1314.4595947</v>
      </c>
      <c r="J1972">
        <v>1306.9045410000001</v>
      </c>
      <c r="K1972">
        <v>2400</v>
      </c>
      <c r="L1972">
        <v>0</v>
      </c>
      <c r="M1972">
        <v>0</v>
      </c>
      <c r="N1972">
        <v>2400</v>
      </c>
    </row>
    <row r="1973" spans="1:14" x14ac:dyDescent="0.25">
      <c r="A1973">
        <v>1462.850596</v>
      </c>
      <c r="B1973" s="1">
        <f>DATE(2014,5,2) + TIME(20,24,51)</f>
        <v>41761.850590277776</v>
      </c>
      <c r="C1973">
        <v>80</v>
      </c>
      <c r="D1973">
        <v>79.431610106999997</v>
      </c>
      <c r="E1973">
        <v>50</v>
      </c>
      <c r="F1973">
        <v>49.827083588000001</v>
      </c>
      <c r="G1973">
        <v>1356.2838135</v>
      </c>
      <c r="H1973">
        <v>1349.1346435999999</v>
      </c>
      <c r="I1973">
        <v>1314.4591064000001</v>
      </c>
      <c r="J1973">
        <v>1306.9038086</v>
      </c>
      <c r="K1973">
        <v>2400</v>
      </c>
      <c r="L1973">
        <v>0</v>
      </c>
      <c r="M1973">
        <v>0</v>
      </c>
      <c r="N1973">
        <v>2400</v>
      </c>
    </row>
    <row r="1974" spans="1:14" x14ac:dyDescent="0.25">
      <c r="A1974">
        <v>1462.9437909999999</v>
      </c>
      <c r="B1974" s="1">
        <f>DATE(2014,5,2) + TIME(22,39,3)</f>
        <v>41761.943784722222</v>
      </c>
      <c r="C1974">
        <v>80</v>
      </c>
      <c r="D1974">
        <v>79.505302428999997</v>
      </c>
      <c r="E1974">
        <v>50</v>
      </c>
      <c r="F1974">
        <v>49.820892334</v>
      </c>
      <c r="G1974">
        <v>1356.2611084</v>
      </c>
      <c r="H1974">
        <v>1349.1210937999999</v>
      </c>
      <c r="I1974">
        <v>1314.4584961</v>
      </c>
      <c r="J1974">
        <v>1306.9029541</v>
      </c>
      <c r="K1974">
        <v>2400</v>
      </c>
      <c r="L1974">
        <v>0</v>
      </c>
      <c r="M1974">
        <v>0</v>
      </c>
      <c r="N1974">
        <v>2400</v>
      </c>
    </row>
    <row r="1975" spans="1:14" x14ac:dyDescent="0.25">
      <c r="A1975">
        <v>1463.0430200000001</v>
      </c>
      <c r="B1975" s="1">
        <f>DATE(2014,5,3) + TIME(1,1,56)</f>
        <v>41762.043009259258</v>
      </c>
      <c r="C1975">
        <v>80</v>
      </c>
      <c r="D1975">
        <v>79.572303771999998</v>
      </c>
      <c r="E1975">
        <v>50</v>
      </c>
      <c r="F1975">
        <v>49.814373015999998</v>
      </c>
      <c r="G1975">
        <v>1356.2379149999999</v>
      </c>
      <c r="H1975">
        <v>1349.1070557</v>
      </c>
      <c r="I1975">
        <v>1314.4578856999999</v>
      </c>
      <c r="J1975">
        <v>1306.9019774999999</v>
      </c>
      <c r="K1975">
        <v>2400</v>
      </c>
      <c r="L1975">
        <v>0</v>
      </c>
      <c r="M1975">
        <v>0</v>
      </c>
      <c r="N1975">
        <v>2400</v>
      </c>
    </row>
    <row r="1976" spans="1:14" x14ac:dyDescent="0.25">
      <c r="A1976">
        <v>1463.1490289999999</v>
      </c>
      <c r="B1976" s="1">
        <f>DATE(2014,5,3) + TIME(3,34,36)</f>
        <v>41762.149027777778</v>
      </c>
      <c r="C1976">
        <v>80</v>
      </c>
      <c r="D1976">
        <v>79.632827758999994</v>
      </c>
      <c r="E1976">
        <v>50</v>
      </c>
      <c r="F1976">
        <v>49.807483673</v>
      </c>
      <c r="G1976">
        <v>1356.2142334</v>
      </c>
      <c r="H1976">
        <v>1349.0922852000001</v>
      </c>
      <c r="I1976">
        <v>1314.4571533000001</v>
      </c>
      <c r="J1976">
        <v>1306.901001</v>
      </c>
      <c r="K1976">
        <v>2400</v>
      </c>
      <c r="L1976">
        <v>0</v>
      </c>
      <c r="M1976">
        <v>0</v>
      </c>
      <c r="N1976">
        <v>2400</v>
      </c>
    </row>
    <row r="1977" spans="1:14" x14ac:dyDescent="0.25">
      <c r="A1977">
        <v>1463.257513</v>
      </c>
      <c r="B1977" s="1">
        <f>DATE(2014,5,3) + TIME(6,10,49)</f>
        <v>41762.257511574076</v>
      </c>
      <c r="C1977">
        <v>80</v>
      </c>
      <c r="D1977">
        <v>79.685028075999995</v>
      </c>
      <c r="E1977">
        <v>50</v>
      </c>
      <c r="F1977">
        <v>49.800479889000002</v>
      </c>
      <c r="G1977">
        <v>1356.1910399999999</v>
      </c>
      <c r="H1977">
        <v>1349.0775146000001</v>
      </c>
      <c r="I1977">
        <v>1314.4564209</v>
      </c>
      <c r="J1977">
        <v>1306.8999022999999</v>
      </c>
      <c r="K1977">
        <v>2400</v>
      </c>
      <c r="L1977">
        <v>0</v>
      </c>
      <c r="M1977">
        <v>0</v>
      </c>
      <c r="N1977">
        <v>2400</v>
      </c>
    </row>
    <row r="1978" spans="1:14" x14ac:dyDescent="0.25">
      <c r="A1978">
        <v>1463.367301</v>
      </c>
      <c r="B1978" s="1">
        <f>DATE(2014,5,3) + TIME(8,48,54)</f>
        <v>41762.367291666669</v>
      </c>
      <c r="C1978">
        <v>80</v>
      </c>
      <c r="D1978">
        <v>79.729476929</v>
      </c>
      <c r="E1978">
        <v>50</v>
      </c>
      <c r="F1978">
        <v>49.793422698999997</v>
      </c>
      <c r="G1978">
        <v>1356.1682129000001</v>
      </c>
      <c r="H1978">
        <v>1349.0627440999999</v>
      </c>
      <c r="I1978">
        <v>1314.4556885</v>
      </c>
      <c r="J1978">
        <v>1306.8989257999999</v>
      </c>
      <c r="K1978">
        <v>2400</v>
      </c>
      <c r="L1978">
        <v>0</v>
      </c>
      <c r="M1978">
        <v>0</v>
      </c>
      <c r="N1978">
        <v>2400</v>
      </c>
    </row>
    <row r="1979" spans="1:14" x14ac:dyDescent="0.25">
      <c r="A1979">
        <v>1463.478055</v>
      </c>
      <c r="B1979" s="1">
        <f>DATE(2014,5,3) + TIME(11,28,23)</f>
        <v>41762.478043981479</v>
      </c>
      <c r="C1979">
        <v>80</v>
      </c>
      <c r="D1979">
        <v>79.767150878999999</v>
      </c>
      <c r="E1979">
        <v>50</v>
      </c>
      <c r="F1979">
        <v>49.786334990999997</v>
      </c>
      <c r="G1979">
        <v>1356.1456298999999</v>
      </c>
      <c r="H1979">
        <v>1349.0480957</v>
      </c>
      <c r="I1979">
        <v>1314.4548339999999</v>
      </c>
      <c r="J1979">
        <v>1306.8978271000001</v>
      </c>
      <c r="K1979">
        <v>2400</v>
      </c>
      <c r="L1979">
        <v>0</v>
      </c>
      <c r="M1979">
        <v>0</v>
      </c>
      <c r="N1979">
        <v>2400</v>
      </c>
    </row>
    <row r="1980" spans="1:14" x14ac:dyDescent="0.25">
      <c r="A1980">
        <v>1463.5900220000001</v>
      </c>
      <c r="B1980" s="1">
        <f>DATE(2014,5,3) + TIME(14,9,37)</f>
        <v>41762.590011574073</v>
      </c>
      <c r="C1980">
        <v>80</v>
      </c>
      <c r="D1980">
        <v>79.799110412999994</v>
      </c>
      <c r="E1980">
        <v>50</v>
      </c>
      <c r="F1980">
        <v>49.779201508</v>
      </c>
      <c r="G1980">
        <v>1356.1234131000001</v>
      </c>
      <c r="H1980">
        <v>1349.0333252</v>
      </c>
      <c r="I1980">
        <v>1314.4541016000001</v>
      </c>
      <c r="J1980">
        <v>1306.8967285000001</v>
      </c>
      <c r="K1980">
        <v>2400</v>
      </c>
      <c r="L1980">
        <v>0</v>
      </c>
      <c r="M1980">
        <v>0</v>
      </c>
      <c r="N1980">
        <v>2400</v>
      </c>
    </row>
    <row r="1981" spans="1:14" x14ac:dyDescent="0.25">
      <c r="A1981">
        <v>1463.703422</v>
      </c>
      <c r="B1981" s="1">
        <f>DATE(2014,5,3) + TIME(16,52,55)</f>
        <v>41762.703414351854</v>
      </c>
      <c r="C1981">
        <v>80</v>
      </c>
      <c r="D1981">
        <v>79.826225281000006</v>
      </c>
      <c r="E1981">
        <v>50</v>
      </c>
      <c r="F1981">
        <v>49.772010803000001</v>
      </c>
      <c r="G1981">
        <v>1356.1013184000001</v>
      </c>
      <c r="H1981">
        <v>1349.0185547000001</v>
      </c>
      <c r="I1981">
        <v>1314.4532471</v>
      </c>
      <c r="J1981">
        <v>1306.8956298999999</v>
      </c>
      <c r="K1981">
        <v>2400</v>
      </c>
      <c r="L1981">
        <v>0</v>
      </c>
      <c r="M1981">
        <v>0</v>
      </c>
      <c r="N1981">
        <v>2400</v>
      </c>
    </row>
    <row r="1982" spans="1:14" x14ac:dyDescent="0.25">
      <c r="A1982">
        <v>1463.8184799999999</v>
      </c>
      <c r="B1982" s="1">
        <f>DATE(2014,5,3) + TIME(19,38,36)</f>
        <v>41762.818472222221</v>
      </c>
      <c r="C1982">
        <v>80</v>
      </c>
      <c r="D1982">
        <v>79.849220275999997</v>
      </c>
      <c r="E1982">
        <v>50</v>
      </c>
      <c r="F1982">
        <v>49.764751433999997</v>
      </c>
      <c r="G1982">
        <v>1356.0793457</v>
      </c>
      <c r="H1982">
        <v>1349.0039062000001</v>
      </c>
      <c r="I1982">
        <v>1314.4525146000001</v>
      </c>
      <c r="J1982">
        <v>1306.8945312000001</v>
      </c>
      <c r="K1982">
        <v>2400</v>
      </c>
      <c r="L1982">
        <v>0</v>
      </c>
      <c r="M1982">
        <v>0</v>
      </c>
      <c r="N1982">
        <v>2400</v>
      </c>
    </row>
    <row r="1983" spans="1:14" x14ac:dyDescent="0.25">
      <c r="A1983">
        <v>1463.9354249999999</v>
      </c>
      <c r="B1983" s="1">
        <f>DATE(2014,5,3) + TIME(22,27,0)</f>
        <v>41762.935416666667</v>
      </c>
      <c r="C1983">
        <v>80</v>
      </c>
      <c r="D1983">
        <v>79.868713378999999</v>
      </c>
      <c r="E1983">
        <v>50</v>
      </c>
      <c r="F1983">
        <v>49.757408142000003</v>
      </c>
      <c r="G1983">
        <v>1356.0574951000001</v>
      </c>
      <c r="H1983">
        <v>1348.9891356999999</v>
      </c>
      <c r="I1983">
        <v>1314.4516602000001</v>
      </c>
      <c r="J1983">
        <v>1306.8934326000001</v>
      </c>
      <c r="K1983">
        <v>2400</v>
      </c>
      <c r="L1983">
        <v>0</v>
      </c>
      <c r="M1983">
        <v>0</v>
      </c>
      <c r="N1983">
        <v>2400</v>
      </c>
    </row>
    <row r="1984" spans="1:14" x14ac:dyDescent="0.25">
      <c r="A1984">
        <v>1464.054492</v>
      </c>
      <c r="B1984" s="1">
        <f>DATE(2014,5,4) + TIME(1,18,28)</f>
        <v>41763.054490740738</v>
      </c>
      <c r="C1984">
        <v>80</v>
      </c>
      <c r="D1984">
        <v>79.885223389000004</v>
      </c>
      <c r="E1984">
        <v>50</v>
      </c>
      <c r="F1984">
        <v>49.749965668000002</v>
      </c>
      <c r="G1984">
        <v>1356.0356445</v>
      </c>
      <c r="H1984">
        <v>1348.9743652</v>
      </c>
      <c r="I1984">
        <v>1314.4508057</v>
      </c>
      <c r="J1984">
        <v>1306.8923339999999</v>
      </c>
      <c r="K1984">
        <v>2400</v>
      </c>
      <c r="L1984">
        <v>0</v>
      </c>
      <c r="M1984">
        <v>0</v>
      </c>
      <c r="N1984">
        <v>2400</v>
      </c>
    </row>
    <row r="1985" spans="1:14" x14ac:dyDescent="0.25">
      <c r="A1985">
        <v>1464.175978</v>
      </c>
      <c r="B1985" s="1">
        <f>DATE(2014,5,4) + TIME(4,13,24)</f>
        <v>41763.17597222222</v>
      </c>
      <c r="C1985">
        <v>80</v>
      </c>
      <c r="D1985">
        <v>79.899192810000002</v>
      </c>
      <c r="E1985">
        <v>50</v>
      </c>
      <c r="F1985">
        <v>49.742416382000002</v>
      </c>
      <c r="G1985">
        <v>1356.0139160000001</v>
      </c>
      <c r="H1985">
        <v>1348.9594727000001</v>
      </c>
      <c r="I1985">
        <v>1314.4499512</v>
      </c>
      <c r="J1985">
        <v>1306.8911132999999</v>
      </c>
      <c r="K1985">
        <v>2400</v>
      </c>
      <c r="L1985">
        <v>0</v>
      </c>
      <c r="M1985">
        <v>0</v>
      </c>
      <c r="N1985">
        <v>2400</v>
      </c>
    </row>
    <row r="1986" spans="1:14" x14ac:dyDescent="0.25">
      <c r="A1986">
        <v>1464.300107</v>
      </c>
      <c r="B1986" s="1">
        <f>DATE(2014,5,4) + TIME(7,12,9)</f>
        <v>41763.300104166665</v>
      </c>
      <c r="C1986">
        <v>80</v>
      </c>
      <c r="D1986">
        <v>79.910995482999994</v>
      </c>
      <c r="E1986">
        <v>50</v>
      </c>
      <c r="F1986">
        <v>49.734741210999999</v>
      </c>
      <c r="G1986">
        <v>1355.9920654</v>
      </c>
      <c r="H1986">
        <v>1348.9445800999999</v>
      </c>
      <c r="I1986">
        <v>1314.4490966999999</v>
      </c>
      <c r="J1986">
        <v>1306.8900146000001</v>
      </c>
      <c r="K1986">
        <v>2400</v>
      </c>
      <c r="L1986">
        <v>0</v>
      </c>
      <c r="M1986">
        <v>0</v>
      </c>
      <c r="N1986">
        <v>2400</v>
      </c>
    </row>
    <row r="1987" spans="1:14" x14ac:dyDescent="0.25">
      <c r="A1987">
        <v>1464.4271530000001</v>
      </c>
      <c r="B1987" s="1">
        <f>DATE(2014,5,4) + TIME(10,15,6)</f>
        <v>41763.427152777775</v>
      </c>
      <c r="C1987">
        <v>80</v>
      </c>
      <c r="D1987">
        <v>79.920951842999997</v>
      </c>
      <c r="E1987">
        <v>50</v>
      </c>
      <c r="F1987">
        <v>49.726932525999999</v>
      </c>
      <c r="G1987">
        <v>1355.9700928</v>
      </c>
      <c r="H1987">
        <v>1348.9295654</v>
      </c>
      <c r="I1987">
        <v>1314.4482422000001</v>
      </c>
      <c r="J1987">
        <v>1306.8887939000001</v>
      </c>
      <c r="K1987">
        <v>2400</v>
      </c>
      <c r="L1987">
        <v>0</v>
      </c>
      <c r="M1987">
        <v>0</v>
      </c>
      <c r="N1987">
        <v>2400</v>
      </c>
    </row>
    <row r="1988" spans="1:14" x14ac:dyDescent="0.25">
      <c r="A1988">
        <v>1464.5567840000001</v>
      </c>
      <c r="B1988" s="1">
        <f>DATE(2014,5,4) + TIME(13,21,46)</f>
        <v>41763.55678240741</v>
      </c>
      <c r="C1988">
        <v>80</v>
      </c>
      <c r="D1988">
        <v>79.929290770999998</v>
      </c>
      <c r="E1988">
        <v>50</v>
      </c>
      <c r="F1988">
        <v>49.718997954999999</v>
      </c>
      <c r="G1988">
        <v>1355.9481201000001</v>
      </c>
      <c r="H1988">
        <v>1348.9145507999999</v>
      </c>
      <c r="I1988">
        <v>1314.4472656</v>
      </c>
      <c r="J1988">
        <v>1306.8875731999999</v>
      </c>
      <c r="K1988">
        <v>2400</v>
      </c>
      <c r="L1988">
        <v>0</v>
      </c>
      <c r="M1988">
        <v>0</v>
      </c>
      <c r="N1988">
        <v>2400</v>
      </c>
    </row>
    <row r="1989" spans="1:14" x14ac:dyDescent="0.25">
      <c r="A1989">
        <v>1464.6888570000001</v>
      </c>
      <c r="B1989" s="1">
        <f>DATE(2014,5,4) + TIME(16,31,57)</f>
        <v>41763.688854166663</v>
      </c>
      <c r="C1989">
        <v>80</v>
      </c>
      <c r="D1989">
        <v>79.936256408999995</v>
      </c>
      <c r="E1989">
        <v>50</v>
      </c>
      <c r="F1989">
        <v>49.710956572999997</v>
      </c>
      <c r="G1989">
        <v>1355.9261475000001</v>
      </c>
      <c r="H1989">
        <v>1348.8995361</v>
      </c>
      <c r="I1989">
        <v>1314.4464111</v>
      </c>
      <c r="J1989">
        <v>1306.8862305</v>
      </c>
      <c r="K1989">
        <v>2400</v>
      </c>
      <c r="L1989">
        <v>0</v>
      </c>
      <c r="M1989">
        <v>0</v>
      </c>
      <c r="N1989">
        <v>2400</v>
      </c>
    </row>
    <row r="1990" spans="1:14" x14ac:dyDescent="0.25">
      <c r="A1990">
        <v>1464.823619</v>
      </c>
      <c r="B1990" s="1">
        <f>DATE(2014,5,4) + TIME(19,46,0)</f>
        <v>41763.823611111111</v>
      </c>
      <c r="C1990">
        <v>80</v>
      </c>
      <c r="D1990">
        <v>79.942062378000003</v>
      </c>
      <c r="E1990">
        <v>50</v>
      </c>
      <c r="F1990">
        <v>49.702785491999997</v>
      </c>
      <c r="G1990">
        <v>1355.9042969</v>
      </c>
      <c r="H1990">
        <v>1348.8843993999999</v>
      </c>
      <c r="I1990">
        <v>1314.4454346</v>
      </c>
      <c r="J1990">
        <v>1306.8850098</v>
      </c>
      <c r="K1990">
        <v>2400</v>
      </c>
      <c r="L1990">
        <v>0</v>
      </c>
      <c r="M1990">
        <v>0</v>
      </c>
      <c r="N1990">
        <v>2400</v>
      </c>
    </row>
    <row r="1991" spans="1:14" x14ac:dyDescent="0.25">
      <c r="A1991">
        <v>1464.9613429999999</v>
      </c>
      <c r="B1991" s="1">
        <f>DATE(2014,5,4) + TIME(23,4,19)</f>
        <v>41763.961331018516</v>
      </c>
      <c r="C1991">
        <v>80</v>
      </c>
      <c r="D1991">
        <v>79.946899414000001</v>
      </c>
      <c r="E1991">
        <v>50</v>
      </c>
      <c r="F1991">
        <v>49.694480896000002</v>
      </c>
      <c r="G1991">
        <v>1355.8823242000001</v>
      </c>
      <c r="H1991">
        <v>1348.8693848</v>
      </c>
      <c r="I1991">
        <v>1314.4444579999999</v>
      </c>
      <c r="J1991">
        <v>1306.8836670000001</v>
      </c>
      <c r="K1991">
        <v>2400</v>
      </c>
      <c r="L1991">
        <v>0</v>
      </c>
      <c r="M1991">
        <v>0</v>
      </c>
      <c r="N1991">
        <v>2400</v>
      </c>
    </row>
    <row r="1992" spans="1:14" x14ac:dyDescent="0.25">
      <c r="A1992">
        <v>1465.1023210000001</v>
      </c>
      <c r="B1992" s="1">
        <f>DATE(2014,5,5) + TIME(2,27,20)</f>
        <v>41764.102314814816</v>
      </c>
      <c r="C1992">
        <v>80</v>
      </c>
      <c r="D1992">
        <v>79.950912475999999</v>
      </c>
      <c r="E1992">
        <v>50</v>
      </c>
      <c r="F1992">
        <v>49.686019897000001</v>
      </c>
      <c r="G1992">
        <v>1355.8603516000001</v>
      </c>
      <c r="H1992">
        <v>1348.8543701000001</v>
      </c>
      <c r="I1992">
        <v>1314.4434814000001</v>
      </c>
      <c r="J1992">
        <v>1306.8823242000001</v>
      </c>
      <c r="K1992">
        <v>2400</v>
      </c>
      <c r="L1992">
        <v>0</v>
      </c>
      <c r="M1992">
        <v>0</v>
      </c>
      <c r="N1992">
        <v>2400</v>
      </c>
    </row>
    <row r="1993" spans="1:14" x14ac:dyDescent="0.25">
      <c r="A1993">
        <v>1465.2468040000001</v>
      </c>
      <c r="B1993" s="1">
        <f>DATE(2014,5,5) + TIME(5,55,23)</f>
        <v>41764.246793981481</v>
      </c>
      <c r="C1993">
        <v>80</v>
      </c>
      <c r="D1993">
        <v>79.954246521000002</v>
      </c>
      <c r="E1993">
        <v>50</v>
      </c>
      <c r="F1993">
        <v>49.677394866999997</v>
      </c>
      <c r="G1993">
        <v>1355.8382568</v>
      </c>
      <c r="H1993">
        <v>1348.8392334</v>
      </c>
      <c r="I1993">
        <v>1314.4423827999999</v>
      </c>
      <c r="J1993">
        <v>1306.8809814000001</v>
      </c>
      <c r="K1993">
        <v>2400</v>
      </c>
      <c r="L1993">
        <v>0</v>
      </c>
      <c r="M1993">
        <v>0</v>
      </c>
      <c r="N1993">
        <v>2400</v>
      </c>
    </row>
    <row r="1994" spans="1:14" x14ac:dyDescent="0.25">
      <c r="A1994">
        <v>1465.3951099999999</v>
      </c>
      <c r="B1994" s="1">
        <f>DATE(2014,5,5) + TIME(9,28,57)</f>
        <v>41764.395104166666</v>
      </c>
      <c r="C1994">
        <v>80</v>
      </c>
      <c r="D1994">
        <v>79.957008361999996</v>
      </c>
      <c r="E1994">
        <v>50</v>
      </c>
      <c r="F1994">
        <v>49.668590545999997</v>
      </c>
      <c r="G1994">
        <v>1355.8161620999999</v>
      </c>
      <c r="H1994">
        <v>1348.8240966999999</v>
      </c>
      <c r="I1994">
        <v>1314.4414062000001</v>
      </c>
      <c r="J1994">
        <v>1306.8795166</v>
      </c>
      <c r="K1994">
        <v>2400</v>
      </c>
      <c r="L1994">
        <v>0</v>
      </c>
      <c r="M1994">
        <v>0</v>
      </c>
      <c r="N1994">
        <v>2400</v>
      </c>
    </row>
    <row r="1995" spans="1:14" x14ac:dyDescent="0.25">
      <c r="A1995">
        <v>1465.547585</v>
      </c>
      <c r="B1995" s="1">
        <f>DATE(2014,5,5) + TIME(13,8,31)</f>
        <v>41764.547581018516</v>
      </c>
      <c r="C1995">
        <v>80</v>
      </c>
      <c r="D1995">
        <v>79.959281920999999</v>
      </c>
      <c r="E1995">
        <v>50</v>
      </c>
      <c r="F1995">
        <v>49.659584045000003</v>
      </c>
      <c r="G1995">
        <v>1355.7938231999999</v>
      </c>
      <c r="H1995">
        <v>1348.8089600000001</v>
      </c>
      <c r="I1995">
        <v>1314.4403076000001</v>
      </c>
      <c r="J1995">
        <v>1306.8780518000001</v>
      </c>
      <c r="K1995">
        <v>2400</v>
      </c>
      <c r="L1995">
        <v>0</v>
      </c>
      <c r="M1995">
        <v>0</v>
      </c>
      <c r="N1995">
        <v>2400</v>
      </c>
    </row>
    <row r="1996" spans="1:14" x14ac:dyDescent="0.25">
      <c r="A1996">
        <v>1465.7046089999999</v>
      </c>
      <c r="B1996" s="1">
        <f>DATE(2014,5,5) + TIME(16,54,38)</f>
        <v>41764.704606481479</v>
      </c>
      <c r="C1996">
        <v>80</v>
      </c>
      <c r="D1996">
        <v>79.961158752000003</v>
      </c>
      <c r="E1996">
        <v>50</v>
      </c>
      <c r="F1996">
        <v>49.650363921999997</v>
      </c>
      <c r="G1996">
        <v>1355.7714844</v>
      </c>
      <c r="H1996">
        <v>1348.7937012</v>
      </c>
      <c r="I1996">
        <v>1314.4392089999999</v>
      </c>
      <c r="J1996">
        <v>1306.8765868999999</v>
      </c>
      <c r="K1996">
        <v>2400</v>
      </c>
      <c r="L1996">
        <v>0</v>
      </c>
      <c r="M1996">
        <v>0</v>
      </c>
      <c r="N1996">
        <v>2400</v>
      </c>
    </row>
    <row r="1997" spans="1:14" x14ac:dyDescent="0.25">
      <c r="A1997">
        <v>1465.8666009999999</v>
      </c>
      <c r="B1997" s="1">
        <f>DATE(2014,5,5) + TIME(20,47,54)</f>
        <v>41764.866597222222</v>
      </c>
      <c r="C1997">
        <v>80</v>
      </c>
      <c r="D1997">
        <v>79.962707519999995</v>
      </c>
      <c r="E1997">
        <v>50</v>
      </c>
      <c r="F1997">
        <v>49.640903473000002</v>
      </c>
      <c r="G1997">
        <v>1355.7489014</v>
      </c>
      <c r="H1997">
        <v>1348.7783202999999</v>
      </c>
      <c r="I1997">
        <v>1314.4379882999999</v>
      </c>
      <c r="J1997">
        <v>1306.8751221</v>
      </c>
      <c r="K1997">
        <v>2400</v>
      </c>
      <c r="L1997">
        <v>0</v>
      </c>
      <c r="M1997">
        <v>0</v>
      </c>
      <c r="N1997">
        <v>2400</v>
      </c>
    </row>
    <row r="1998" spans="1:14" x14ac:dyDescent="0.25">
      <c r="A1998">
        <v>1466.0340289999999</v>
      </c>
      <c r="B1998" s="1">
        <f>DATE(2014,5,6) + TIME(0,49,0)</f>
        <v>41765.03402777778</v>
      </c>
      <c r="C1998">
        <v>80</v>
      </c>
      <c r="D1998">
        <v>79.963966369999994</v>
      </c>
      <c r="E1998">
        <v>50</v>
      </c>
      <c r="F1998">
        <v>49.631183624000002</v>
      </c>
      <c r="G1998">
        <v>1355.7261963000001</v>
      </c>
      <c r="H1998">
        <v>1348.7628173999999</v>
      </c>
      <c r="I1998">
        <v>1314.4367675999999</v>
      </c>
      <c r="J1998">
        <v>1306.8734131000001</v>
      </c>
      <c r="K1998">
        <v>2400</v>
      </c>
      <c r="L1998">
        <v>0</v>
      </c>
      <c r="M1998">
        <v>0</v>
      </c>
      <c r="N1998">
        <v>2400</v>
      </c>
    </row>
    <row r="1999" spans="1:14" x14ac:dyDescent="0.25">
      <c r="A1999">
        <v>1466.207414</v>
      </c>
      <c r="B1999" s="1">
        <f>DATE(2014,5,6) + TIME(4,58,40)</f>
        <v>41765.207407407404</v>
      </c>
      <c r="C1999">
        <v>80</v>
      </c>
      <c r="D1999">
        <v>79.965003967000001</v>
      </c>
      <c r="E1999">
        <v>50</v>
      </c>
      <c r="F1999">
        <v>49.621177672999998</v>
      </c>
      <c r="G1999">
        <v>1355.7032471</v>
      </c>
      <c r="H1999">
        <v>1348.7473144999999</v>
      </c>
      <c r="I1999">
        <v>1314.4355469</v>
      </c>
      <c r="J1999">
        <v>1306.8718262</v>
      </c>
      <c r="K1999">
        <v>2400</v>
      </c>
      <c r="L1999">
        <v>0</v>
      </c>
      <c r="M1999">
        <v>0</v>
      </c>
      <c r="N1999">
        <v>2400</v>
      </c>
    </row>
    <row r="2000" spans="1:14" x14ac:dyDescent="0.25">
      <c r="A2000">
        <v>1466.3873410000001</v>
      </c>
      <c r="B2000" s="1">
        <f>DATE(2014,5,6) + TIME(9,17,46)</f>
        <v>41765.387337962966</v>
      </c>
      <c r="C2000">
        <v>80</v>
      </c>
      <c r="D2000">
        <v>79.965850829999994</v>
      </c>
      <c r="E2000">
        <v>50</v>
      </c>
      <c r="F2000">
        <v>49.610862732000001</v>
      </c>
      <c r="G2000">
        <v>1355.6799315999999</v>
      </c>
      <c r="H2000">
        <v>1348.7315673999999</v>
      </c>
      <c r="I2000">
        <v>1314.4343262</v>
      </c>
      <c r="J2000">
        <v>1306.8701172000001</v>
      </c>
      <c r="K2000">
        <v>2400</v>
      </c>
      <c r="L2000">
        <v>0</v>
      </c>
      <c r="M2000">
        <v>0</v>
      </c>
      <c r="N2000">
        <v>2400</v>
      </c>
    </row>
    <row r="2001" spans="1:14" x14ac:dyDescent="0.25">
      <c r="A2001">
        <v>1466.574476</v>
      </c>
      <c r="B2001" s="1">
        <f>DATE(2014,5,6) + TIME(13,47,14)</f>
        <v>41765.574467592596</v>
      </c>
      <c r="C2001">
        <v>80</v>
      </c>
      <c r="D2001">
        <v>79.966529846</v>
      </c>
      <c r="E2001">
        <v>50</v>
      </c>
      <c r="F2001">
        <v>49.600200653000002</v>
      </c>
      <c r="G2001">
        <v>1355.6563721</v>
      </c>
      <c r="H2001">
        <v>1348.7155762</v>
      </c>
      <c r="I2001">
        <v>1314.4329834</v>
      </c>
      <c r="J2001">
        <v>1306.8682861</v>
      </c>
      <c r="K2001">
        <v>2400</v>
      </c>
      <c r="L2001">
        <v>0</v>
      </c>
      <c r="M2001">
        <v>0</v>
      </c>
      <c r="N2001">
        <v>2400</v>
      </c>
    </row>
    <row r="2002" spans="1:14" x14ac:dyDescent="0.25">
      <c r="A2002">
        <v>1466.767276</v>
      </c>
      <c r="B2002" s="1">
        <f>DATE(2014,5,6) + TIME(18,24,52)</f>
        <v>41765.767268518517</v>
      </c>
      <c r="C2002">
        <v>80</v>
      </c>
      <c r="D2002">
        <v>79.967086792000003</v>
      </c>
      <c r="E2002">
        <v>50</v>
      </c>
      <c r="F2002">
        <v>49.589267731</v>
      </c>
      <c r="G2002">
        <v>1355.6324463000001</v>
      </c>
      <c r="H2002">
        <v>1348.6994629000001</v>
      </c>
      <c r="I2002">
        <v>1314.4315185999999</v>
      </c>
      <c r="J2002">
        <v>1306.8664550999999</v>
      </c>
      <c r="K2002">
        <v>2400</v>
      </c>
      <c r="L2002">
        <v>0</v>
      </c>
      <c r="M2002">
        <v>0</v>
      </c>
      <c r="N2002">
        <v>2400</v>
      </c>
    </row>
    <row r="2003" spans="1:14" x14ac:dyDescent="0.25">
      <c r="A2003">
        <v>1466.9659569999999</v>
      </c>
      <c r="B2003" s="1">
        <f>DATE(2014,5,6) + TIME(23,10,58)</f>
        <v>41765.965949074074</v>
      </c>
      <c r="C2003">
        <v>80</v>
      </c>
      <c r="D2003">
        <v>79.967529296999999</v>
      </c>
      <c r="E2003">
        <v>50</v>
      </c>
      <c r="F2003">
        <v>49.578052520999996</v>
      </c>
      <c r="G2003">
        <v>1355.6085204999999</v>
      </c>
      <c r="H2003">
        <v>1348.6833495999999</v>
      </c>
      <c r="I2003">
        <v>1314.4301757999999</v>
      </c>
      <c r="J2003">
        <v>1306.864624</v>
      </c>
      <c r="K2003">
        <v>2400</v>
      </c>
      <c r="L2003">
        <v>0</v>
      </c>
      <c r="M2003">
        <v>0</v>
      </c>
      <c r="N2003">
        <v>2400</v>
      </c>
    </row>
    <row r="2004" spans="1:14" x14ac:dyDescent="0.25">
      <c r="A2004">
        <v>1467.171047</v>
      </c>
      <c r="B2004" s="1">
        <f>DATE(2014,5,7) + TIME(4,6,18)</f>
        <v>41766.171041666668</v>
      </c>
      <c r="C2004">
        <v>80</v>
      </c>
      <c r="D2004">
        <v>79.967880249000004</v>
      </c>
      <c r="E2004">
        <v>50</v>
      </c>
      <c r="F2004">
        <v>49.566532135000003</v>
      </c>
      <c r="G2004">
        <v>1355.5843506000001</v>
      </c>
      <c r="H2004">
        <v>1348.6671143000001</v>
      </c>
      <c r="I2004">
        <v>1314.4285889</v>
      </c>
      <c r="J2004">
        <v>1306.8626709</v>
      </c>
      <c r="K2004">
        <v>2400</v>
      </c>
      <c r="L2004">
        <v>0</v>
      </c>
      <c r="M2004">
        <v>0</v>
      </c>
      <c r="N2004">
        <v>2400</v>
      </c>
    </row>
    <row r="2005" spans="1:14" x14ac:dyDescent="0.25">
      <c r="A2005">
        <v>1467.383124</v>
      </c>
      <c r="B2005" s="1">
        <f>DATE(2014,5,7) + TIME(9,11,41)</f>
        <v>41766.383113425924</v>
      </c>
      <c r="C2005">
        <v>80</v>
      </c>
      <c r="D2005">
        <v>79.968162536999998</v>
      </c>
      <c r="E2005">
        <v>50</v>
      </c>
      <c r="F2005">
        <v>49.554679870999998</v>
      </c>
      <c r="G2005">
        <v>1355.5600586</v>
      </c>
      <c r="H2005">
        <v>1348.6508789</v>
      </c>
      <c r="I2005">
        <v>1314.427124</v>
      </c>
      <c r="J2005">
        <v>1306.8605957</v>
      </c>
      <c r="K2005">
        <v>2400</v>
      </c>
      <c r="L2005">
        <v>0</v>
      </c>
      <c r="M2005">
        <v>0</v>
      </c>
      <c r="N2005">
        <v>2400</v>
      </c>
    </row>
    <row r="2006" spans="1:14" x14ac:dyDescent="0.25">
      <c r="A2006">
        <v>1467.6028309999999</v>
      </c>
      <c r="B2006" s="1">
        <f>DATE(2014,5,7) + TIME(14,28,4)</f>
        <v>41766.602824074071</v>
      </c>
      <c r="C2006">
        <v>80</v>
      </c>
      <c r="D2006">
        <v>79.968383789000001</v>
      </c>
      <c r="E2006">
        <v>50</v>
      </c>
      <c r="F2006">
        <v>49.542472838999998</v>
      </c>
      <c r="G2006">
        <v>1355.5355225000001</v>
      </c>
      <c r="H2006">
        <v>1348.6345214999999</v>
      </c>
      <c r="I2006">
        <v>1314.4255370999999</v>
      </c>
      <c r="J2006">
        <v>1306.8585204999999</v>
      </c>
      <c r="K2006">
        <v>2400</v>
      </c>
      <c r="L2006">
        <v>0</v>
      </c>
      <c r="M2006">
        <v>0</v>
      </c>
      <c r="N2006">
        <v>2400</v>
      </c>
    </row>
    <row r="2007" spans="1:14" x14ac:dyDescent="0.25">
      <c r="A2007">
        <v>1467.8294619999999</v>
      </c>
      <c r="B2007" s="1">
        <f>DATE(2014,5,7) + TIME(19,54,25)</f>
        <v>41766.829456018517</v>
      </c>
      <c r="C2007">
        <v>80</v>
      </c>
      <c r="D2007">
        <v>79.968559264999996</v>
      </c>
      <c r="E2007">
        <v>50</v>
      </c>
      <c r="F2007">
        <v>49.529941559000001</v>
      </c>
      <c r="G2007">
        <v>1355.5107422000001</v>
      </c>
      <c r="H2007">
        <v>1348.6180420000001</v>
      </c>
      <c r="I2007">
        <v>1314.4238281</v>
      </c>
      <c r="J2007">
        <v>1306.8563231999999</v>
      </c>
      <c r="K2007">
        <v>2400</v>
      </c>
      <c r="L2007">
        <v>0</v>
      </c>
      <c r="M2007">
        <v>0</v>
      </c>
      <c r="N2007">
        <v>2400</v>
      </c>
    </row>
    <row r="2008" spans="1:14" x14ac:dyDescent="0.25">
      <c r="A2008">
        <v>1468.0584940000001</v>
      </c>
      <c r="B2008" s="1">
        <f>DATE(2014,5,8) + TIME(1,24,13)</f>
        <v>41767.058483796296</v>
      </c>
      <c r="C2008">
        <v>80</v>
      </c>
      <c r="D2008">
        <v>79.968696593999994</v>
      </c>
      <c r="E2008">
        <v>50</v>
      </c>
      <c r="F2008">
        <v>49.517280579000001</v>
      </c>
      <c r="G2008">
        <v>1355.4858397999999</v>
      </c>
      <c r="H2008">
        <v>1348.6014404</v>
      </c>
      <c r="I2008">
        <v>1314.4221190999999</v>
      </c>
      <c r="J2008">
        <v>1306.8540039</v>
      </c>
      <c r="K2008">
        <v>2400</v>
      </c>
      <c r="L2008">
        <v>0</v>
      </c>
      <c r="M2008">
        <v>0</v>
      </c>
      <c r="N2008">
        <v>2400</v>
      </c>
    </row>
    <row r="2009" spans="1:14" x14ac:dyDescent="0.25">
      <c r="A2009">
        <v>1468.2904610000001</v>
      </c>
      <c r="B2009" s="1">
        <f>DATE(2014,5,8) + TIME(6,58,15)</f>
        <v>41767.290451388886</v>
      </c>
      <c r="C2009">
        <v>80</v>
      </c>
      <c r="D2009">
        <v>79.968803406000006</v>
      </c>
      <c r="E2009">
        <v>50</v>
      </c>
      <c r="F2009">
        <v>49.504478454999997</v>
      </c>
      <c r="G2009">
        <v>1355.4614257999999</v>
      </c>
      <c r="H2009">
        <v>1348.5852050999999</v>
      </c>
      <c r="I2009">
        <v>1314.4204102000001</v>
      </c>
      <c r="J2009">
        <v>1306.8516846</v>
      </c>
      <c r="K2009">
        <v>2400</v>
      </c>
      <c r="L2009">
        <v>0</v>
      </c>
      <c r="M2009">
        <v>0</v>
      </c>
      <c r="N2009">
        <v>2400</v>
      </c>
    </row>
    <row r="2010" spans="1:14" x14ac:dyDescent="0.25">
      <c r="A2010">
        <v>1468.5258960000001</v>
      </c>
      <c r="B2010" s="1">
        <f>DATE(2014,5,8) + TIME(12,37,17)</f>
        <v>41767.525891203702</v>
      </c>
      <c r="C2010">
        <v>80</v>
      </c>
      <c r="D2010">
        <v>79.968887328999998</v>
      </c>
      <c r="E2010">
        <v>50</v>
      </c>
      <c r="F2010">
        <v>49.491523743000002</v>
      </c>
      <c r="G2010">
        <v>1355.4372559000001</v>
      </c>
      <c r="H2010">
        <v>1348.5692139</v>
      </c>
      <c r="I2010">
        <v>1314.4185791</v>
      </c>
      <c r="J2010">
        <v>1306.8493652</v>
      </c>
      <c r="K2010">
        <v>2400</v>
      </c>
      <c r="L2010">
        <v>0</v>
      </c>
      <c r="M2010">
        <v>0</v>
      </c>
      <c r="N2010">
        <v>2400</v>
      </c>
    </row>
    <row r="2011" spans="1:14" x14ac:dyDescent="0.25">
      <c r="A2011">
        <v>1468.7653740000001</v>
      </c>
      <c r="B2011" s="1">
        <f>DATE(2014,5,8) + TIME(18,22,8)</f>
        <v>41767.765370370369</v>
      </c>
      <c r="C2011">
        <v>80</v>
      </c>
      <c r="D2011">
        <v>79.968948363999999</v>
      </c>
      <c r="E2011">
        <v>50</v>
      </c>
      <c r="F2011">
        <v>49.478393554999997</v>
      </c>
      <c r="G2011">
        <v>1355.4132079999999</v>
      </c>
      <c r="H2011">
        <v>1348.5534668</v>
      </c>
      <c r="I2011">
        <v>1314.4167480000001</v>
      </c>
      <c r="J2011">
        <v>1306.8470459</v>
      </c>
      <c r="K2011">
        <v>2400</v>
      </c>
      <c r="L2011">
        <v>0</v>
      </c>
      <c r="M2011">
        <v>0</v>
      </c>
      <c r="N2011">
        <v>2400</v>
      </c>
    </row>
    <row r="2012" spans="1:14" x14ac:dyDescent="0.25">
      <c r="A2012">
        <v>1469.0079679999999</v>
      </c>
      <c r="B2012" s="1">
        <f>DATE(2014,5,9) + TIME(0,11,28)</f>
        <v>41768.007962962962</v>
      </c>
      <c r="C2012">
        <v>80</v>
      </c>
      <c r="D2012">
        <v>79.968994140999996</v>
      </c>
      <c r="E2012">
        <v>50</v>
      </c>
      <c r="F2012">
        <v>49.465133667000003</v>
      </c>
      <c r="G2012">
        <v>1355.3895264</v>
      </c>
      <c r="H2012">
        <v>1348.5378418</v>
      </c>
      <c r="I2012">
        <v>1314.4149170000001</v>
      </c>
      <c r="J2012">
        <v>1306.8446045000001</v>
      </c>
      <c r="K2012">
        <v>2400</v>
      </c>
      <c r="L2012">
        <v>0</v>
      </c>
      <c r="M2012">
        <v>0</v>
      </c>
      <c r="N2012">
        <v>2400</v>
      </c>
    </row>
    <row r="2013" spans="1:14" x14ac:dyDescent="0.25">
      <c r="A2013">
        <v>1469.2527640000001</v>
      </c>
      <c r="B2013" s="1">
        <f>DATE(2014,5,9) + TIME(6,3,58)</f>
        <v>41768.252754629626</v>
      </c>
      <c r="C2013">
        <v>80</v>
      </c>
      <c r="D2013">
        <v>79.969024657999995</v>
      </c>
      <c r="E2013">
        <v>50</v>
      </c>
      <c r="F2013">
        <v>49.451786040999998</v>
      </c>
      <c r="G2013">
        <v>1355.3659668</v>
      </c>
      <c r="H2013">
        <v>1348.5223389</v>
      </c>
      <c r="I2013">
        <v>1314.4130858999999</v>
      </c>
      <c r="J2013">
        <v>1306.8421631000001</v>
      </c>
      <c r="K2013">
        <v>2400</v>
      </c>
      <c r="L2013">
        <v>0</v>
      </c>
      <c r="M2013">
        <v>0</v>
      </c>
      <c r="N2013">
        <v>2400</v>
      </c>
    </row>
    <row r="2014" spans="1:14" x14ac:dyDescent="0.25">
      <c r="A2014">
        <v>1469.5002469999999</v>
      </c>
      <c r="B2014" s="1">
        <f>DATE(2014,5,9) + TIME(12,0,21)</f>
        <v>41768.500243055554</v>
      </c>
      <c r="C2014">
        <v>80</v>
      </c>
      <c r="D2014">
        <v>79.969047545999999</v>
      </c>
      <c r="E2014">
        <v>50</v>
      </c>
      <c r="F2014">
        <v>49.438335418999998</v>
      </c>
      <c r="G2014">
        <v>1355.3428954999999</v>
      </c>
      <c r="H2014">
        <v>1348.5072021000001</v>
      </c>
      <c r="I2014">
        <v>1314.4111327999999</v>
      </c>
      <c r="J2014">
        <v>1306.8397216999999</v>
      </c>
      <c r="K2014">
        <v>2400</v>
      </c>
      <c r="L2014">
        <v>0</v>
      </c>
      <c r="M2014">
        <v>0</v>
      </c>
      <c r="N2014">
        <v>2400</v>
      </c>
    </row>
    <row r="2015" spans="1:14" x14ac:dyDescent="0.25">
      <c r="A2015">
        <v>1469.7509050000001</v>
      </c>
      <c r="B2015" s="1">
        <f>DATE(2014,5,9) + TIME(18,1,18)</f>
        <v>41768.750902777778</v>
      </c>
      <c r="C2015">
        <v>80</v>
      </c>
      <c r="D2015">
        <v>79.969062804999993</v>
      </c>
      <c r="E2015">
        <v>50</v>
      </c>
      <c r="F2015">
        <v>49.424770355</v>
      </c>
      <c r="G2015">
        <v>1355.3200684000001</v>
      </c>
      <c r="H2015">
        <v>1348.4921875</v>
      </c>
      <c r="I2015">
        <v>1314.4093018000001</v>
      </c>
      <c r="J2015">
        <v>1306.8371582</v>
      </c>
      <c r="K2015">
        <v>2400</v>
      </c>
      <c r="L2015">
        <v>0</v>
      </c>
      <c r="M2015">
        <v>0</v>
      </c>
      <c r="N2015">
        <v>2400</v>
      </c>
    </row>
    <row r="2016" spans="1:14" x14ac:dyDescent="0.25">
      <c r="A2016">
        <v>1470.005339</v>
      </c>
      <c r="B2016" s="1">
        <f>DATE(2014,5,10) + TIME(0,7,41)</f>
        <v>41769.005335648151</v>
      </c>
      <c r="C2016">
        <v>80</v>
      </c>
      <c r="D2016">
        <v>79.969070435000006</v>
      </c>
      <c r="E2016">
        <v>50</v>
      </c>
      <c r="F2016">
        <v>49.411060333000002</v>
      </c>
      <c r="G2016">
        <v>1355.2974853999999</v>
      </c>
      <c r="H2016">
        <v>1348.4774170000001</v>
      </c>
      <c r="I2016">
        <v>1314.4073486</v>
      </c>
      <c r="J2016">
        <v>1306.8345947</v>
      </c>
      <c r="K2016">
        <v>2400</v>
      </c>
      <c r="L2016">
        <v>0</v>
      </c>
      <c r="M2016">
        <v>0</v>
      </c>
      <c r="N2016">
        <v>2400</v>
      </c>
    </row>
    <row r="2017" spans="1:14" x14ac:dyDescent="0.25">
      <c r="A2017">
        <v>1470.263968</v>
      </c>
      <c r="B2017" s="1">
        <f>DATE(2014,5,10) + TIME(6,20,6)</f>
        <v>41769.263958333337</v>
      </c>
      <c r="C2017">
        <v>80</v>
      </c>
      <c r="D2017">
        <v>79.969078064000001</v>
      </c>
      <c r="E2017">
        <v>50</v>
      </c>
      <c r="F2017">
        <v>49.397197722999998</v>
      </c>
      <c r="G2017">
        <v>1355.2750243999999</v>
      </c>
      <c r="H2017">
        <v>1348.4628906</v>
      </c>
      <c r="I2017">
        <v>1314.4053954999999</v>
      </c>
      <c r="J2017">
        <v>1306.8320312000001</v>
      </c>
      <c r="K2017">
        <v>2400</v>
      </c>
      <c r="L2017">
        <v>0</v>
      </c>
      <c r="M2017">
        <v>0</v>
      </c>
      <c r="N2017">
        <v>2400</v>
      </c>
    </row>
    <row r="2018" spans="1:14" x14ac:dyDescent="0.25">
      <c r="A2018">
        <v>1470.527339</v>
      </c>
      <c r="B2018" s="1">
        <f>DATE(2014,5,10) + TIME(12,39,22)</f>
        <v>41769.527337962965</v>
      </c>
      <c r="C2018">
        <v>80</v>
      </c>
      <c r="D2018">
        <v>79.969070435000006</v>
      </c>
      <c r="E2018">
        <v>50</v>
      </c>
      <c r="F2018">
        <v>49.383155823000003</v>
      </c>
      <c r="G2018">
        <v>1355.2526855000001</v>
      </c>
      <c r="H2018">
        <v>1348.4483643000001</v>
      </c>
      <c r="I2018">
        <v>1314.4033202999999</v>
      </c>
      <c r="J2018">
        <v>1306.8293457</v>
      </c>
      <c r="K2018">
        <v>2400</v>
      </c>
      <c r="L2018">
        <v>0</v>
      </c>
      <c r="M2018">
        <v>0</v>
      </c>
      <c r="N2018">
        <v>2400</v>
      </c>
    </row>
    <row r="2019" spans="1:14" x14ac:dyDescent="0.25">
      <c r="A2019">
        <v>1470.7960350000001</v>
      </c>
      <c r="B2019" s="1">
        <f>DATE(2014,5,10) + TIME(19,6,17)</f>
        <v>41769.796030092592</v>
      </c>
      <c r="C2019">
        <v>80</v>
      </c>
      <c r="D2019">
        <v>79.969062804999993</v>
      </c>
      <c r="E2019">
        <v>50</v>
      </c>
      <c r="F2019">
        <v>49.368911742999998</v>
      </c>
      <c r="G2019">
        <v>1355.2305908000001</v>
      </c>
      <c r="H2019">
        <v>1348.4339600000001</v>
      </c>
      <c r="I2019">
        <v>1314.4012451000001</v>
      </c>
      <c r="J2019">
        <v>1306.8266602000001</v>
      </c>
      <c r="K2019">
        <v>2400</v>
      </c>
      <c r="L2019">
        <v>0</v>
      </c>
      <c r="M2019">
        <v>0</v>
      </c>
      <c r="N2019">
        <v>2400</v>
      </c>
    </row>
    <row r="2020" spans="1:14" x14ac:dyDescent="0.25">
      <c r="A2020">
        <v>1471.070684</v>
      </c>
      <c r="B2020" s="1">
        <f>DATE(2014,5,11) + TIME(1,41,47)</f>
        <v>41770.07068287037</v>
      </c>
      <c r="C2020">
        <v>80</v>
      </c>
      <c r="D2020">
        <v>79.969055175999998</v>
      </c>
      <c r="E2020">
        <v>50</v>
      </c>
      <c r="F2020">
        <v>49.354434967000003</v>
      </c>
      <c r="G2020">
        <v>1355.208374</v>
      </c>
      <c r="H2020">
        <v>1348.4196777</v>
      </c>
      <c r="I2020">
        <v>1314.3991699000001</v>
      </c>
      <c r="J2020">
        <v>1306.8239745999999</v>
      </c>
      <c r="K2020">
        <v>2400</v>
      </c>
      <c r="L2020">
        <v>0</v>
      </c>
      <c r="M2020">
        <v>0</v>
      </c>
      <c r="N2020">
        <v>2400</v>
      </c>
    </row>
    <row r="2021" spans="1:14" x14ac:dyDescent="0.25">
      <c r="A2021">
        <v>1471.351962</v>
      </c>
      <c r="B2021" s="1">
        <f>DATE(2014,5,11) + TIME(8,26,49)</f>
        <v>41770.351956018516</v>
      </c>
      <c r="C2021">
        <v>80</v>
      </c>
      <c r="D2021">
        <v>79.969039917000003</v>
      </c>
      <c r="E2021">
        <v>50</v>
      </c>
      <c r="F2021">
        <v>49.339702606000003</v>
      </c>
      <c r="G2021">
        <v>1355.1862793</v>
      </c>
      <c r="H2021">
        <v>1348.4052733999999</v>
      </c>
      <c r="I2021">
        <v>1314.3970947</v>
      </c>
      <c r="J2021">
        <v>1306.8211670000001</v>
      </c>
      <c r="K2021">
        <v>2400</v>
      </c>
      <c r="L2021">
        <v>0</v>
      </c>
      <c r="M2021">
        <v>0</v>
      </c>
      <c r="N2021">
        <v>2400</v>
      </c>
    </row>
    <row r="2022" spans="1:14" x14ac:dyDescent="0.25">
      <c r="A2022">
        <v>1471.6406079999999</v>
      </c>
      <c r="B2022" s="1">
        <f>DATE(2014,5,11) + TIME(15,22,28)</f>
        <v>41770.640601851854</v>
      </c>
      <c r="C2022">
        <v>80</v>
      </c>
      <c r="D2022">
        <v>79.969024657999995</v>
      </c>
      <c r="E2022">
        <v>50</v>
      </c>
      <c r="F2022">
        <v>49.324676513999997</v>
      </c>
      <c r="G2022">
        <v>1355.1641846</v>
      </c>
      <c r="H2022">
        <v>1348.3909911999999</v>
      </c>
      <c r="I2022">
        <v>1314.3947754000001</v>
      </c>
      <c r="J2022">
        <v>1306.8182373</v>
      </c>
      <c r="K2022">
        <v>2400</v>
      </c>
      <c r="L2022">
        <v>0</v>
      </c>
      <c r="M2022">
        <v>0</v>
      </c>
      <c r="N2022">
        <v>2400</v>
      </c>
    </row>
    <row r="2023" spans="1:14" x14ac:dyDescent="0.25">
      <c r="A2023">
        <v>1471.937439</v>
      </c>
      <c r="B2023" s="1">
        <f>DATE(2014,5,11) + TIME(22,29,54)</f>
        <v>41770.937430555554</v>
      </c>
      <c r="C2023">
        <v>80</v>
      </c>
      <c r="D2023">
        <v>79.969009399000001</v>
      </c>
      <c r="E2023">
        <v>50</v>
      </c>
      <c r="F2023">
        <v>49.309329986999998</v>
      </c>
      <c r="G2023">
        <v>1355.1418457</v>
      </c>
      <c r="H2023">
        <v>1348.3767089999999</v>
      </c>
      <c r="I2023">
        <v>1314.3925781</v>
      </c>
      <c r="J2023">
        <v>1306.8151855000001</v>
      </c>
      <c r="K2023">
        <v>2400</v>
      </c>
      <c r="L2023">
        <v>0</v>
      </c>
      <c r="M2023">
        <v>0</v>
      </c>
      <c r="N2023">
        <v>2400</v>
      </c>
    </row>
    <row r="2024" spans="1:14" x14ac:dyDescent="0.25">
      <c r="A2024">
        <v>1472.2433570000001</v>
      </c>
      <c r="B2024" s="1">
        <f>DATE(2014,5,12) + TIME(5,50,26)</f>
        <v>41771.243356481478</v>
      </c>
      <c r="C2024">
        <v>80</v>
      </c>
      <c r="D2024">
        <v>79.968986510999997</v>
      </c>
      <c r="E2024">
        <v>50</v>
      </c>
      <c r="F2024">
        <v>49.293617249</v>
      </c>
      <c r="G2024">
        <v>1355.1195068</v>
      </c>
      <c r="H2024">
        <v>1348.3623047000001</v>
      </c>
      <c r="I2024">
        <v>1314.3902588000001</v>
      </c>
      <c r="J2024">
        <v>1306.8121338000001</v>
      </c>
      <c r="K2024">
        <v>2400</v>
      </c>
      <c r="L2024">
        <v>0</v>
      </c>
      <c r="M2024">
        <v>0</v>
      </c>
      <c r="N2024">
        <v>2400</v>
      </c>
    </row>
    <row r="2025" spans="1:14" x14ac:dyDescent="0.25">
      <c r="A2025">
        <v>1472.5559390000001</v>
      </c>
      <c r="B2025" s="1">
        <f>DATE(2014,5,12) + TIME(13,20,33)</f>
        <v>41771.555937500001</v>
      </c>
      <c r="C2025">
        <v>80</v>
      </c>
      <c r="D2025">
        <v>79.968971252000003</v>
      </c>
      <c r="E2025">
        <v>50</v>
      </c>
      <c r="F2025">
        <v>49.277629851999997</v>
      </c>
      <c r="G2025">
        <v>1355.0969238</v>
      </c>
      <c r="H2025">
        <v>1348.3477783000001</v>
      </c>
      <c r="I2025">
        <v>1314.3878173999999</v>
      </c>
      <c r="J2025">
        <v>1306.8089600000001</v>
      </c>
      <c r="K2025">
        <v>2400</v>
      </c>
      <c r="L2025">
        <v>0</v>
      </c>
      <c r="M2025">
        <v>0</v>
      </c>
      <c r="N2025">
        <v>2400</v>
      </c>
    </row>
    <row r="2026" spans="1:14" x14ac:dyDescent="0.25">
      <c r="A2026">
        <v>1472.8741460000001</v>
      </c>
      <c r="B2026" s="1">
        <f>DATE(2014,5,12) + TIME(20,58,46)</f>
        <v>41771.874143518522</v>
      </c>
      <c r="C2026">
        <v>80</v>
      </c>
      <c r="D2026">
        <v>79.968940735000004</v>
      </c>
      <c r="E2026">
        <v>50</v>
      </c>
      <c r="F2026">
        <v>49.261405945</v>
      </c>
      <c r="G2026">
        <v>1355.0743408000001</v>
      </c>
      <c r="H2026">
        <v>1348.3332519999999</v>
      </c>
      <c r="I2026">
        <v>1314.3852539</v>
      </c>
      <c r="J2026">
        <v>1306.8056641000001</v>
      </c>
      <c r="K2026">
        <v>2400</v>
      </c>
      <c r="L2026">
        <v>0</v>
      </c>
      <c r="M2026">
        <v>0</v>
      </c>
      <c r="N2026">
        <v>2400</v>
      </c>
    </row>
    <row r="2027" spans="1:14" x14ac:dyDescent="0.25">
      <c r="A2027">
        <v>1473.1985099999999</v>
      </c>
      <c r="B2027" s="1">
        <f>DATE(2014,5,13) + TIME(4,45,51)</f>
        <v>41772.198506944442</v>
      </c>
      <c r="C2027">
        <v>80</v>
      </c>
      <c r="D2027">
        <v>79.968917847</v>
      </c>
      <c r="E2027">
        <v>50</v>
      </c>
      <c r="F2027">
        <v>49.244937897</v>
      </c>
      <c r="G2027">
        <v>1355.0518798999999</v>
      </c>
      <c r="H2027">
        <v>1348.3189697</v>
      </c>
      <c r="I2027">
        <v>1314.3828125</v>
      </c>
      <c r="J2027">
        <v>1306.8023682</v>
      </c>
      <c r="K2027">
        <v>2400</v>
      </c>
      <c r="L2027">
        <v>0</v>
      </c>
      <c r="M2027">
        <v>0</v>
      </c>
      <c r="N2027">
        <v>2400</v>
      </c>
    </row>
    <row r="2028" spans="1:14" x14ac:dyDescent="0.25">
      <c r="A2028">
        <v>1473.529693</v>
      </c>
      <c r="B2028" s="1">
        <f>DATE(2014,5,13) + TIME(12,42,45)</f>
        <v>41772.529687499999</v>
      </c>
      <c r="C2028">
        <v>80</v>
      </c>
      <c r="D2028">
        <v>79.968894958000007</v>
      </c>
      <c r="E2028">
        <v>50</v>
      </c>
      <c r="F2028">
        <v>49.22820282</v>
      </c>
      <c r="G2028">
        <v>1355.0295410000001</v>
      </c>
      <c r="H2028">
        <v>1348.3045654</v>
      </c>
      <c r="I2028">
        <v>1314.3801269999999</v>
      </c>
      <c r="J2028">
        <v>1306.7989502</v>
      </c>
      <c r="K2028">
        <v>2400</v>
      </c>
      <c r="L2028">
        <v>0</v>
      </c>
      <c r="M2028">
        <v>0</v>
      </c>
      <c r="N2028">
        <v>2400</v>
      </c>
    </row>
    <row r="2029" spans="1:14" x14ac:dyDescent="0.25">
      <c r="A2029">
        <v>1473.868412</v>
      </c>
      <c r="B2029" s="1">
        <f>DATE(2014,5,13) + TIME(20,50,30)</f>
        <v>41772.868402777778</v>
      </c>
      <c r="C2029">
        <v>80</v>
      </c>
      <c r="D2029">
        <v>79.968864440999994</v>
      </c>
      <c r="E2029">
        <v>50</v>
      </c>
      <c r="F2029">
        <v>49.211181641000003</v>
      </c>
      <c r="G2029">
        <v>1355.0070800999999</v>
      </c>
      <c r="H2029">
        <v>1348.2902832</v>
      </c>
      <c r="I2029">
        <v>1314.3775635</v>
      </c>
      <c r="J2029">
        <v>1306.7955322</v>
      </c>
      <c r="K2029">
        <v>2400</v>
      </c>
      <c r="L2029">
        <v>0</v>
      </c>
      <c r="M2029">
        <v>0</v>
      </c>
      <c r="N2029">
        <v>2400</v>
      </c>
    </row>
    <row r="2030" spans="1:14" x14ac:dyDescent="0.25">
      <c r="A2030">
        <v>1474.215451</v>
      </c>
      <c r="B2030" s="1">
        <f>DATE(2014,5,14) + TIME(5,10,14)</f>
        <v>41773.215439814812</v>
      </c>
      <c r="C2030">
        <v>80</v>
      </c>
      <c r="D2030">
        <v>79.968841553000004</v>
      </c>
      <c r="E2030">
        <v>50</v>
      </c>
      <c r="F2030">
        <v>49.193843842</v>
      </c>
      <c r="G2030">
        <v>1354.9847411999999</v>
      </c>
      <c r="H2030">
        <v>1348.276001</v>
      </c>
      <c r="I2030">
        <v>1314.3747559000001</v>
      </c>
      <c r="J2030">
        <v>1306.7918701000001</v>
      </c>
      <c r="K2030">
        <v>2400</v>
      </c>
      <c r="L2030">
        <v>0</v>
      </c>
      <c r="M2030">
        <v>0</v>
      </c>
      <c r="N2030">
        <v>2400</v>
      </c>
    </row>
    <row r="2031" spans="1:14" x14ac:dyDescent="0.25">
      <c r="A2031">
        <v>1474.571672</v>
      </c>
      <c r="B2031" s="1">
        <f>DATE(2014,5,14) + TIME(13,43,12)</f>
        <v>41773.571666666663</v>
      </c>
      <c r="C2031">
        <v>80</v>
      </c>
      <c r="D2031">
        <v>79.968811035000002</v>
      </c>
      <c r="E2031">
        <v>50</v>
      </c>
      <c r="F2031">
        <v>49.176158905000001</v>
      </c>
      <c r="G2031">
        <v>1354.9622803</v>
      </c>
      <c r="H2031">
        <v>1348.2617187999999</v>
      </c>
      <c r="I2031">
        <v>1314.3719481999999</v>
      </c>
      <c r="J2031">
        <v>1306.7882079999999</v>
      </c>
      <c r="K2031">
        <v>2400</v>
      </c>
      <c r="L2031">
        <v>0</v>
      </c>
      <c r="M2031">
        <v>0</v>
      </c>
      <c r="N2031">
        <v>2400</v>
      </c>
    </row>
    <row r="2032" spans="1:14" x14ac:dyDescent="0.25">
      <c r="A2032">
        <v>1474.9380430000001</v>
      </c>
      <c r="B2032" s="1">
        <f>DATE(2014,5,14) + TIME(22,30,46)</f>
        <v>41773.938032407408</v>
      </c>
      <c r="C2032">
        <v>80</v>
      </c>
      <c r="D2032">
        <v>79.968780518000003</v>
      </c>
      <c r="E2032">
        <v>50</v>
      </c>
      <c r="F2032">
        <v>49.158088683999999</v>
      </c>
      <c r="G2032">
        <v>1354.9396973</v>
      </c>
      <c r="H2032">
        <v>1348.2473144999999</v>
      </c>
      <c r="I2032">
        <v>1314.3691406</v>
      </c>
      <c r="J2032">
        <v>1306.7844238</v>
      </c>
      <c r="K2032">
        <v>2400</v>
      </c>
      <c r="L2032">
        <v>0</v>
      </c>
      <c r="M2032">
        <v>0</v>
      </c>
      <c r="N2032">
        <v>2400</v>
      </c>
    </row>
    <row r="2033" spans="1:14" x14ac:dyDescent="0.25">
      <c r="A2033">
        <v>1475.309536</v>
      </c>
      <c r="B2033" s="1">
        <f>DATE(2014,5,15) + TIME(7,25,43)</f>
        <v>41774.309525462966</v>
      </c>
      <c r="C2033">
        <v>80</v>
      </c>
      <c r="D2033">
        <v>79.96875</v>
      </c>
      <c r="E2033">
        <v>50</v>
      </c>
      <c r="F2033">
        <v>49.139804839999996</v>
      </c>
      <c r="G2033">
        <v>1354.9168701000001</v>
      </c>
      <c r="H2033">
        <v>1348.2329102000001</v>
      </c>
      <c r="I2033">
        <v>1314.3660889</v>
      </c>
      <c r="J2033">
        <v>1306.7805175999999</v>
      </c>
      <c r="K2033">
        <v>2400</v>
      </c>
      <c r="L2033">
        <v>0</v>
      </c>
      <c r="M2033">
        <v>0</v>
      </c>
      <c r="N2033">
        <v>2400</v>
      </c>
    </row>
    <row r="2034" spans="1:14" x14ac:dyDescent="0.25">
      <c r="A2034">
        <v>1475.6833819999999</v>
      </c>
      <c r="B2034" s="1">
        <f>DATE(2014,5,15) + TIME(16,24,4)</f>
        <v>41774.683379629627</v>
      </c>
      <c r="C2034">
        <v>80</v>
      </c>
      <c r="D2034">
        <v>79.968719481999997</v>
      </c>
      <c r="E2034">
        <v>50</v>
      </c>
      <c r="F2034">
        <v>49.121417999000002</v>
      </c>
      <c r="G2034">
        <v>1354.8942870999999</v>
      </c>
      <c r="H2034">
        <v>1348.2186279</v>
      </c>
      <c r="I2034">
        <v>1314.3630370999999</v>
      </c>
      <c r="J2034">
        <v>1306.7764893000001</v>
      </c>
      <c r="K2034">
        <v>2400</v>
      </c>
      <c r="L2034">
        <v>0</v>
      </c>
      <c r="M2034">
        <v>0</v>
      </c>
      <c r="N2034">
        <v>2400</v>
      </c>
    </row>
    <row r="2035" spans="1:14" x14ac:dyDescent="0.25">
      <c r="A2035">
        <v>1476.06042</v>
      </c>
      <c r="B2035" s="1">
        <f>DATE(2014,5,16) + TIME(1,27,0)</f>
        <v>41775.060416666667</v>
      </c>
      <c r="C2035">
        <v>80</v>
      </c>
      <c r="D2035">
        <v>79.968688964999998</v>
      </c>
      <c r="E2035">
        <v>50</v>
      </c>
      <c r="F2035">
        <v>49.102920531999999</v>
      </c>
      <c r="G2035">
        <v>1354.8720702999999</v>
      </c>
      <c r="H2035">
        <v>1348.2044678</v>
      </c>
      <c r="I2035">
        <v>1314.3599853999999</v>
      </c>
      <c r="J2035">
        <v>1306.7724608999999</v>
      </c>
      <c r="K2035">
        <v>2400</v>
      </c>
      <c r="L2035">
        <v>0</v>
      </c>
      <c r="M2035">
        <v>0</v>
      </c>
      <c r="N2035">
        <v>2400</v>
      </c>
    </row>
    <row r="2036" spans="1:14" x14ac:dyDescent="0.25">
      <c r="A2036">
        <v>1476.441626</v>
      </c>
      <c r="B2036" s="1">
        <f>DATE(2014,5,16) + TIME(10,35,56)</f>
        <v>41775.441620370373</v>
      </c>
      <c r="C2036">
        <v>80</v>
      </c>
      <c r="D2036">
        <v>79.968658446999996</v>
      </c>
      <c r="E2036">
        <v>50</v>
      </c>
      <c r="F2036">
        <v>49.084300995</v>
      </c>
      <c r="G2036">
        <v>1354.8500977000001</v>
      </c>
      <c r="H2036">
        <v>1348.1905518000001</v>
      </c>
      <c r="I2036">
        <v>1314.3569336</v>
      </c>
      <c r="J2036">
        <v>1306.7684326000001</v>
      </c>
      <c r="K2036">
        <v>2400</v>
      </c>
      <c r="L2036">
        <v>0</v>
      </c>
      <c r="M2036">
        <v>0</v>
      </c>
      <c r="N2036">
        <v>2400</v>
      </c>
    </row>
    <row r="2037" spans="1:14" x14ac:dyDescent="0.25">
      <c r="A2037">
        <v>1476.827708</v>
      </c>
      <c r="B2037" s="1">
        <f>DATE(2014,5,16) + TIME(19,51,53)</f>
        <v>41775.827696759261</v>
      </c>
      <c r="C2037">
        <v>80</v>
      </c>
      <c r="D2037">
        <v>79.968627929999997</v>
      </c>
      <c r="E2037">
        <v>50</v>
      </c>
      <c r="F2037">
        <v>49.065540314000003</v>
      </c>
      <c r="G2037">
        <v>1354.8282471</v>
      </c>
      <c r="H2037">
        <v>1348.1768798999999</v>
      </c>
      <c r="I2037">
        <v>1314.3537598</v>
      </c>
      <c r="J2037">
        <v>1306.7642822</v>
      </c>
      <c r="K2037">
        <v>2400</v>
      </c>
      <c r="L2037">
        <v>0</v>
      </c>
      <c r="M2037">
        <v>0</v>
      </c>
      <c r="N2037">
        <v>2400</v>
      </c>
    </row>
    <row r="2038" spans="1:14" x14ac:dyDescent="0.25">
      <c r="A2038">
        <v>1477.218419</v>
      </c>
      <c r="B2038" s="1">
        <f>DATE(2014,5,17) + TIME(5,14,31)</f>
        <v>41776.218414351853</v>
      </c>
      <c r="C2038">
        <v>80</v>
      </c>
      <c r="D2038">
        <v>79.968605041999993</v>
      </c>
      <c r="E2038">
        <v>50</v>
      </c>
      <c r="F2038">
        <v>49.046646117999998</v>
      </c>
      <c r="G2038">
        <v>1354.8066406</v>
      </c>
      <c r="H2038">
        <v>1348.1632079999999</v>
      </c>
      <c r="I2038">
        <v>1314.3505858999999</v>
      </c>
      <c r="J2038">
        <v>1306.7600098</v>
      </c>
      <c r="K2038">
        <v>2400</v>
      </c>
      <c r="L2038">
        <v>0</v>
      </c>
      <c r="M2038">
        <v>0</v>
      </c>
      <c r="N2038">
        <v>2400</v>
      </c>
    </row>
    <row r="2039" spans="1:14" x14ac:dyDescent="0.25">
      <c r="A2039">
        <v>1477.6142520000001</v>
      </c>
      <c r="B2039" s="1">
        <f>DATE(2014,5,17) + TIME(14,44,31)</f>
        <v>41776.614247685182</v>
      </c>
      <c r="C2039">
        <v>80</v>
      </c>
      <c r="D2039">
        <v>79.968574524000005</v>
      </c>
      <c r="E2039">
        <v>50</v>
      </c>
      <c r="F2039">
        <v>49.027610779</v>
      </c>
      <c r="G2039">
        <v>1354.7851562000001</v>
      </c>
      <c r="H2039">
        <v>1348.1496582</v>
      </c>
      <c r="I2039">
        <v>1314.3472899999999</v>
      </c>
      <c r="J2039">
        <v>1306.7557373</v>
      </c>
      <c r="K2039">
        <v>2400</v>
      </c>
      <c r="L2039">
        <v>0</v>
      </c>
      <c r="M2039">
        <v>0</v>
      </c>
      <c r="N2039">
        <v>2400</v>
      </c>
    </row>
    <row r="2040" spans="1:14" x14ac:dyDescent="0.25">
      <c r="A2040">
        <v>1478.0160579999999</v>
      </c>
      <c r="B2040" s="1">
        <f>DATE(2014,5,18) + TIME(0,23,7)</f>
        <v>41777.016053240739</v>
      </c>
      <c r="C2040">
        <v>80</v>
      </c>
      <c r="D2040">
        <v>79.968544006000002</v>
      </c>
      <c r="E2040">
        <v>50</v>
      </c>
      <c r="F2040">
        <v>49.008403778000002</v>
      </c>
      <c r="G2040">
        <v>1354.7639160000001</v>
      </c>
      <c r="H2040">
        <v>1348.1362305</v>
      </c>
      <c r="I2040">
        <v>1314.3439940999999</v>
      </c>
      <c r="J2040">
        <v>1306.7513428</v>
      </c>
      <c r="K2040">
        <v>2400</v>
      </c>
      <c r="L2040">
        <v>0</v>
      </c>
      <c r="M2040">
        <v>0</v>
      </c>
      <c r="N2040">
        <v>2400</v>
      </c>
    </row>
    <row r="2041" spans="1:14" x14ac:dyDescent="0.25">
      <c r="A2041">
        <v>1478.424595</v>
      </c>
      <c r="B2041" s="1">
        <f>DATE(2014,5,18) + TIME(10,11,24)</f>
        <v>41777.424583333333</v>
      </c>
      <c r="C2041">
        <v>80</v>
      </c>
      <c r="D2041">
        <v>79.968513489000003</v>
      </c>
      <c r="E2041">
        <v>50</v>
      </c>
      <c r="F2041">
        <v>48.988994597999998</v>
      </c>
      <c r="G2041">
        <v>1354.7426757999999</v>
      </c>
      <c r="H2041">
        <v>1348.1229248</v>
      </c>
      <c r="I2041">
        <v>1314.3405762</v>
      </c>
      <c r="J2041">
        <v>1306.7468262</v>
      </c>
      <c r="K2041">
        <v>2400</v>
      </c>
      <c r="L2041">
        <v>0</v>
      </c>
      <c r="M2041">
        <v>0</v>
      </c>
      <c r="N2041">
        <v>2400</v>
      </c>
    </row>
    <row r="2042" spans="1:14" x14ac:dyDescent="0.25">
      <c r="A2042">
        <v>1478.8407729999999</v>
      </c>
      <c r="B2042" s="1">
        <f>DATE(2014,5,18) + TIME(20,10,42)</f>
        <v>41777.840763888889</v>
      </c>
      <c r="C2042">
        <v>80</v>
      </c>
      <c r="D2042">
        <v>79.968482971</v>
      </c>
      <c r="E2042">
        <v>50</v>
      </c>
      <c r="F2042">
        <v>48.969360352000002</v>
      </c>
      <c r="G2042">
        <v>1354.7214355000001</v>
      </c>
      <c r="H2042">
        <v>1348.1096190999999</v>
      </c>
      <c r="I2042">
        <v>1314.3371582</v>
      </c>
      <c r="J2042">
        <v>1306.7423096</v>
      </c>
      <c r="K2042">
        <v>2400</v>
      </c>
      <c r="L2042">
        <v>0</v>
      </c>
      <c r="M2042">
        <v>0</v>
      </c>
      <c r="N2042">
        <v>2400</v>
      </c>
    </row>
    <row r="2043" spans="1:14" x14ac:dyDescent="0.25">
      <c r="A2043">
        <v>1479.265564</v>
      </c>
      <c r="B2043" s="1">
        <f>DATE(2014,5,19) + TIME(6,22,24)</f>
        <v>41778.265555555554</v>
      </c>
      <c r="C2043">
        <v>80</v>
      </c>
      <c r="D2043">
        <v>79.968452454000001</v>
      </c>
      <c r="E2043">
        <v>50</v>
      </c>
      <c r="F2043">
        <v>48.949459075999997</v>
      </c>
      <c r="G2043">
        <v>1354.7003173999999</v>
      </c>
      <c r="H2043">
        <v>1348.0963135</v>
      </c>
      <c r="I2043">
        <v>1314.3336182</v>
      </c>
      <c r="J2043">
        <v>1306.7376709</v>
      </c>
      <c r="K2043">
        <v>2400</v>
      </c>
      <c r="L2043">
        <v>0</v>
      </c>
      <c r="M2043">
        <v>0</v>
      </c>
      <c r="N2043">
        <v>2400</v>
      </c>
    </row>
    <row r="2044" spans="1:14" x14ac:dyDescent="0.25">
      <c r="A2044">
        <v>1479.7000210000001</v>
      </c>
      <c r="B2044" s="1">
        <f>DATE(2014,5,19) + TIME(16,48,1)</f>
        <v>41778.700011574074</v>
      </c>
      <c r="C2044">
        <v>80</v>
      </c>
      <c r="D2044">
        <v>79.968421935999999</v>
      </c>
      <c r="E2044">
        <v>50</v>
      </c>
      <c r="F2044">
        <v>48.929248809999997</v>
      </c>
      <c r="G2044">
        <v>1354.6790771000001</v>
      </c>
      <c r="H2044">
        <v>1348.0830077999999</v>
      </c>
      <c r="I2044">
        <v>1314.3299560999999</v>
      </c>
      <c r="J2044">
        <v>1306.7327881000001</v>
      </c>
      <c r="K2044">
        <v>2400</v>
      </c>
      <c r="L2044">
        <v>0</v>
      </c>
      <c r="M2044">
        <v>0</v>
      </c>
      <c r="N2044">
        <v>2400</v>
      </c>
    </row>
    <row r="2045" spans="1:14" x14ac:dyDescent="0.25">
      <c r="A2045">
        <v>1480.145291</v>
      </c>
      <c r="B2045" s="1">
        <f>DATE(2014,5,20) + TIME(3,29,13)</f>
        <v>41779.145289351851</v>
      </c>
      <c r="C2045">
        <v>80</v>
      </c>
      <c r="D2045">
        <v>79.968391417999996</v>
      </c>
      <c r="E2045">
        <v>50</v>
      </c>
      <c r="F2045">
        <v>48.908691406000003</v>
      </c>
      <c r="G2045">
        <v>1354.6578368999999</v>
      </c>
      <c r="H2045">
        <v>1348.0695800999999</v>
      </c>
      <c r="I2045">
        <v>1314.3261719</v>
      </c>
      <c r="J2045">
        <v>1306.7279053</v>
      </c>
      <c r="K2045">
        <v>2400</v>
      </c>
      <c r="L2045">
        <v>0</v>
      </c>
      <c r="M2045">
        <v>0</v>
      </c>
      <c r="N2045">
        <v>2400</v>
      </c>
    </row>
    <row r="2046" spans="1:14" x14ac:dyDescent="0.25">
      <c r="A2046">
        <v>1480.602637</v>
      </c>
      <c r="B2046" s="1">
        <f>DATE(2014,5,20) + TIME(14,27,47)</f>
        <v>41779.602627314816</v>
      </c>
      <c r="C2046">
        <v>80</v>
      </c>
      <c r="D2046">
        <v>79.968360900999997</v>
      </c>
      <c r="E2046">
        <v>50</v>
      </c>
      <c r="F2046">
        <v>48.887737274000003</v>
      </c>
      <c r="G2046">
        <v>1354.6363524999999</v>
      </c>
      <c r="H2046">
        <v>1348.0561522999999</v>
      </c>
      <c r="I2046">
        <v>1314.3223877</v>
      </c>
      <c r="J2046">
        <v>1306.7227783000001</v>
      </c>
      <c r="K2046">
        <v>2400</v>
      </c>
      <c r="L2046">
        <v>0</v>
      </c>
      <c r="M2046">
        <v>0</v>
      </c>
      <c r="N2046">
        <v>2400</v>
      </c>
    </row>
    <row r="2047" spans="1:14" x14ac:dyDescent="0.25">
      <c r="A2047">
        <v>1481.0734629999999</v>
      </c>
      <c r="B2047" s="1">
        <f>DATE(2014,5,21) + TIME(1,45,47)</f>
        <v>41780.073460648149</v>
      </c>
      <c r="C2047">
        <v>80</v>
      </c>
      <c r="D2047">
        <v>79.968330382999994</v>
      </c>
      <c r="E2047">
        <v>50</v>
      </c>
      <c r="F2047">
        <v>48.866336822999997</v>
      </c>
      <c r="G2047">
        <v>1354.6148682</v>
      </c>
      <c r="H2047">
        <v>1348.0427245999999</v>
      </c>
      <c r="I2047">
        <v>1314.3183594</v>
      </c>
      <c r="J2047">
        <v>1306.7175293</v>
      </c>
      <c r="K2047">
        <v>2400</v>
      </c>
      <c r="L2047">
        <v>0</v>
      </c>
      <c r="M2047">
        <v>0</v>
      </c>
      <c r="N2047">
        <v>2400</v>
      </c>
    </row>
    <row r="2048" spans="1:14" x14ac:dyDescent="0.25">
      <c r="A2048">
        <v>1481.557836</v>
      </c>
      <c r="B2048" s="1">
        <f>DATE(2014,5,21) + TIME(13,23,17)</f>
        <v>41780.557835648149</v>
      </c>
      <c r="C2048">
        <v>80</v>
      </c>
      <c r="D2048">
        <v>79.968299865999995</v>
      </c>
      <c r="E2048">
        <v>50</v>
      </c>
      <c r="F2048">
        <v>48.844470977999997</v>
      </c>
      <c r="G2048">
        <v>1354.5930175999999</v>
      </c>
      <c r="H2048">
        <v>1348.0290527</v>
      </c>
      <c r="I2048">
        <v>1314.3143310999999</v>
      </c>
      <c r="J2048">
        <v>1306.7121582</v>
      </c>
      <c r="K2048">
        <v>2400</v>
      </c>
      <c r="L2048">
        <v>0</v>
      </c>
      <c r="M2048">
        <v>0</v>
      </c>
      <c r="N2048">
        <v>2400</v>
      </c>
    </row>
    <row r="2049" spans="1:14" x14ac:dyDescent="0.25">
      <c r="A2049">
        <v>1482.049387</v>
      </c>
      <c r="B2049" s="1">
        <f>DATE(2014,5,22) + TIME(1,11,7)</f>
        <v>41781.049386574072</v>
      </c>
      <c r="C2049">
        <v>80</v>
      </c>
      <c r="D2049">
        <v>79.968269348000007</v>
      </c>
      <c r="E2049">
        <v>50</v>
      </c>
      <c r="F2049">
        <v>48.822326660000002</v>
      </c>
      <c r="G2049">
        <v>1354.5710449000001</v>
      </c>
      <c r="H2049">
        <v>1348.0152588000001</v>
      </c>
      <c r="I2049">
        <v>1314.3100586</v>
      </c>
      <c r="J2049">
        <v>1306.7064209</v>
      </c>
      <c r="K2049">
        <v>2400</v>
      </c>
      <c r="L2049">
        <v>0</v>
      </c>
      <c r="M2049">
        <v>0</v>
      </c>
      <c r="N2049">
        <v>2400</v>
      </c>
    </row>
    <row r="2050" spans="1:14" x14ac:dyDescent="0.25">
      <c r="A2050">
        <v>1482.5462789999999</v>
      </c>
      <c r="B2050" s="1">
        <f>DATE(2014,5,22) + TIME(13,6,38)</f>
        <v>41781.546273148146</v>
      </c>
      <c r="C2050">
        <v>80</v>
      </c>
      <c r="D2050">
        <v>79.968238830999994</v>
      </c>
      <c r="E2050">
        <v>50</v>
      </c>
      <c r="F2050">
        <v>48.799980163999997</v>
      </c>
      <c r="G2050">
        <v>1354.5490723</v>
      </c>
      <c r="H2050">
        <v>1348.0015868999999</v>
      </c>
      <c r="I2050">
        <v>1314.3056641000001</v>
      </c>
      <c r="J2050">
        <v>1306.7006836</v>
      </c>
      <c r="K2050">
        <v>2400</v>
      </c>
      <c r="L2050">
        <v>0</v>
      </c>
      <c r="M2050">
        <v>0</v>
      </c>
      <c r="N2050">
        <v>2400</v>
      </c>
    </row>
    <row r="2051" spans="1:14" x14ac:dyDescent="0.25">
      <c r="A2051">
        <v>1483.0498110000001</v>
      </c>
      <c r="B2051" s="1">
        <f>DATE(2014,5,23) + TIME(1,11,43)</f>
        <v>41782.049803240741</v>
      </c>
      <c r="C2051">
        <v>80</v>
      </c>
      <c r="D2051">
        <v>79.968208313000005</v>
      </c>
      <c r="E2051">
        <v>50</v>
      </c>
      <c r="F2051">
        <v>48.777431487999998</v>
      </c>
      <c r="G2051">
        <v>1354.5273437999999</v>
      </c>
      <c r="H2051">
        <v>1347.9879149999999</v>
      </c>
      <c r="I2051">
        <v>1314.3012695</v>
      </c>
      <c r="J2051">
        <v>1306.6948242000001</v>
      </c>
      <c r="K2051">
        <v>2400</v>
      </c>
      <c r="L2051">
        <v>0</v>
      </c>
      <c r="M2051">
        <v>0</v>
      </c>
      <c r="N2051">
        <v>2400</v>
      </c>
    </row>
    <row r="2052" spans="1:14" x14ac:dyDescent="0.25">
      <c r="A2052">
        <v>1483.555429</v>
      </c>
      <c r="B2052" s="1">
        <f>DATE(2014,5,23) + TIME(13,19,49)</f>
        <v>41782.555428240739</v>
      </c>
      <c r="C2052">
        <v>80</v>
      </c>
      <c r="D2052">
        <v>79.968177795000003</v>
      </c>
      <c r="E2052">
        <v>50</v>
      </c>
      <c r="F2052">
        <v>48.754825592000003</v>
      </c>
      <c r="G2052">
        <v>1354.5057373</v>
      </c>
      <c r="H2052">
        <v>1347.9744873</v>
      </c>
      <c r="I2052">
        <v>1314.2967529</v>
      </c>
      <c r="J2052">
        <v>1306.6888428</v>
      </c>
      <c r="K2052">
        <v>2400</v>
      </c>
      <c r="L2052">
        <v>0</v>
      </c>
      <c r="M2052">
        <v>0</v>
      </c>
      <c r="N2052">
        <v>2400</v>
      </c>
    </row>
    <row r="2053" spans="1:14" x14ac:dyDescent="0.25">
      <c r="A2053">
        <v>1484.06314</v>
      </c>
      <c r="B2053" s="1">
        <f>DATE(2014,5,24) + TIME(1,30,55)</f>
        <v>41783.063136574077</v>
      </c>
      <c r="C2053">
        <v>80</v>
      </c>
      <c r="D2053">
        <v>79.968147278000004</v>
      </c>
      <c r="E2053">
        <v>50</v>
      </c>
      <c r="F2053">
        <v>48.732200622999997</v>
      </c>
      <c r="G2053">
        <v>1354.484375</v>
      </c>
      <c r="H2053">
        <v>1347.9611815999999</v>
      </c>
      <c r="I2053">
        <v>1314.2922363</v>
      </c>
      <c r="J2053">
        <v>1306.6827393000001</v>
      </c>
      <c r="K2053">
        <v>2400</v>
      </c>
      <c r="L2053">
        <v>0</v>
      </c>
      <c r="M2053">
        <v>0</v>
      </c>
      <c r="N2053">
        <v>2400</v>
      </c>
    </row>
    <row r="2054" spans="1:14" x14ac:dyDescent="0.25">
      <c r="A2054">
        <v>1484.574032</v>
      </c>
      <c r="B2054" s="1">
        <f>DATE(2014,5,24) + TIME(13,46,36)</f>
        <v>41783.57402777778</v>
      </c>
      <c r="C2054">
        <v>80</v>
      </c>
      <c r="D2054">
        <v>79.968116760000001</v>
      </c>
      <c r="E2054">
        <v>50</v>
      </c>
      <c r="F2054">
        <v>48.709545134999999</v>
      </c>
      <c r="G2054">
        <v>1354.4633789</v>
      </c>
      <c r="H2054">
        <v>1347.9479980000001</v>
      </c>
      <c r="I2054">
        <v>1314.2875977000001</v>
      </c>
      <c r="J2054">
        <v>1306.6766356999999</v>
      </c>
      <c r="K2054">
        <v>2400</v>
      </c>
      <c r="L2054">
        <v>0</v>
      </c>
      <c r="M2054">
        <v>0</v>
      </c>
      <c r="N2054">
        <v>2400</v>
      </c>
    </row>
    <row r="2055" spans="1:14" x14ac:dyDescent="0.25">
      <c r="A2055">
        <v>1485.089207</v>
      </c>
      <c r="B2055" s="1">
        <f>DATE(2014,5,25) + TIME(2,8,27)</f>
        <v>41784.089201388888</v>
      </c>
      <c r="C2055">
        <v>80</v>
      </c>
      <c r="D2055">
        <v>79.968093871999997</v>
      </c>
      <c r="E2055">
        <v>50</v>
      </c>
      <c r="F2055">
        <v>48.686843871999997</v>
      </c>
      <c r="G2055">
        <v>1354.4425048999999</v>
      </c>
      <c r="H2055">
        <v>1347.9350586</v>
      </c>
      <c r="I2055">
        <v>1314.2828368999999</v>
      </c>
      <c r="J2055">
        <v>1306.6702881000001</v>
      </c>
      <c r="K2055">
        <v>2400</v>
      </c>
      <c r="L2055">
        <v>0</v>
      </c>
      <c r="M2055">
        <v>0</v>
      </c>
      <c r="N2055">
        <v>2400</v>
      </c>
    </row>
    <row r="2056" spans="1:14" x14ac:dyDescent="0.25">
      <c r="A2056">
        <v>1485.609915</v>
      </c>
      <c r="B2056" s="1">
        <f>DATE(2014,5,25) + TIME(14,38,16)</f>
        <v>41784.609907407408</v>
      </c>
      <c r="C2056">
        <v>80</v>
      </c>
      <c r="D2056">
        <v>79.968063353999995</v>
      </c>
      <c r="E2056">
        <v>50</v>
      </c>
      <c r="F2056">
        <v>48.664058685000001</v>
      </c>
      <c r="G2056">
        <v>1354.4219971</v>
      </c>
      <c r="H2056">
        <v>1347.9221190999999</v>
      </c>
      <c r="I2056">
        <v>1314.2781981999999</v>
      </c>
      <c r="J2056">
        <v>1306.6639404</v>
      </c>
      <c r="K2056">
        <v>2400</v>
      </c>
      <c r="L2056">
        <v>0</v>
      </c>
      <c r="M2056">
        <v>0</v>
      </c>
      <c r="N2056">
        <v>2400</v>
      </c>
    </row>
    <row r="2057" spans="1:14" x14ac:dyDescent="0.25">
      <c r="A2057">
        <v>1486.1372469999999</v>
      </c>
      <c r="B2057" s="1">
        <f>DATE(2014,5,26) + TIME(3,17,38)</f>
        <v>41785.137245370373</v>
      </c>
      <c r="C2057">
        <v>80</v>
      </c>
      <c r="D2057">
        <v>79.968032836999996</v>
      </c>
      <c r="E2057">
        <v>50</v>
      </c>
      <c r="F2057">
        <v>48.641151428000001</v>
      </c>
      <c r="G2057">
        <v>1354.4014893000001</v>
      </c>
      <c r="H2057">
        <v>1347.9094238</v>
      </c>
      <c r="I2057">
        <v>1314.2733154</v>
      </c>
      <c r="J2057">
        <v>1306.6574707</v>
      </c>
      <c r="K2057">
        <v>2400</v>
      </c>
      <c r="L2057">
        <v>0</v>
      </c>
      <c r="M2057">
        <v>0</v>
      </c>
      <c r="N2057">
        <v>2400</v>
      </c>
    </row>
    <row r="2058" spans="1:14" x14ac:dyDescent="0.25">
      <c r="A2058">
        <v>1486.6722950000001</v>
      </c>
      <c r="B2058" s="1">
        <f>DATE(2014,5,26) + TIME(16,8,6)</f>
        <v>41785.672291666669</v>
      </c>
      <c r="C2058">
        <v>80</v>
      </c>
      <c r="D2058">
        <v>79.968002318999993</v>
      </c>
      <c r="E2058">
        <v>50</v>
      </c>
      <c r="F2058">
        <v>48.618087768999999</v>
      </c>
      <c r="G2058">
        <v>1354.3811035000001</v>
      </c>
      <c r="H2058">
        <v>1347.8967285000001</v>
      </c>
      <c r="I2058">
        <v>1314.2684326000001</v>
      </c>
      <c r="J2058">
        <v>1306.6508789</v>
      </c>
      <c r="K2058">
        <v>2400</v>
      </c>
      <c r="L2058">
        <v>0</v>
      </c>
      <c r="M2058">
        <v>0</v>
      </c>
      <c r="N2058">
        <v>2400</v>
      </c>
    </row>
    <row r="2059" spans="1:14" x14ac:dyDescent="0.25">
      <c r="A2059">
        <v>1487.2163</v>
      </c>
      <c r="B2059" s="1">
        <f>DATE(2014,5,27) + TIME(5,11,28)</f>
        <v>41786.216296296298</v>
      </c>
      <c r="C2059">
        <v>80</v>
      </c>
      <c r="D2059">
        <v>79.967979431000003</v>
      </c>
      <c r="E2059">
        <v>50</v>
      </c>
      <c r="F2059">
        <v>48.594821930000002</v>
      </c>
      <c r="G2059">
        <v>1354.3607178</v>
      </c>
      <c r="H2059">
        <v>1347.8840332</v>
      </c>
      <c r="I2059">
        <v>1314.2633057</v>
      </c>
      <c r="J2059">
        <v>1306.644043</v>
      </c>
      <c r="K2059">
        <v>2400</v>
      </c>
      <c r="L2059">
        <v>0</v>
      </c>
      <c r="M2059">
        <v>0</v>
      </c>
      <c r="N2059">
        <v>2400</v>
      </c>
    </row>
    <row r="2060" spans="1:14" x14ac:dyDescent="0.25">
      <c r="A2060">
        <v>1487.7705820000001</v>
      </c>
      <c r="B2060" s="1">
        <f>DATE(2014,5,27) + TIME(18,29,38)</f>
        <v>41786.770578703705</v>
      </c>
      <c r="C2060">
        <v>80</v>
      </c>
      <c r="D2060">
        <v>79.967948914000004</v>
      </c>
      <c r="E2060">
        <v>50</v>
      </c>
      <c r="F2060">
        <v>48.571304321</v>
      </c>
      <c r="G2060">
        <v>1354.3404541</v>
      </c>
      <c r="H2060">
        <v>1347.8713379000001</v>
      </c>
      <c r="I2060">
        <v>1314.2581786999999</v>
      </c>
      <c r="J2060">
        <v>1306.6370850000001</v>
      </c>
      <c r="K2060">
        <v>2400</v>
      </c>
      <c r="L2060">
        <v>0</v>
      </c>
      <c r="M2060">
        <v>0</v>
      </c>
      <c r="N2060">
        <v>2400</v>
      </c>
    </row>
    <row r="2061" spans="1:14" x14ac:dyDescent="0.25">
      <c r="A2061">
        <v>1488.336564</v>
      </c>
      <c r="B2061" s="1">
        <f>DATE(2014,5,28) + TIME(8,4,39)</f>
        <v>41787.336562500001</v>
      </c>
      <c r="C2061">
        <v>80</v>
      </c>
      <c r="D2061">
        <v>79.967918396000002</v>
      </c>
      <c r="E2061">
        <v>50</v>
      </c>
      <c r="F2061">
        <v>48.547492980999998</v>
      </c>
      <c r="G2061">
        <v>1354.3200684000001</v>
      </c>
      <c r="H2061">
        <v>1347.8586425999999</v>
      </c>
      <c r="I2061">
        <v>1314.2529297000001</v>
      </c>
      <c r="J2061">
        <v>1306.6300048999999</v>
      </c>
      <c r="K2061">
        <v>2400</v>
      </c>
      <c r="L2061">
        <v>0</v>
      </c>
      <c r="M2061">
        <v>0</v>
      </c>
      <c r="N2061">
        <v>2400</v>
      </c>
    </row>
    <row r="2062" spans="1:14" x14ac:dyDescent="0.25">
      <c r="A2062">
        <v>1488.9158</v>
      </c>
      <c r="B2062" s="1">
        <f>DATE(2014,5,28) + TIME(21,58,45)</f>
        <v>41787.915798611109</v>
      </c>
      <c r="C2062">
        <v>80</v>
      </c>
      <c r="D2062">
        <v>79.967895507999998</v>
      </c>
      <c r="E2062">
        <v>50</v>
      </c>
      <c r="F2062">
        <v>48.523326873999999</v>
      </c>
      <c r="G2062">
        <v>1354.2995605000001</v>
      </c>
      <c r="H2062">
        <v>1347.8458252</v>
      </c>
      <c r="I2062">
        <v>1314.2474365</v>
      </c>
      <c r="J2062">
        <v>1306.6225586</v>
      </c>
      <c r="K2062">
        <v>2400</v>
      </c>
      <c r="L2062">
        <v>0</v>
      </c>
      <c r="M2062">
        <v>0</v>
      </c>
      <c r="N2062">
        <v>2400</v>
      </c>
    </row>
    <row r="2063" spans="1:14" x14ac:dyDescent="0.25">
      <c r="A2063">
        <v>1489.509988</v>
      </c>
      <c r="B2063" s="1">
        <f>DATE(2014,5,29) + TIME(12,14,22)</f>
        <v>41788.509976851848</v>
      </c>
      <c r="C2063">
        <v>80</v>
      </c>
      <c r="D2063">
        <v>79.967864989999995</v>
      </c>
      <c r="E2063">
        <v>50</v>
      </c>
      <c r="F2063">
        <v>48.498748779000003</v>
      </c>
      <c r="G2063">
        <v>1354.2790527</v>
      </c>
      <c r="H2063">
        <v>1347.8330077999999</v>
      </c>
      <c r="I2063">
        <v>1314.2418213000001</v>
      </c>
      <c r="J2063">
        <v>1306.6149902</v>
      </c>
      <c r="K2063">
        <v>2400</v>
      </c>
      <c r="L2063">
        <v>0</v>
      </c>
      <c r="M2063">
        <v>0</v>
      </c>
      <c r="N2063">
        <v>2400</v>
      </c>
    </row>
    <row r="2064" spans="1:14" x14ac:dyDescent="0.25">
      <c r="A2064">
        <v>1490.1210080000001</v>
      </c>
      <c r="B2064" s="1">
        <f>DATE(2014,5,30) + TIME(2,54,15)</f>
        <v>41789.121006944442</v>
      </c>
      <c r="C2064">
        <v>80</v>
      </c>
      <c r="D2064">
        <v>79.967842102000006</v>
      </c>
      <c r="E2064">
        <v>50</v>
      </c>
      <c r="F2064">
        <v>48.473697661999999</v>
      </c>
      <c r="G2064">
        <v>1354.2581786999999</v>
      </c>
      <c r="H2064">
        <v>1347.8200684000001</v>
      </c>
      <c r="I2064">
        <v>1314.2359618999999</v>
      </c>
      <c r="J2064">
        <v>1306.6070557</v>
      </c>
      <c r="K2064">
        <v>2400</v>
      </c>
      <c r="L2064">
        <v>0</v>
      </c>
      <c r="M2064">
        <v>0</v>
      </c>
      <c r="N2064">
        <v>2400</v>
      </c>
    </row>
    <row r="2065" spans="1:14" x14ac:dyDescent="0.25">
      <c r="A2065">
        <v>1490.7509680000001</v>
      </c>
      <c r="B2065" s="1">
        <f>DATE(2014,5,30) + TIME(18,1,23)</f>
        <v>41789.750960648147</v>
      </c>
      <c r="C2065">
        <v>80</v>
      </c>
      <c r="D2065">
        <v>79.967811584000003</v>
      </c>
      <c r="E2065">
        <v>50</v>
      </c>
      <c r="F2065">
        <v>48.448104858000001</v>
      </c>
      <c r="G2065">
        <v>1354.2371826000001</v>
      </c>
      <c r="H2065">
        <v>1347.8068848</v>
      </c>
      <c r="I2065">
        <v>1314.2298584</v>
      </c>
      <c r="J2065">
        <v>1306.5987548999999</v>
      </c>
      <c r="K2065">
        <v>2400</v>
      </c>
      <c r="L2065">
        <v>0</v>
      </c>
      <c r="M2065">
        <v>0</v>
      </c>
      <c r="N2065">
        <v>2400</v>
      </c>
    </row>
    <row r="2066" spans="1:14" x14ac:dyDescent="0.25">
      <c r="A2066">
        <v>1491.400018</v>
      </c>
      <c r="B2066" s="1">
        <f>DATE(2014,5,31) + TIME(9,36,1)</f>
        <v>41790.400011574071</v>
      </c>
      <c r="C2066">
        <v>80</v>
      </c>
      <c r="D2066">
        <v>79.967781067000004</v>
      </c>
      <c r="E2066">
        <v>50</v>
      </c>
      <c r="F2066">
        <v>48.421943665000001</v>
      </c>
      <c r="G2066">
        <v>1354.2159423999999</v>
      </c>
      <c r="H2066">
        <v>1347.7935791</v>
      </c>
      <c r="I2066">
        <v>1314.2235106999999</v>
      </c>
      <c r="J2066">
        <v>1306.5902100000001</v>
      </c>
      <c r="K2066">
        <v>2400</v>
      </c>
      <c r="L2066">
        <v>0</v>
      </c>
      <c r="M2066">
        <v>0</v>
      </c>
      <c r="N2066">
        <v>2400</v>
      </c>
    </row>
    <row r="2067" spans="1:14" x14ac:dyDescent="0.25">
      <c r="A2067">
        <v>1492</v>
      </c>
      <c r="B2067" s="1">
        <f>DATE(2014,6,1) + TIME(0,0,0)</f>
        <v>41791</v>
      </c>
      <c r="C2067">
        <v>80</v>
      </c>
      <c r="D2067">
        <v>79.967758179</v>
      </c>
      <c r="E2067">
        <v>50</v>
      </c>
      <c r="F2067">
        <v>48.396816254000001</v>
      </c>
      <c r="G2067">
        <v>1354.1943358999999</v>
      </c>
      <c r="H2067">
        <v>1347.7801514</v>
      </c>
      <c r="I2067">
        <v>1314.2169189000001</v>
      </c>
      <c r="J2067">
        <v>1306.5812988</v>
      </c>
      <c r="K2067">
        <v>2400</v>
      </c>
      <c r="L2067">
        <v>0</v>
      </c>
      <c r="M2067">
        <v>0</v>
      </c>
      <c r="N2067">
        <v>2400</v>
      </c>
    </row>
    <row r="2068" spans="1:14" x14ac:dyDescent="0.25">
      <c r="A2068">
        <v>1492.656011</v>
      </c>
      <c r="B2068" s="1">
        <f>DATE(2014,6,1) + TIME(15,44,39)</f>
        <v>41791.656006944446</v>
      </c>
      <c r="C2068">
        <v>80</v>
      </c>
      <c r="D2068">
        <v>79.967727660999998</v>
      </c>
      <c r="E2068">
        <v>50</v>
      </c>
      <c r="F2068">
        <v>48.370704650999997</v>
      </c>
      <c r="G2068">
        <v>1354.1746826000001</v>
      </c>
      <c r="H2068">
        <v>1347.7678223</v>
      </c>
      <c r="I2068">
        <v>1314.2108154</v>
      </c>
      <c r="J2068">
        <v>1306.572876</v>
      </c>
      <c r="K2068">
        <v>2400</v>
      </c>
      <c r="L2068">
        <v>0</v>
      </c>
      <c r="M2068">
        <v>0</v>
      </c>
      <c r="N2068">
        <v>2400</v>
      </c>
    </row>
    <row r="2069" spans="1:14" x14ac:dyDescent="0.25">
      <c r="A2069">
        <v>1493.3128710000001</v>
      </c>
      <c r="B2069" s="1">
        <f>DATE(2014,6,2) + TIME(7,30,32)</f>
        <v>41792.31287037037</v>
      </c>
      <c r="C2069">
        <v>80</v>
      </c>
      <c r="D2069">
        <v>79.967704772999994</v>
      </c>
      <c r="E2069">
        <v>50</v>
      </c>
      <c r="F2069">
        <v>48.344436645999998</v>
      </c>
      <c r="G2069">
        <v>1354.1535644999999</v>
      </c>
      <c r="H2069">
        <v>1347.7546387</v>
      </c>
      <c r="I2069">
        <v>1314.2041016000001</v>
      </c>
      <c r="J2069">
        <v>1306.5635986</v>
      </c>
      <c r="K2069">
        <v>2400</v>
      </c>
      <c r="L2069">
        <v>0</v>
      </c>
      <c r="M2069">
        <v>0</v>
      </c>
      <c r="N2069">
        <v>2400</v>
      </c>
    </row>
    <row r="2070" spans="1:14" x14ac:dyDescent="0.25">
      <c r="A2070">
        <v>1493.9727780000001</v>
      </c>
      <c r="B2070" s="1">
        <f>DATE(2014,6,2) + TIME(23,20,48)</f>
        <v>41792.972777777781</v>
      </c>
      <c r="C2070">
        <v>80</v>
      </c>
      <c r="D2070">
        <v>79.967674255000006</v>
      </c>
      <c r="E2070">
        <v>50</v>
      </c>
      <c r="F2070">
        <v>48.318096161</v>
      </c>
      <c r="G2070">
        <v>1354.1328125</v>
      </c>
      <c r="H2070">
        <v>1347.7415771000001</v>
      </c>
      <c r="I2070">
        <v>1314.1971435999999</v>
      </c>
      <c r="J2070">
        <v>1306.5541992000001</v>
      </c>
      <c r="K2070">
        <v>2400</v>
      </c>
      <c r="L2070">
        <v>0</v>
      </c>
      <c r="M2070">
        <v>0</v>
      </c>
      <c r="N2070">
        <v>2400</v>
      </c>
    </row>
    <row r="2071" spans="1:14" x14ac:dyDescent="0.25">
      <c r="A2071">
        <v>1494.6372699999999</v>
      </c>
      <c r="B2071" s="1">
        <f>DATE(2014,6,3) + TIME(15,17,40)</f>
        <v>41793.63726851852</v>
      </c>
      <c r="C2071">
        <v>80</v>
      </c>
      <c r="D2071">
        <v>79.967651367000002</v>
      </c>
      <c r="E2071">
        <v>50</v>
      </c>
      <c r="F2071">
        <v>48.291706085000001</v>
      </c>
      <c r="G2071">
        <v>1354.1121826000001</v>
      </c>
      <c r="H2071">
        <v>1347.7287598</v>
      </c>
      <c r="I2071">
        <v>1314.1901855000001</v>
      </c>
      <c r="J2071">
        <v>1306.5446777</v>
      </c>
      <c r="K2071">
        <v>2400</v>
      </c>
      <c r="L2071">
        <v>0</v>
      </c>
      <c r="M2071">
        <v>0</v>
      </c>
      <c r="N2071">
        <v>2400</v>
      </c>
    </row>
    <row r="2072" spans="1:14" x14ac:dyDescent="0.25">
      <c r="A2072">
        <v>1495.3080199999999</v>
      </c>
      <c r="B2072" s="1">
        <f>DATE(2014,6,4) + TIME(7,23,32)</f>
        <v>41794.308009259257</v>
      </c>
      <c r="C2072">
        <v>80</v>
      </c>
      <c r="D2072">
        <v>79.967620850000003</v>
      </c>
      <c r="E2072">
        <v>50</v>
      </c>
      <c r="F2072">
        <v>48.265243529999999</v>
      </c>
      <c r="G2072">
        <v>1354.0917969</v>
      </c>
      <c r="H2072">
        <v>1347.7159423999999</v>
      </c>
      <c r="I2072">
        <v>1314.1831055</v>
      </c>
      <c r="J2072">
        <v>1306.5347899999999</v>
      </c>
      <c r="K2072">
        <v>2400</v>
      </c>
      <c r="L2072">
        <v>0</v>
      </c>
      <c r="M2072">
        <v>0</v>
      </c>
      <c r="N2072">
        <v>2400</v>
      </c>
    </row>
    <row r="2073" spans="1:14" x14ac:dyDescent="0.25">
      <c r="A2073">
        <v>1495.9866079999999</v>
      </c>
      <c r="B2073" s="1">
        <f>DATE(2014,6,4) + TIME(23,40,42)</f>
        <v>41794.986597222225</v>
      </c>
      <c r="C2073">
        <v>80</v>
      </c>
      <c r="D2073">
        <v>79.967597960999996</v>
      </c>
      <c r="E2073">
        <v>50</v>
      </c>
      <c r="F2073">
        <v>48.238685607999997</v>
      </c>
      <c r="G2073">
        <v>1354.0715332</v>
      </c>
      <c r="H2073">
        <v>1347.7032471</v>
      </c>
      <c r="I2073">
        <v>1314.1759033000001</v>
      </c>
      <c r="J2073">
        <v>1306.5247803</v>
      </c>
      <c r="K2073">
        <v>2400</v>
      </c>
      <c r="L2073">
        <v>0</v>
      </c>
      <c r="M2073">
        <v>0</v>
      </c>
      <c r="N2073">
        <v>2400</v>
      </c>
    </row>
    <row r="2074" spans="1:14" x14ac:dyDescent="0.25">
      <c r="A2074">
        <v>1496.674505</v>
      </c>
      <c r="B2074" s="1">
        <f>DATE(2014,6,5) + TIME(16,11,17)</f>
        <v>41795.674502314818</v>
      </c>
      <c r="C2074">
        <v>80</v>
      </c>
      <c r="D2074">
        <v>79.967575073000006</v>
      </c>
      <c r="E2074">
        <v>50</v>
      </c>
      <c r="F2074">
        <v>48.211982726999999</v>
      </c>
      <c r="G2074">
        <v>1354.0513916</v>
      </c>
      <c r="H2074">
        <v>1347.6906738</v>
      </c>
      <c r="I2074">
        <v>1314.168457</v>
      </c>
      <c r="J2074">
        <v>1306.5145264</v>
      </c>
      <c r="K2074">
        <v>2400</v>
      </c>
      <c r="L2074">
        <v>0</v>
      </c>
      <c r="M2074">
        <v>0</v>
      </c>
      <c r="N2074">
        <v>2400</v>
      </c>
    </row>
    <row r="2075" spans="1:14" x14ac:dyDescent="0.25">
      <c r="A2075">
        <v>1497.3734019999999</v>
      </c>
      <c r="B2075" s="1">
        <f>DATE(2014,6,6) + TIME(8,57,41)</f>
        <v>41796.373391203706</v>
      </c>
      <c r="C2075">
        <v>80</v>
      </c>
      <c r="D2075">
        <v>79.967544556000007</v>
      </c>
      <c r="E2075">
        <v>50</v>
      </c>
      <c r="F2075">
        <v>48.185085297000001</v>
      </c>
      <c r="G2075">
        <v>1354.03125</v>
      </c>
      <c r="H2075">
        <v>1347.6779785000001</v>
      </c>
      <c r="I2075">
        <v>1314.1608887</v>
      </c>
      <c r="J2075">
        <v>1306.5040283000001</v>
      </c>
      <c r="K2075">
        <v>2400</v>
      </c>
      <c r="L2075">
        <v>0</v>
      </c>
      <c r="M2075">
        <v>0</v>
      </c>
      <c r="N2075">
        <v>2400</v>
      </c>
    </row>
    <row r="2076" spans="1:14" x14ac:dyDescent="0.25">
      <c r="A2076">
        <v>1498.0850989999999</v>
      </c>
      <c r="B2076" s="1">
        <f>DATE(2014,6,7) + TIME(2,2,32)</f>
        <v>41797.085092592592</v>
      </c>
      <c r="C2076">
        <v>80</v>
      </c>
      <c r="D2076">
        <v>79.967521667</v>
      </c>
      <c r="E2076">
        <v>50</v>
      </c>
      <c r="F2076">
        <v>48.157943725999999</v>
      </c>
      <c r="G2076">
        <v>1354.0111084</v>
      </c>
      <c r="H2076">
        <v>1347.6652832</v>
      </c>
      <c r="I2076">
        <v>1314.1530762</v>
      </c>
      <c r="J2076">
        <v>1306.4931641000001</v>
      </c>
      <c r="K2076">
        <v>2400</v>
      </c>
      <c r="L2076">
        <v>0</v>
      </c>
      <c r="M2076">
        <v>0</v>
      </c>
      <c r="N2076">
        <v>2400</v>
      </c>
    </row>
    <row r="2077" spans="1:14" x14ac:dyDescent="0.25">
      <c r="A2077">
        <v>1498.811526</v>
      </c>
      <c r="B2077" s="1">
        <f>DATE(2014,6,7) + TIME(19,28,35)</f>
        <v>41797.811516203707</v>
      </c>
      <c r="C2077">
        <v>80</v>
      </c>
      <c r="D2077">
        <v>79.967498778999996</v>
      </c>
      <c r="E2077">
        <v>50</v>
      </c>
      <c r="F2077">
        <v>48.130493164000001</v>
      </c>
      <c r="G2077">
        <v>1353.9908447</v>
      </c>
      <c r="H2077">
        <v>1347.6525879000001</v>
      </c>
      <c r="I2077">
        <v>1314.1450195</v>
      </c>
      <c r="J2077">
        <v>1306.4819336</v>
      </c>
      <c r="K2077">
        <v>2400</v>
      </c>
      <c r="L2077">
        <v>0</v>
      </c>
      <c r="M2077">
        <v>0</v>
      </c>
      <c r="N2077">
        <v>2400</v>
      </c>
    </row>
    <row r="2078" spans="1:14" x14ac:dyDescent="0.25">
      <c r="A2078">
        <v>1499.5547819999999</v>
      </c>
      <c r="B2078" s="1">
        <f>DATE(2014,6,8) + TIME(13,18,53)</f>
        <v>41798.554780092592</v>
      </c>
      <c r="C2078">
        <v>80</v>
      </c>
      <c r="D2078">
        <v>79.967468261999997</v>
      </c>
      <c r="E2078">
        <v>50</v>
      </c>
      <c r="F2078">
        <v>48.102664947999997</v>
      </c>
      <c r="G2078">
        <v>1353.9704589999999</v>
      </c>
      <c r="H2078">
        <v>1347.6397704999999</v>
      </c>
      <c r="I2078">
        <v>1314.1365966999999</v>
      </c>
      <c r="J2078">
        <v>1306.4703368999999</v>
      </c>
      <c r="K2078">
        <v>2400</v>
      </c>
      <c r="L2078">
        <v>0</v>
      </c>
      <c r="M2078">
        <v>0</v>
      </c>
      <c r="N2078">
        <v>2400</v>
      </c>
    </row>
    <row r="2079" spans="1:14" x14ac:dyDescent="0.25">
      <c r="A2079">
        <v>1500.31285</v>
      </c>
      <c r="B2079" s="1">
        <f>DATE(2014,6,9) + TIME(7,30,30)</f>
        <v>41799.312847222223</v>
      </c>
      <c r="C2079">
        <v>80</v>
      </c>
      <c r="D2079">
        <v>79.967445373999993</v>
      </c>
      <c r="E2079">
        <v>50</v>
      </c>
      <c r="F2079">
        <v>48.074481964</v>
      </c>
      <c r="G2079">
        <v>1353.9500731999999</v>
      </c>
      <c r="H2079">
        <v>1347.6269531</v>
      </c>
      <c r="I2079">
        <v>1314.1280518000001</v>
      </c>
      <c r="J2079">
        <v>1306.4582519999999</v>
      </c>
      <c r="K2079">
        <v>2400</v>
      </c>
      <c r="L2079">
        <v>0</v>
      </c>
      <c r="M2079">
        <v>0</v>
      </c>
      <c r="N2079">
        <v>2400</v>
      </c>
    </row>
    <row r="2080" spans="1:14" x14ac:dyDescent="0.25">
      <c r="A2080">
        <v>1501.0863730000001</v>
      </c>
      <c r="B2080" s="1">
        <f>DATE(2014,6,10) + TIME(2,4,22)</f>
        <v>41800.086365740739</v>
      </c>
      <c r="C2080">
        <v>80</v>
      </c>
      <c r="D2080">
        <v>79.967422485</v>
      </c>
      <c r="E2080">
        <v>50</v>
      </c>
      <c r="F2080">
        <v>48.045936584000003</v>
      </c>
      <c r="G2080">
        <v>1353.9294434000001</v>
      </c>
      <c r="H2080">
        <v>1347.6138916</v>
      </c>
      <c r="I2080">
        <v>1314.1191406</v>
      </c>
      <c r="J2080">
        <v>1306.4458007999999</v>
      </c>
      <c r="K2080">
        <v>2400</v>
      </c>
      <c r="L2080">
        <v>0</v>
      </c>
      <c r="M2080">
        <v>0</v>
      </c>
      <c r="N2080">
        <v>2400</v>
      </c>
    </row>
    <row r="2081" spans="1:14" x14ac:dyDescent="0.25">
      <c r="A2081">
        <v>1501.8775270000001</v>
      </c>
      <c r="B2081" s="1">
        <f>DATE(2014,6,10) + TIME(21,3,38)</f>
        <v>41800.877523148149</v>
      </c>
      <c r="C2081">
        <v>80</v>
      </c>
      <c r="D2081">
        <v>79.967399596999996</v>
      </c>
      <c r="E2081">
        <v>50</v>
      </c>
      <c r="F2081">
        <v>48.016986846999998</v>
      </c>
      <c r="G2081">
        <v>1353.9088135</v>
      </c>
      <c r="H2081">
        <v>1347.6008300999999</v>
      </c>
      <c r="I2081">
        <v>1314.1098632999999</v>
      </c>
      <c r="J2081">
        <v>1306.4328613</v>
      </c>
      <c r="K2081">
        <v>2400</v>
      </c>
      <c r="L2081">
        <v>0</v>
      </c>
      <c r="M2081">
        <v>0</v>
      </c>
      <c r="N2081">
        <v>2400</v>
      </c>
    </row>
    <row r="2082" spans="1:14" x14ac:dyDescent="0.25">
      <c r="A2082">
        <v>1502.6886669999999</v>
      </c>
      <c r="B2082" s="1">
        <f>DATE(2014,6,11) + TIME(16,31,40)</f>
        <v>41801.688657407409</v>
      </c>
      <c r="C2082">
        <v>80</v>
      </c>
      <c r="D2082">
        <v>79.967376709000007</v>
      </c>
      <c r="E2082">
        <v>50</v>
      </c>
      <c r="F2082">
        <v>47.98758316</v>
      </c>
      <c r="G2082">
        <v>1353.8879394999999</v>
      </c>
      <c r="H2082">
        <v>1347.5877685999999</v>
      </c>
      <c r="I2082">
        <v>1314.1003418</v>
      </c>
      <c r="J2082">
        <v>1306.4194336</v>
      </c>
      <c r="K2082">
        <v>2400</v>
      </c>
      <c r="L2082">
        <v>0</v>
      </c>
      <c r="M2082">
        <v>0</v>
      </c>
      <c r="N2082">
        <v>2400</v>
      </c>
    </row>
    <row r="2083" spans="1:14" x14ac:dyDescent="0.25">
      <c r="A2083">
        <v>1503.5145640000001</v>
      </c>
      <c r="B2083" s="1">
        <f>DATE(2014,6,12) + TIME(12,20,58)</f>
        <v>41802.514560185184</v>
      </c>
      <c r="C2083">
        <v>80</v>
      </c>
      <c r="D2083">
        <v>79.967346191000004</v>
      </c>
      <c r="E2083">
        <v>50</v>
      </c>
      <c r="F2083">
        <v>47.957794188999998</v>
      </c>
      <c r="G2083">
        <v>1353.8669434000001</v>
      </c>
      <c r="H2083">
        <v>1347.5744629000001</v>
      </c>
      <c r="I2083">
        <v>1314.0904541</v>
      </c>
      <c r="J2083">
        <v>1306.4053954999999</v>
      </c>
      <c r="K2083">
        <v>2400</v>
      </c>
      <c r="L2083">
        <v>0</v>
      </c>
      <c r="M2083">
        <v>0</v>
      </c>
      <c r="N2083">
        <v>2400</v>
      </c>
    </row>
    <row r="2084" spans="1:14" x14ac:dyDescent="0.25">
      <c r="A2084">
        <v>1504.349706</v>
      </c>
      <c r="B2084" s="1">
        <f>DATE(2014,6,13) + TIME(8,23,34)</f>
        <v>41803.349699074075</v>
      </c>
      <c r="C2084">
        <v>80</v>
      </c>
      <c r="D2084">
        <v>79.967323303000001</v>
      </c>
      <c r="E2084">
        <v>50</v>
      </c>
      <c r="F2084">
        <v>47.927761078000003</v>
      </c>
      <c r="G2084">
        <v>1353.8458252</v>
      </c>
      <c r="H2084">
        <v>1347.5610352000001</v>
      </c>
      <c r="I2084">
        <v>1314.0802002</v>
      </c>
      <c r="J2084">
        <v>1306.3908690999999</v>
      </c>
      <c r="K2084">
        <v>2400</v>
      </c>
      <c r="L2084">
        <v>0</v>
      </c>
      <c r="M2084">
        <v>0</v>
      </c>
      <c r="N2084">
        <v>2400</v>
      </c>
    </row>
    <row r="2085" spans="1:14" x14ac:dyDescent="0.25">
      <c r="A2085">
        <v>1505.1879510000001</v>
      </c>
      <c r="B2085" s="1">
        <f>DATE(2014,6,14) + TIME(4,30,39)</f>
        <v>41804.187951388885</v>
      </c>
      <c r="C2085">
        <v>80</v>
      </c>
      <c r="D2085">
        <v>79.967300414999997</v>
      </c>
      <c r="E2085">
        <v>50</v>
      </c>
      <c r="F2085">
        <v>47.897670746000003</v>
      </c>
      <c r="G2085">
        <v>1353.8248291</v>
      </c>
      <c r="H2085">
        <v>1347.5477295000001</v>
      </c>
      <c r="I2085">
        <v>1314.0697021000001</v>
      </c>
      <c r="J2085">
        <v>1306.3759766000001</v>
      </c>
      <c r="K2085">
        <v>2400</v>
      </c>
      <c r="L2085">
        <v>0</v>
      </c>
      <c r="M2085">
        <v>0</v>
      </c>
      <c r="N2085">
        <v>2400</v>
      </c>
    </row>
    <row r="2086" spans="1:14" x14ac:dyDescent="0.25">
      <c r="A2086">
        <v>1506.0314679999999</v>
      </c>
      <c r="B2086" s="1">
        <f>DATE(2014,6,15) + TIME(0,45,18)</f>
        <v>41805.031458333331</v>
      </c>
      <c r="C2086">
        <v>80</v>
      </c>
      <c r="D2086">
        <v>79.967277526999993</v>
      </c>
      <c r="E2086">
        <v>50</v>
      </c>
      <c r="F2086">
        <v>47.867572783999996</v>
      </c>
      <c r="G2086">
        <v>1353.8039550999999</v>
      </c>
      <c r="H2086">
        <v>1347.5345459</v>
      </c>
      <c r="I2086">
        <v>1314.0589600000001</v>
      </c>
      <c r="J2086">
        <v>1306.3608397999999</v>
      </c>
      <c r="K2086">
        <v>2400</v>
      </c>
      <c r="L2086">
        <v>0</v>
      </c>
      <c r="M2086">
        <v>0</v>
      </c>
      <c r="N2086">
        <v>2400</v>
      </c>
    </row>
    <row r="2087" spans="1:14" x14ac:dyDescent="0.25">
      <c r="A2087">
        <v>1506.882433</v>
      </c>
      <c r="B2087" s="1">
        <f>DATE(2014,6,15) + TIME(21,10,42)</f>
        <v>41805.882430555554</v>
      </c>
      <c r="C2087">
        <v>80</v>
      </c>
      <c r="D2087">
        <v>79.967254639000004</v>
      </c>
      <c r="E2087">
        <v>50</v>
      </c>
      <c r="F2087">
        <v>47.837451934999997</v>
      </c>
      <c r="G2087">
        <v>1353.7834473</v>
      </c>
      <c r="H2087">
        <v>1347.5214844</v>
      </c>
      <c r="I2087">
        <v>1314.0480957</v>
      </c>
      <c r="J2087">
        <v>1306.3452147999999</v>
      </c>
      <c r="K2087">
        <v>2400</v>
      </c>
      <c r="L2087">
        <v>0</v>
      </c>
      <c r="M2087">
        <v>0</v>
      </c>
      <c r="N2087">
        <v>2400</v>
      </c>
    </row>
    <row r="2088" spans="1:14" x14ac:dyDescent="0.25">
      <c r="A2088">
        <v>1507.7418419999999</v>
      </c>
      <c r="B2088" s="1">
        <f>DATE(2014,6,16) + TIME(17,48,15)</f>
        <v>41806.741840277777</v>
      </c>
      <c r="C2088">
        <v>80</v>
      </c>
      <c r="D2088">
        <v>79.967231749999996</v>
      </c>
      <c r="E2088">
        <v>50</v>
      </c>
      <c r="F2088">
        <v>47.807289124</v>
      </c>
      <c r="G2088">
        <v>1353.7629394999999</v>
      </c>
      <c r="H2088">
        <v>1347.5084228999999</v>
      </c>
      <c r="I2088">
        <v>1314.0368652</v>
      </c>
      <c r="J2088">
        <v>1306.3292236</v>
      </c>
      <c r="K2088">
        <v>2400</v>
      </c>
      <c r="L2088">
        <v>0</v>
      </c>
      <c r="M2088">
        <v>0</v>
      </c>
      <c r="N2088">
        <v>2400</v>
      </c>
    </row>
    <row r="2089" spans="1:14" x14ac:dyDescent="0.25">
      <c r="A2089">
        <v>1508.607898</v>
      </c>
      <c r="B2089" s="1">
        <f>DATE(2014,6,17) + TIME(14,35,22)</f>
        <v>41807.607893518521</v>
      </c>
      <c r="C2089">
        <v>80</v>
      </c>
      <c r="D2089">
        <v>79.967208862000007</v>
      </c>
      <c r="E2089">
        <v>50</v>
      </c>
      <c r="F2089">
        <v>47.777114867999998</v>
      </c>
      <c r="G2089">
        <v>1353.7425536999999</v>
      </c>
      <c r="H2089">
        <v>1347.4953613</v>
      </c>
      <c r="I2089">
        <v>1314.0255127</v>
      </c>
      <c r="J2089">
        <v>1306.3128661999999</v>
      </c>
      <c r="K2089">
        <v>2400</v>
      </c>
      <c r="L2089">
        <v>0</v>
      </c>
      <c r="M2089">
        <v>0</v>
      </c>
      <c r="N2089">
        <v>2400</v>
      </c>
    </row>
    <row r="2090" spans="1:14" x14ac:dyDescent="0.25">
      <c r="A2090">
        <v>1509.482847</v>
      </c>
      <c r="B2090" s="1">
        <f>DATE(2014,6,18) + TIME(11,35,17)</f>
        <v>41808.482835648145</v>
      </c>
      <c r="C2090">
        <v>80</v>
      </c>
      <c r="D2090">
        <v>79.967185974000003</v>
      </c>
      <c r="E2090">
        <v>50</v>
      </c>
      <c r="F2090">
        <v>47.746894836000003</v>
      </c>
      <c r="G2090">
        <v>1353.7222899999999</v>
      </c>
      <c r="H2090">
        <v>1347.4825439000001</v>
      </c>
      <c r="I2090">
        <v>1314.0137939000001</v>
      </c>
      <c r="J2090">
        <v>1306.2960204999999</v>
      </c>
      <c r="K2090">
        <v>2400</v>
      </c>
      <c r="L2090">
        <v>0</v>
      </c>
      <c r="M2090">
        <v>0</v>
      </c>
      <c r="N2090">
        <v>2400</v>
      </c>
    </row>
    <row r="2091" spans="1:14" x14ac:dyDescent="0.25">
      <c r="A2091">
        <v>1510.3691699999999</v>
      </c>
      <c r="B2091" s="1">
        <f>DATE(2014,6,19) + TIME(8,51,36)</f>
        <v>41809.369166666664</v>
      </c>
      <c r="C2091">
        <v>80</v>
      </c>
      <c r="D2091">
        <v>79.967163085999999</v>
      </c>
      <c r="E2091">
        <v>50</v>
      </c>
      <c r="F2091">
        <v>47.716579437</v>
      </c>
      <c r="G2091">
        <v>1353.7021483999999</v>
      </c>
      <c r="H2091">
        <v>1347.4696045000001</v>
      </c>
      <c r="I2091">
        <v>1314.0018310999999</v>
      </c>
      <c r="J2091">
        <v>1306.2786865</v>
      </c>
      <c r="K2091">
        <v>2400</v>
      </c>
      <c r="L2091">
        <v>0</v>
      </c>
      <c r="M2091">
        <v>0</v>
      </c>
      <c r="N2091">
        <v>2400</v>
      </c>
    </row>
    <row r="2092" spans="1:14" x14ac:dyDescent="0.25">
      <c r="A2092">
        <v>1511.2687780000001</v>
      </c>
      <c r="B2092" s="1">
        <f>DATE(2014,6,20) + TIME(6,27,2)</f>
        <v>41810.268773148149</v>
      </c>
      <c r="C2092">
        <v>80</v>
      </c>
      <c r="D2092">
        <v>79.967147827000005</v>
      </c>
      <c r="E2092">
        <v>50</v>
      </c>
      <c r="F2092">
        <v>47.686119079999997</v>
      </c>
      <c r="G2092">
        <v>1353.6820068</v>
      </c>
      <c r="H2092">
        <v>1347.4566649999999</v>
      </c>
      <c r="I2092">
        <v>1313.9895019999999</v>
      </c>
      <c r="J2092">
        <v>1306.2609863</v>
      </c>
      <c r="K2092">
        <v>2400</v>
      </c>
      <c r="L2092">
        <v>0</v>
      </c>
      <c r="M2092">
        <v>0</v>
      </c>
      <c r="N2092">
        <v>2400</v>
      </c>
    </row>
    <row r="2093" spans="1:14" x14ac:dyDescent="0.25">
      <c r="A2093">
        <v>1512.183955</v>
      </c>
      <c r="B2093" s="1">
        <f>DATE(2014,6,21) + TIME(4,24,53)</f>
        <v>41811.183946759258</v>
      </c>
      <c r="C2093">
        <v>80</v>
      </c>
      <c r="D2093">
        <v>79.967124939000001</v>
      </c>
      <c r="E2093">
        <v>50</v>
      </c>
      <c r="F2093">
        <v>47.655448913999997</v>
      </c>
      <c r="G2093">
        <v>1353.6617432</v>
      </c>
      <c r="H2093">
        <v>1347.4437256000001</v>
      </c>
      <c r="I2093">
        <v>1313.9768065999999</v>
      </c>
      <c r="J2093">
        <v>1306.2425536999999</v>
      </c>
      <c r="K2093">
        <v>2400</v>
      </c>
      <c r="L2093">
        <v>0</v>
      </c>
      <c r="M2093">
        <v>0</v>
      </c>
      <c r="N2093">
        <v>2400</v>
      </c>
    </row>
    <row r="2094" spans="1:14" x14ac:dyDescent="0.25">
      <c r="A2094">
        <v>1513.1171999999999</v>
      </c>
      <c r="B2094" s="1">
        <f>DATE(2014,6,22) + TIME(2,48,46)</f>
        <v>41812.117199074077</v>
      </c>
      <c r="C2094">
        <v>80</v>
      </c>
      <c r="D2094">
        <v>79.967102050999998</v>
      </c>
      <c r="E2094">
        <v>50</v>
      </c>
      <c r="F2094">
        <v>47.624507903999998</v>
      </c>
      <c r="G2094">
        <v>1353.6416016000001</v>
      </c>
      <c r="H2094">
        <v>1347.4307861</v>
      </c>
      <c r="I2094">
        <v>1313.9637451000001</v>
      </c>
      <c r="J2094">
        <v>1306.2236327999999</v>
      </c>
      <c r="K2094">
        <v>2400</v>
      </c>
      <c r="L2094">
        <v>0</v>
      </c>
      <c r="M2094">
        <v>0</v>
      </c>
      <c r="N2094">
        <v>2400</v>
      </c>
    </row>
    <row r="2095" spans="1:14" x14ac:dyDescent="0.25">
      <c r="A2095">
        <v>1514.07125</v>
      </c>
      <c r="B2095" s="1">
        <f>DATE(2014,6,23) + TIME(1,42,36)</f>
        <v>41813.071250000001</v>
      </c>
      <c r="C2095">
        <v>80</v>
      </c>
      <c r="D2095">
        <v>79.967079162999994</v>
      </c>
      <c r="E2095">
        <v>50</v>
      </c>
      <c r="F2095">
        <v>47.593219757</v>
      </c>
      <c r="G2095">
        <v>1353.6212158000001</v>
      </c>
      <c r="H2095">
        <v>1347.4176024999999</v>
      </c>
      <c r="I2095">
        <v>1313.9503173999999</v>
      </c>
      <c r="J2095">
        <v>1306.2039795000001</v>
      </c>
      <c r="K2095">
        <v>2400</v>
      </c>
      <c r="L2095">
        <v>0</v>
      </c>
      <c r="M2095">
        <v>0</v>
      </c>
      <c r="N2095">
        <v>2400</v>
      </c>
    </row>
    <row r="2096" spans="1:14" x14ac:dyDescent="0.25">
      <c r="A2096">
        <v>1515.049076</v>
      </c>
      <c r="B2096" s="1">
        <f>DATE(2014,6,24) + TIME(1,10,40)</f>
        <v>41814.049074074072</v>
      </c>
      <c r="C2096">
        <v>80</v>
      </c>
      <c r="D2096">
        <v>79.967063904</v>
      </c>
      <c r="E2096">
        <v>50</v>
      </c>
      <c r="F2096">
        <v>47.561511993000003</v>
      </c>
      <c r="G2096">
        <v>1353.6007079999999</v>
      </c>
      <c r="H2096">
        <v>1347.4044189000001</v>
      </c>
      <c r="I2096">
        <v>1313.9362793</v>
      </c>
      <c r="J2096">
        <v>1306.1834716999999</v>
      </c>
      <c r="K2096">
        <v>2400</v>
      </c>
      <c r="L2096">
        <v>0</v>
      </c>
      <c r="M2096">
        <v>0</v>
      </c>
      <c r="N2096">
        <v>2400</v>
      </c>
    </row>
    <row r="2097" spans="1:14" x14ac:dyDescent="0.25">
      <c r="A2097">
        <v>1516.0539699999999</v>
      </c>
      <c r="B2097" s="1">
        <f>DATE(2014,6,25) + TIME(1,17,42)</f>
        <v>41815.05395833333</v>
      </c>
      <c r="C2097">
        <v>80</v>
      </c>
      <c r="D2097">
        <v>79.967041015999996</v>
      </c>
      <c r="E2097">
        <v>50</v>
      </c>
      <c r="F2097">
        <v>47.529308319000002</v>
      </c>
      <c r="G2097">
        <v>1353.5799560999999</v>
      </c>
      <c r="H2097">
        <v>1347.3909911999999</v>
      </c>
      <c r="I2097">
        <v>1313.9217529</v>
      </c>
      <c r="J2097">
        <v>1306.1622314000001</v>
      </c>
      <c r="K2097">
        <v>2400</v>
      </c>
      <c r="L2097">
        <v>0</v>
      </c>
      <c r="M2097">
        <v>0</v>
      </c>
      <c r="N2097">
        <v>2400</v>
      </c>
    </row>
    <row r="2098" spans="1:14" x14ac:dyDescent="0.25">
      <c r="A2098">
        <v>1517.086998</v>
      </c>
      <c r="B2098" s="1">
        <f>DATE(2014,6,26) + TIME(2,5,16)</f>
        <v>41816.08699074074</v>
      </c>
      <c r="C2098">
        <v>80</v>
      </c>
      <c r="D2098">
        <v>79.967025757000002</v>
      </c>
      <c r="E2098">
        <v>50</v>
      </c>
      <c r="F2098">
        <v>47.496555327999999</v>
      </c>
      <c r="G2098">
        <v>1353.5589600000001</v>
      </c>
      <c r="H2098">
        <v>1347.3774414</v>
      </c>
      <c r="I2098">
        <v>1313.9066161999999</v>
      </c>
      <c r="J2098">
        <v>1306.1400146000001</v>
      </c>
      <c r="K2098">
        <v>2400</v>
      </c>
      <c r="L2098">
        <v>0</v>
      </c>
      <c r="M2098">
        <v>0</v>
      </c>
      <c r="N2098">
        <v>2400</v>
      </c>
    </row>
    <row r="2099" spans="1:14" x14ac:dyDescent="0.25">
      <c r="A2099">
        <v>1517.6109719999999</v>
      </c>
      <c r="B2099" s="1">
        <f>DATE(2014,6,26) + TIME(14,39,47)</f>
        <v>41816.610960648148</v>
      </c>
      <c r="C2099">
        <v>80</v>
      </c>
      <c r="D2099">
        <v>79.967002868999998</v>
      </c>
      <c r="E2099">
        <v>50</v>
      </c>
      <c r="F2099">
        <v>47.473735808999997</v>
      </c>
      <c r="G2099">
        <v>1353.5375977000001</v>
      </c>
      <c r="H2099">
        <v>1347.3636475000001</v>
      </c>
      <c r="I2099">
        <v>1313.8912353999999</v>
      </c>
      <c r="J2099">
        <v>1306.1185303</v>
      </c>
      <c r="K2099">
        <v>2400</v>
      </c>
      <c r="L2099">
        <v>0</v>
      </c>
      <c r="M2099">
        <v>0</v>
      </c>
      <c r="N2099">
        <v>2400</v>
      </c>
    </row>
    <row r="2100" spans="1:14" x14ac:dyDescent="0.25">
      <c r="A2100">
        <v>1518.1349459999999</v>
      </c>
      <c r="B2100" s="1">
        <f>DATE(2014,6,27) + TIME(3,14,19)</f>
        <v>41817.134942129633</v>
      </c>
      <c r="C2100">
        <v>80</v>
      </c>
      <c r="D2100">
        <v>79.966987610000004</v>
      </c>
      <c r="E2100">
        <v>50</v>
      </c>
      <c r="F2100">
        <v>47.453266143999997</v>
      </c>
      <c r="G2100">
        <v>1353.5268555</v>
      </c>
      <c r="H2100">
        <v>1347.3565673999999</v>
      </c>
      <c r="I2100">
        <v>1313.8825684000001</v>
      </c>
      <c r="J2100">
        <v>1306.1054687999999</v>
      </c>
      <c r="K2100">
        <v>2400</v>
      </c>
      <c r="L2100">
        <v>0</v>
      </c>
      <c r="M2100">
        <v>0</v>
      </c>
      <c r="N2100">
        <v>2400</v>
      </c>
    </row>
    <row r="2101" spans="1:14" x14ac:dyDescent="0.25">
      <c r="A2101">
        <v>1518.6589200000001</v>
      </c>
      <c r="B2101" s="1">
        <f>DATE(2014,6,27) + TIME(15,48,50)</f>
        <v>41817.658912037034</v>
      </c>
      <c r="C2101">
        <v>80</v>
      </c>
      <c r="D2101">
        <v>79.966972350999995</v>
      </c>
      <c r="E2101">
        <v>50</v>
      </c>
      <c r="F2101">
        <v>47.434284210000001</v>
      </c>
      <c r="G2101">
        <v>1353.5162353999999</v>
      </c>
      <c r="H2101">
        <v>1347.3497314000001</v>
      </c>
      <c r="I2101">
        <v>1313.8741454999999</v>
      </c>
      <c r="J2101">
        <v>1306.0926514</v>
      </c>
      <c r="K2101">
        <v>2400</v>
      </c>
      <c r="L2101">
        <v>0</v>
      </c>
      <c r="M2101">
        <v>0</v>
      </c>
      <c r="N2101">
        <v>2400</v>
      </c>
    </row>
    <row r="2102" spans="1:14" x14ac:dyDescent="0.25">
      <c r="A2102">
        <v>1519.182894</v>
      </c>
      <c r="B2102" s="1">
        <f>DATE(2014,6,28) + TIME(4,23,22)</f>
        <v>41818.182893518519</v>
      </c>
      <c r="C2102">
        <v>80</v>
      </c>
      <c r="D2102">
        <v>79.966964722</v>
      </c>
      <c r="E2102">
        <v>50</v>
      </c>
      <c r="F2102">
        <v>47.416259766000003</v>
      </c>
      <c r="G2102">
        <v>1353.5057373</v>
      </c>
      <c r="H2102">
        <v>1347.3428954999999</v>
      </c>
      <c r="I2102">
        <v>1313.8657227000001</v>
      </c>
      <c r="J2102">
        <v>1306.0799560999999</v>
      </c>
      <c r="K2102">
        <v>2400</v>
      </c>
      <c r="L2102">
        <v>0</v>
      </c>
      <c r="M2102">
        <v>0</v>
      </c>
      <c r="N2102">
        <v>2400</v>
      </c>
    </row>
    <row r="2103" spans="1:14" x14ac:dyDescent="0.25">
      <c r="A2103">
        <v>1519.7068690000001</v>
      </c>
      <c r="B2103" s="1">
        <f>DATE(2014,6,28) + TIME(16,57,53)</f>
        <v>41818.706863425927</v>
      </c>
      <c r="C2103">
        <v>80</v>
      </c>
      <c r="D2103">
        <v>79.966957092000001</v>
      </c>
      <c r="E2103">
        <v>50</v>
      </c>
      <c r="F2103">
        <v>47.398864746000001</v>
      </c>
      <c r="G2103">
        <v>1353.4953613</v>
      </c>
      <c r="H2103">
        <v>1347.3360596</v>
      </c>
      <c r="I2103">
        <v>1313.8572998</v>
      </c>
      <c r="J2103">
        <v>1306.0672606999999</v>
      </c>
      <c r="K2103">
        <v>2400</v>
      </c>
      <c r="L2103">
        <v>0</v>
      </c>
      <c r="M2103">
        <v>0</v>
      </c>
      <c r="N2103">
        <v>2400</v>
      </c>
    </row>
    <row r="2104" spans="1:14" x14ac:dyDescent="0.25">
      <c r="A2104">
        <v>1520.754817</v>
      </c>
      <c r="B2104" s="1">
        <f>DATE(2014,6,29) + TIME(18,6,56)</f>
        <v>41819.754814814813</v>
      </c>
      <c r="C2104">
        <v>80</v>
      </c>
      <c r="D2104">
        <v>79.966949463000006</v>
      </c>
      <c r="E2104">
        <v>50</v>
      </c>
      <c r="F2104">
        <v>47.374225615999997</v>
      </c>
      <c r="G2104">
        <v>1353.4851074000001</v>
      </c>
      <c r="H2104">
        <v>1347.3293457</v>
      </c>
      <c r="I2104">
        <v>1313.8485106999999</v>
      </c>
      <c r="J2104">
        <v>1306.0532227000001</v>
      </c>
      <c r="K2104">
        <v>2400</v>
      </c>
      <c r="L2104">
        <v>0</v>
      </c>
      <c r="M2104">
        <v>0</v>
      </c>
      <c r="N2104">
        <v>2400</v>
      </c>
    </row>
    <row r="2105" spans="1:14" x14ac:dyDescent="0.25">
      <c r="A2105">
        <v>1521.8037320000001</v>
      </c>
      <c r="B2105" s="1">
        <f>DATE(2014,6,30) + TIME(19,17,22)</f>
        <v>41820.803726851853</v>
      </c>
      <c r="C2105">
        <v>80</v>
      </c>
      <c r="D2105">
        <v>79.966934203999998</v>
      </c>
      <c r="E2105">
        <v>50</v>
      </c>
      <c r="F2105">
        <v>47.345355988000001</v>
      </c>
      <c r="G2105">
        <v>1353.4645995999999</v>
      </c>
      <c r="H2105">
        <v>1347.3160399999999</v>
      </c>
      <c r="I2105">
        <v>1313.8321533000001</v>
      </c>
      <c r="J2105">
        <v>1306.0295410000001</v>
      </c>
      <c r="K2105">
        <v>2400</v>
      </c>
      <c r="L2105">
        <v>0</v>
      </c>
      <c r="M2105">
        <v>0</v>
      </c>
      <c r="N2105">
        <v>2400</v>
      </c>
    </row>
    <row r="2106" spans="1:14" x14ac:dyDescent="0.25">
      <c r="A2106">
        <v>1522</v>
      </c>
      <c r="B2106" s="1">
        <f>DATE(2014,7,1) + TIME(0,0,0)</f>
        <v>41821</v>
      </c>
      <c r="C2106">
        <v>80</v>
      </c>
      <c r="D2106">
        <v>79.966918945000003</v>
      </c>
      <c r="E2106">
        <v>50</v>
      </c>
      <c r="F2106">
        <v>47.335014342999997</v>
      </c>
      <c r="G2106">
        <v>1353.4443358999999</v>
      </c>
      <c r="H2106">
        <v>1347.3027344</v>
      </c>
      <c r="I2106">
        <v>1313.8166504000001</v>
      </c>
      <c r="J2106">
        <v>1306.0090332</v>
      </c>
      <c r="K2106">
        <v>2400</v>
      </c>
      <c r="L2106">
        <v>0</v>
      </c>
      <c r="M2106">
        <v>0</v>
      </c>
      <c r="N2106">
        <v>2400</v>
      </c>
    </row>
    <row r="2107" spans="1:14" x14ac:dyDescent="0.25">
      <c r="A2107">
        <v>1523.0564910000001</v>
      </c>
      <c r="B2107" s="1">
        <f>DATE(2014,7,2) + TIME(1,21,20)</f>
        <v>41822.056481481479</v>
      </c>
      <c r="C2107">
        <v>80</v>
      </c>
      <c r="D2107">
        <v>79.966911315999994</v>
      </c>
      <c r="E2107">
        <v>50</v>
      </c>
      <c r="F2107">
        <v>47.306762695000003</v>
      </c>
      <c r="G2107">
        <v>1353.4404297000001</v>
      </c>
      <c r="H2107">
        <v>1347.3001709</v>
      </c>
      <c r="I2107">
        <v>1313.8116454999999</v>
      </c>
      <c r="J2107">
        <v>1305.9989014</v>
      </c>
      <c r="K2107">
        <v>2400</v>
      </c>
      <c r="L2107">
        <v>0</v>
      </c>
      <c r="M2107">
        <v>0</v>
      </c>
      <c r="N2107">
        <v>2400</v>
      </c>
    </row>
    <row r="2108" spans="1:14" x14ac:dyDescent="0.25">
      <c r="A2108">
        <v>1524.128972</v>
      </c>
      <c r="B2108" s="1">
        <f>DATE(2014,7,3) + TIME(3,5,43)</f>
        <v>41823.128969907404</v>
      </c>
      <c r="C2108">
        <v>80</v>
      </c>
      <c r="D2108">
        <v>79.966896057</v>
      </c>
      <c r="E2108">
        <v>50</v>
      </c>
      <c r="F2108">
        <v>47.276348114000001</v>
      </c>
      <c r="G2108">
        <v>1353.4202881000001</v>
      </c>
      <c r="H2108">
        <v>1347.2869873</v>
      </c>
      <c r="I2108">
        <v>1313.7945557</v>
      </c>
      <c r="J2108">
        <v>1305.9735106999999</v>
      </c>
      <c r="K2108">
        <v>2400</v>
      </c>
      <c r="L2108">
        <v>0</v>
      </c>
      <c r="M2108">
        <v>0</v>
      </c>
      <c r="N2108">
        <v>2400</v>
      </c>
    </row>
    <row r="2109" spans="1:14" x14ac:dyDescent="0.25">
      <c r="A2109">
        <v>1525.217797</v>
      </c>
      <c r="B2109" s="1">
        <f>DATE(2014,7,4) + TIME(5,13,37)</f>
        <v>41824.217789351853</v>
      </c>
      <c r="C2109">
        <v>80</v>
      </c>
      <c r="D2109">
        <v>79.966880798000005</v>
      </c>
      <c r="E2109">
        <v>50</v>
      </c>
      <c r="F2109">
        <v>47.244899750000002</v>
      </c>
      <c r="G2109">
        <v>1353.4001464999999</v>
      </c>
      <c r="H2109">
        <v>1347.2738036999999</v>
      </c>
      <c r="I2109">
        <v>1313.7767334</v>
      </c>
      <c r="J2109">
        <v>1305.9468993999999</v>
      </c>
      <c r="K2109">
        <v>2400</v>
      </c>
      <c r="L2109">
        <v>0</v>
      </c>
      <c r="M2109">
        <v>0</v>
      </c>
      <c r="N2109">
        <v>2400</v>
      </c>
    </row>
    <row r="2110" spans="1:14" x14ac:dyDescent="0.25">
      <c r="A2110">
        <v>1526.3257679999999</v>
      </c>
      <c r="B2110" s="1">
        <f>DATE(2014,7,5) + TIME(7,49,6)</f>
        <v>41825.32576388889</v>
      </c>
      <c r="C2110">
        <v>80</v>
      </c>
      <c r="D2110">
        <v>79.966865540000001</v>
      </c>
      <c r="E2110">
        <v>50</v>
      </c>
      <c r="F2110">
        <v>47.212902069000002</v>
      </c>
      <c r="G2110">
        <v>1353.3800048999999</v>
      </c>
      <c r="H2110">
        <v>1347.2604980000001</v>
      </c>
      <c r="I2110">
        <v>1313.7583007999999</v>
      </c>
      <c r="J2110">
        <v>1305.9191894999999</v>
      </c>
      <c r="K2110">
        <v>2400</v>
      </c>
      <c r="L2110">
        <v>0</v>
      </c>
      <c r="M2110">
        <v>0</v>
      </c>
      <c r="N2110">
        <v>2400</v>
      </c>
    </row>
    <row r="2111" spans="1:14" x14ac:dyDescent="0.25">
      <c r="A2111">
        <v>1527.456083</v>
      </c>
      <c r="B2111" s="1">
        <f>DATE(2014,7,6) + TIME(10,56,45)</f>
        <v>41826.456076388888</v>
      </c>
      <c r="C2111">
        <v>80</v>
      </c>
      <c r="D2111">
        <v>79.966850281000006</v>
      </c>
      <c r="E2111">
        <v>50</v>
      </c>
      <c r="F2111">
        <v>47.180538177000003</v>
      </c>
      <c r="G2111">
        <v>1353.3596190999999</v>
      </c>
      <c r="H2111">
        <v>1347.2470702999999</v>
      </c>
      <c r="I2111">
        <v>1313.7392577999999</v>
      </c>
      <c r="J2111">
        <v>1305.890625</v>
      </c>
      <c r="K2111">
        <v>2400</v>
      </c>
      <c r="L2111">
        <v>0</v>
      </c>
      <c r="M2111">
        <v>0</v>
      </c>
      <c r="N2111">
        <v>2400</v>
      </c>
    </row>
    <row r="2112" spans="1:14" x14ac:dyDescent="0.25">
      <c r="A2112">
        <v>1528.6122359999999</v>
      </c>
      <c r="B2112" s="1">
        <f>DATE(2014,7,7) + TIME(14,41,37)</f>
        <v>41827.612233796295</v>
      </c>
      <c r="C2112">
        <v>80</v>
      </c>
      <c r="D2112">
        <v>79.966827393000003</v>
      </c>
      <c r="E2112">
        <v>50</v>
      </c>
      <c r="F2112">
        <v>47.147861481</v>
      </c>
      <c r="G2112">
        <v>1353.3392334</v>
      </c>
      <c r="H2112">
        <v>1347.2335204999999</v>
      </c>
      <c r="I2112">
        <v>1313.7196045000001</v>
      </c>
      <c r="J2112">
        <v>1305.8608397999999</v>
      </c>
      <c r="K2112">
        <v>2400</v>
      </c>
      <c r="L2112">
        <v>0</v>
      </c>
      <c r="M2112">
        <v>0</v>
      </c>
      <c r="N2112">
        <v>2400</v>
      </c>
    </row>
    <row r="2113" spans="1:14" x14ac:dyDescent="0.25">
      <c r="A2113">
        <v>1529.798108</v>
      </c>
      <c r="B2113" s="1">
        <f>DATE(2014,7,8) + TIME(19,9,16)</f>
        <v>41828.798101851855</v>
      </c>
      <c r="C2113">
        <v>80</v>
      </c>
      <c r="D2113">
        <v>79.966812133999994</v>
      </c>
      <c r="E2113">
        <v>50</v>
      </c>
      <c r="F2113">
        <v>47.114852904999999</v>
      </c>
      <c r="G2113">
        <v>1353.3186035000001</v>
      </c>
      <c r="H2113">
        <v>1347.2198486</v>
      </c>
      <c r="I2113">
        <v>1313.6992187999999</v>
      </c>
      <c r="J2113">
        <v>1305.8300781</v>
      </c>
      <c r="K2113">
        <v>2400</v>
      </c>
      <c r="L2113">
        <v>0</v>
      </c>
      <c r="M2113">
        <v>0</v>
      </c>
      <c r="N2113">
        <v>2400</v>
      </c>
    </row>
    <row r="2114" spans="1:14" x14ac:dyDescent="0.25">
      <c r="A2114">
        <v>1531.0163620000001</v>
      </c>
      <c r="B2114" s="1">
        <f>DATE(2014,7,10) + TIME(0,23,33)</f>
        <v>41830.01635416667</v>
      </c>
      <c r="C2114">
        <v>80</v>
      </c>
      <c r="D2114">
        <v>79.966796875</v>
      </c>
      <c r="E2114">
        <v>50</v>
      </c>
      <c r="F2114">
        <v>47.081489562999998</v>
      </c>
      <c r="G2114">
        <v>1353.2976074000001</v>
      </c>
      <c r="H2114">
        <v>1347.2060547000001</v>
      </c>
      <c r="I2114">
        <v>1313.6781006000001</v>
      </c>
      <c r="J2114">
        <v>1305.7979736</v>
      </c>
      <c r="K2114">
        <v>2400</v>
      </c>
      <c r="L2114">
        <v>0</v>
      </c>
      <c r="M2114">
        <v>0</v>
      </c>
      <c r="N2114">
        <v>2400</v>
      </c>
    </row>
    <row r="2115" spans="1:14" x14ac:dyDescent="0.25">
      <c r="A2115">
        <v>1532.25695</v>
      </c>
      <c r="B2115" s="1">
        <f>DATE(2014,7,11) + TIME(6,10,0)</f>
        <v>41831.256944444445</v>
      </c>
      <c r="C2115">
        <v>80</v>
      </c>
      <c r="D2115">
        <v>79.966781616000006</v>
      </c>
      <c r="E2115">
        <v>50</v>
      </c>
      <c r="F2115">
        <v>47.047889709000003</v>
      </c>
      <c r="G2115">
        <v>1353.2764893000001</v>
      </c>
      <c r="H2115">
        <v>1347.1918945</v>
      </c>
      <c r="I2115">
        <v>1313.65625</v>
      </c>
      <c r="J2115">
        <v>1305.7646483999999</v>
      </c>
      <c r="K2115">
        <v>2400</v>
      </c>
      <c r="L2115">
        <v>0</v>
      </c>
      <c r="M2115">
        <v>0</v>
      </c>
      <c r="N2115">
        <v>2400</v>
      </c>
    </row>
    <row r="2116" spans="1:14" x14ac:dyDescent="0.25">
      <c r="A2116">
        <v>1533.5240859999999</v>
      </c>
      <c r="B2116" s="1">
        <f>DATE(2014,7,12) + TIME(12,34,41)</f>
        <v>41832.524085648147</v>
      </c>
      <c r="C2116">
        <v>80</v>
      </c>
      <c r="D2116">
        <v>79.966766356999997</v>
      </c>
      <c r="E2116">
        <v>50</v>
      </c>
      <c r="F2116">
        <v>47.014141082999998</v>
      </c>
      <c r="G2116">
        <v>1353.2551269999999</v>
      </c>
      <c r="H2116">
        <v>1347.1777344</v>
      </c>
      <c r="I2116">
        <v>1313.6336670000001</v>
      </c>
      <c r="J2116">
        <v>1305.7302245999999</v>
      </c>
      <c r="K2116">
        <v>2400</v>
      </c>
      <c r="L2116">
        <v>0</v>
      </c>
      <c r="M2116">
        <v>0</v>
      </c>
      <c r="N2116">
        <v>2400</v>
      </c>
    </row>
    <row r="2117" spans="1:14" x14ac:dyDescent="0.25">
      <c r="A2117">
        <v>1534.807444</v>
      </c>
      <c r="B2117" s="1">
        <f>DATE(2014,7,13) + TIME(19,22,43)</f>
        <v>41833.807442129626</v>
      </c>
      <c r="C2117">
        <v>80</v>
      </c>
      <c r="D2117">
        <v>79.966751099000007</v>
      </c>
      <c r="E2117">
        <v>50</v>
      </c>
      <c r="F2117">
        <v>46.980392455999997</v>
      </c>
      <c r="G2117">
        <v>1353.2337646000001</v>
      </c>
      <c r="H2117">
        <v>1347.1633300999999</v>
      </c>
      <c r="I2117">
        <v>1313.6103516000001</v>
      </c>
      <c r="J2117">
        <v>1305.6944579999999</v>
      </c>
      <c r="K2117">
        <v>2400</v>
      </c>
      <c r="L2117">
        <v>0</v>
      </c>
      <c r="M2117">
        <v>0</v>
      </c>
      <c r="N2117">
        <v>2400</v>
      </c>
    </row>
    <row r="2118" spans="1:14" x14ac:dyDescent="0.25">
      <c r="A2118">
        <v>1536.091545</v>
      </c>
      <c r="B2118" s="1">
        <f>DATE(2014,7,15) + TIME(2,11,49)</f>
        <v>41835.091539351852</v>
      </c>
      <c r="C2118">
        <v>80</v>
      </c>
      <c r="D2118">
        <v>79.966743468999994</v>
      </c>
      <c r="E2118">
        <v>50</v>
      </c>
      <c r="F2118">
        <v>46.94695282</v>
      </c>
      <c r="G2118">
        <v>1353.2122803</v>
      </c>
      <c r="H2118">
        <v>1347.1489257999999</v>
      </c>
      <c r="I2118">
        <v>1313.5864257999999</v>
      </c>
      <c r="J2118">
        <v>1305.6578368999999</v>
      </c>
      <c r="K2118">
        <v>2400</v>
      </c>
      <c r="L2118">
        <v>0</v>
      </c>
      <c r="M2118">
        <v>0</v>
      </c>
      <c r="N2118">
        <v>2400</v>
      </c>
    </row>
    <row r="2119" spans="1:14" x14ac:dyDescent="0.25">
      <c r="A2119">
        <v>1537.3796560000001</v>
      </c>
      <c r="B2119" s="1">
        <f>DATE(2014,7,16) + TIME(9,6,42)</f>
        <v>41836.379652777781</v>
      </c>
      <c r="C2119">
        <v>80</v>
      </c>
      <c r="D2119">
        <v>79.966728209999999</v>
      </c>
      <c r="E2119">
        <v>50</v>
      </c>
      <c r="F2119">
        <v>46.914001464999998</v>
      </c>
      <c r="G2119">
        <v>1353.1910399999999</v>
      </c>
      <c r="H2119">
        <v>1347.1346435999999</v>
      </c>
      <c r="I2119">
        <v>1313.5622559000001</v>
      </c>
      <c r="J2119">
        <v>1305.6206055</v>
      </c>
      <c r="K2119">
        <v>2400</v>
      </c>
      <c r="L2119">
        <v>0</v>
      </c>
      <c r="M2119">
        <v>0</v>
      </c>
      <c r="N2119">
        <v>2400</v>
      </c>
    </row>
    <row r="2120" spans="1:14" x14ac:dyDescent="0.25">
      <c r="A2120">
        <v>1538.6750159999999</v>
      </c>
      <c r="B2120" s="1">
        <f>DATE(2014,7,17) + TIME(16,12,1)</f>
        <v>41837.675011574072</v>
      </c>
      <c r="C2120">
        <v>80</v>
      </c>
      <c r="D2120">
        <v>79.966712951999995</v>
      </c>
      <c r="E2120">
        <v>50</v>
      </c>
      <c r="F2120">
        <v>46.881591796999999</v>
      </c>
      <c r="G2120">
        <v>1353.1701660000001</v>
      </c>
      <c r="H2120">
        <v>1347.1206055</v>
      </c>
      <c r="I2120">
        <v>1313.5377197</v>
      </c>
      <c r="J2120">
        <v>1305.5827637</v>
      </c>
      <c r="K2120">
        <v>2400</v>
      </c>
      <c r="L2120">
        <v>0</v>
      </c>
      <c r="M2120">
        <v>0</v>
      </c>
      <c r="N2120">
        <v>2400</v>
      </c>
    </row>
    <row r="2121" spans="1:14" x14ac:dyDescent="0.25">
      <c r="A2121">
        <v>1539.981538</v>
      </c>
      <c r="B2121" s="1">
        <f>DATE(2014,7,18) + TIME(23,33,24)</f>
        <v>41838.981527777774</v>
      </c>
      <c r="C2121">
        <v>80</v>
      </c>
      <c r="D2121">
        <v>79.966697693</v>
      </c>
      <c r="E2121">
        <v>50</v>
      </c>
      <c r="F2121">
        <v>46.849700927999997</v>
      </c>
      <c r="G2121">
        <v>1353.1492920000001</v>
      </c>
      <c r="H2121">
        <v>1347.1064452999999</v>
      </c>
      <c r="I2121">
        <v>1313.5129394999999</v>
      </c>
      <c r="J2121">
        <v>1305.5441894999999</v>
      </c>
      <c r="K2121">
        <v>2400</v>
      </c>
      <c r="L2121">
        <v>0</v>
      </c>
      <c r="M2121">
        <v>0</v>
      </c>
      <c r="N2121">
        <v>2400</v>
      </c>
    </row>
    <row r="2122" spans="1:14" x14ac:dyDescent="0.25">
      <c r="A2122">
        <v>1541.3080809999999</v>
      </c>
      <c r="B2122" s="1">
        <f>DATE(2014,7,20) + TIME(7,23,38)</f>
        <v>41840.308078703703</v>
      </c>
      <c r="C2122">
        <v>80</v>
      </c>
      <c r="D2122">
        <v>79.966682434000006</v>
      </c>
      <c r="E2122">
        <v>50</v>
      </c>
      <c r="F2122">
        <v>46.818252563000001</v>
      </c>
      <c r="G2122">
        <v>1353.1285399999999</v>
      </c>
      <c r="H2122">
        <v>1347.0924072</v>
      </c>
      <c r="I2122">
        <v>1313.4875488</v>
      </c>
      <c r="J2122">
        <v>1305.5048827999999</v>
      </c>
      <c r="K2122">
        <v>2400</v>
      </c>
      <c r="L2122">
        <v>0</v>
      </c>
      <c r="M2122">
        <v>0</v>
      </c>
      <c r="N2122">
        <v>2400</v>
      </c>
    </row>
    <row r="2123" spans="1:14" x14ac:dyDescent="0.25">
      <c r="A2123">
        <v>1542.6579919999999</v>
      </c>
      <c r="B2123" s="1">
        <f>DATE(2014,7,21) + TIME(15,47,30)</f>
        <v>41841.657986111109</v>
      </c>
      <c r="C2123">
        <v>80</v>
      </c>
      <c r="D2123">
        <v>79.966674804999997</v>
      </c>
      <c r="E2123">
        <v>50</v>
      </c>
      <c r="F2123">
        <v>46.787185669000003</v>
      </c>
      <c r="G2123">
        <v>1353.1077881000001</v>
      </c>
      <c r="H2123">
        <v>1347.0782471</v>
      </c>
      <c r="I2123">
        <v>1313.4616699000001</v>
      </c>
      <c r="J2123">
        <v>1305.4644774999999</v>
      </c>
      <c r="K2123">
        <v>2400</v>
      </c>
      <c r="L2123">
        <v>0</v>
      </c>
      <c r="M2123">
        <v>0</v>
      </c>
      <c r="N2123">
        <v>2400</v>
      </c>
    </row>
    <row r="2124" spans="1:14" x14ac:dyDescent="0.25">
      <c r="A2124">
        <v>1544.0355059999999</v>
      </c>
      <c r="B2124" s="1">
        <f>DATE(2014,7,23) + TIME(0,51,7)</f>
        <v>41843.035497685189</v>
      </c>
      <c r="C2124">
        <v>80</v>
      </c>
      <c r="D2124">
        <v>79.966659546000002</v>
      </c>
      <c r="E2124">
        <v>50</v>
      </c>
      <c r="F2124">
        <v>46.756458281999997</v>
      </c>
      <c r="G2124">
        <v>1353.0867920000001</v>
      </c>
      <c r="H2124">
        <v>1347.0640868999999</v>
      </c>
      <c r="I2124">
        <v>1313.4351807</v>
      </c>
      <c r="J2124">
        <v>1305.4230957</v>
      </c>
      <c r="K2124">
        <v>2400</v>
      </c>
      <c r="L2124">
        <v>0</v>
      </c>
      <c r="M2124">
        <v>0</v>
      </c>
      <c r="N2124">
        <v>2400</v>
      </c>
    </row>
    <row r="2125" spans="1:14" x14ac:dyDescent="0.25">
      <c r="A2125">
        <v>1545.4410869999999</v>
      </c>
      <c r="B2125" s="1">
        <f>DATE(2014,7,24) + TIME(10,35,9)</f>
        <v>41844.441076388888</v>
      </c>
      <c r="C2125">
        <v>80</v>
      </c>
      <c r="D2125">
        <v>79.966651916999993</v>
      </c>
      <c r="E2125">
        <v>50</v>
      </c>
      <c r="F2125">
        <v>46.726097107000001</v>
      </c>
      <c r="G2125">
        <v>1353.0657959</v>
      </c>
      <c r="H2125">
        <v>1347.0496826000001</v>
      </c>
      <c r="I2125">
        <v>1313.4079589999999</v>
      </c>
      <c r="J2125">
        <v>1305.3803711</v>
      </c>
      <c r="K2125">
        <v>2400</v>
      </c>
      <c r="L2125">
        <v>0</v>
      </c>
      <c r="M2125">
        <v>0</v>
      </c>
      <c r="N2125">
        <v>2400</v>
      </c>
    </row>
    <row r="2126" spans="1:14" x14ac:dyDescent="0.25">
      <c r="A2126">
        <v>1546.865708</v>
      </c>
      <c r="B2126" s="1">
        <f>DATE(2014,7,25) + TIME(20,46,37)</f>
        <v>41845.865706018521</v>
      </c>
      <c r="C2126">
        <v>80</v>
      </c>
      <c r="D2126">
        <v>79.966636657999999</v>
      </c>
      <c r="E2126">
        <v>50</v>
      </c>
      <c r="F2126">
        <v>46.696247100999997</v>
      </c>
      <c r="G2126">
        <v>1353.0445557</v>
      </c>
      <c r="H2126">
        <v>1347.0351562000001</v>
      </c>
      <c r="I2126">
        <v>1313.3798827999999</v>
      </c>
      <c r="J2126">
        <v>1305.3364257999999</v>
      </c>
      <c r="K2126">
        <v>2400</v>
      </c>
      <c r="L2126">
        <v>0</v>
      </c>
      <c r="M2126">
        <v>0</v>
      </c>
      <c r="N2126">
        <v>2400</v>
      </c>
    </row>
    <row r="2127" spans="1:14" x14ac:dyDescent="0.25">
      <c r="A2127">
        <v>1548.3159069999999</v>
      </c>
      <c r="B2127" s="1">
        <f>DATE(2014,7,27) + TIME(7,34,54)</f>
        <v>41847.31590277778</v>
      </c>
      <c r="C2127">
        <v>80</v>
      </c>
      <c r="D2127">
        <v>79.966629028</v>
      </c>
      <c r="E2127">
        <v>50</v>
      </c>
      <c r="F2127">
        <v>46.667018890000001</v>
      </c>
      <c r="G2127">
        <v>1353.0233154</v>
      </c>
      <c r="H2127">
        <v>1347.0205077999999</v>
      </c>
      <c r="I2127">
        <v>1313.3513184000001</v>
      </c>
      <c r="J2127">
        <v>1305.2913818</v>
      </c>
      <c r="K2127">
        <v>2400</v>
      </c>
      <c r="L2127">
        <v>0</v>
      </c>
      <c r="M2127">
        <v>0</v>
      </c>
      <c r="N2127">
        <v>2400</v>
      </c>
    </row>
    <row r="2128" spans="1:14" x14ac:dyDescent="0.25">
      <c r="A2128">
        <v>1549.796724</v>
      </c>
      <c r="B2128" s="1">
        <f>DATE(2014,7,28) + TIME(19,7,16)</f>
        <v>41848.796712962961</v>
      </c>
      <c r="C2128">
        <v>80</v>
      </c>
      <c r="D2128">
        <v>79.966621399000005</v>
      </c>
      <c r="E2128">
        <v>50</v>
      </c>
      <c r="F2128">
        <v>46.638454437</v>
      </c>
      <c r="G2128">
        <v>1353.0019531</v>
      </c>
      <c r="H2128">
        <v>1347.0058594</v>
      </c>
      <c r="I2128">
        <v>1313.3221435999999</v>
      </c>
      <c r="J2128">
        <v>1305.2452393000001</v>
      </c>
      <c r="K2128">
        <v>2400</v>
      </c>
      <c r="L2128">
        <v>0</v>
      </c>
      <c r="M2128">
        <v>0</v>
      </c>
      <c r="N2128">
        <v>2400</v>
      </c>
    </row>
    <row r="2129" spans="1:14" x14ac:dyDescent="0.25">
      <c r="A2129">
        <v>1551.313187</v>
      </c>
      <c r="B2129" s="1">
        <f>DATE(2014,7,30) + TIME(7,30,59)</f>
        <v>41850.31318287037</v>
      </c>
      <c r="C2129">
        <v>80</v>
      </c>
      <c r="D2129">
        <v>79.966613769999995</v>
      </c>
      <c r="E2129">
        <v>50</v>
      </c>
      <c r="F2129">
        <v>46.610603333</v>
      </c>
      <c r="G2129">
        <v>1352.9803466999999</v>
      </c>
      <c r="H2129">
        <v>1346.9909668</v>
      </c>
      <c r="I2129">
        <v>1313.2921143000001</v>
      </c>
      <c r="J2129">
        <v>1305.1976318</v>
      </c>
      <c r="K2129">
        <v>2400</v>
      </c>
      <c r="L2129">
        <v>0</v>
      </c>
      <c r="M2129">
        <v>0</v>
      </c>
      <c r="N2129">
        <v>2400</v>
      </c>
    </row>
    <row r="2130" spans="1:14" x14ac:dyDescent="0.25">
      <c r="A2130">
        <v>1552.0919899999999</v>
      </c>
      <c r="B2130" s="1">
        <f>DATE(2014,7,31) + TIME(2,12,27)</f>
        <v>41851.091979166667</v>
      </c>
      <c r="C2130">
        <v>80</v>
      </c>
      <c r="D2130">
        <v>79.966598511000001</v>
      </c>
      <c r="E2130">
        <v>50</v>
      </c>
      <c r="F2130">
        <v>46.590553284000002</v>
      </c>
      <c r="G2130">
        <v>1352.9584961</v>
      </c>
      <c r="H2130">
        <v>1346.9757079999999</v>
      </c>
      <c r="I2130">
        <v>1313.2631836</v>
      </c>
      <c r="J2130">
        <v>1305.1527100000001</v>
      </c>
      <c r="K2130">
        <v>2400</v>
      </c>
      <c r="L2130">
        <v>0</v>
      </c>
      <c r="M2130">
        <v>0</v>
      </c>
      <c r="N2130">
        <v>2400</v>
      </c>
    </row>
    <row r="2131" spans="1:14" x14ac:dyDescent="0.25">
      <c r="A2131">
        <v>1553</v>
      </c>
      <c r="B2131" s="1">
        <f>DATE(2014,8,1) + TIME(0,0,0)</f>
        <v>41852</v>
      </c>
      <c r="C2131">
        <v>80</v>
      </c>
      <c r="D2131">
        <v>79.966583252000007</v>
      </c>
      <c r="E2131">
        <v>50</v>
      </c>
      <c r="F2131">
        <v>46.572715758999998</v>
      </c>
      <c r="G2131">
        <v>1352.9473877</v>
      </c>
      <c r="H2131">
        <v>1346.9680175999999</v>
      </c>
      <c r="I2131">
        <v>1313.2451172000001</v>
      </c>
      <c r="J2131">
        <v>1305.1231689000001</v>
      </c>
      <c r="K2131">
        <v>2400</v>
      </c>
      <c r="L2131">
        <v>0</v>
      </c>
      <c r="M2131">
        <v>0</v>
      </c>
      <c r="N2131">
        <v>2400</v>
      </c>
    </row>
    <row r="2132" spans="1:14" x14ac:dyDescent="0.25">
      <c r="A2132">
        <v>1553.778804</v>
      </c>
      <c r="B2132" s="1">
        <f>DATE(2014,8,1) + TIME(18,41,28)</f>
        <v>41852.778796296298</v>
      </c>
      <c r="C2132">
        <v>80</v>
      </c>
      <c r="D2132">
        <v>79.966583252000007</v>
      </c>
      <c r="E2132">
        <v>50</v>
      </c>
      <c r="F2132">
        <v>46.55789566</v>
      </c>
      <c r="G2132">
        <v>1352.9345702999999</v>
      </c>
      <c r="H2132">
        <v>1346.9591064000001</v>
      </c>
      <c r="I2132">
        <v>1313.2263184000001</v>
      </c>
      <c r="J2132">
        <v>1305.0930175999999</v>
      </c>
      <c r="K2132">
        <v>2400</v>
      </c>
      <c r="L2132">
        <v>0</v>
      </c>
      <c r="M2132">
        <v>0</v>
      </c>
      <c r="N2132">
        <v>2400</v>
      </c>
    </row>
    <row r="2133" spans="1:14" x14ac:dyDescent="0.25">
      <c r="A2133">
        <v>1554.557607</v>
      </c>
      <c r="B2133" s="1">
        <f>DATE(2014,8,2) + TIME(13,22,57)</f>
        <v>41853.557604166665</v>
      </c>
      <c r="C2133">
        <v>80</v>
      </c>
      <c r="D2133">
        <v>79.966575622999997</v>
      </c>
      <c r="E2133">
        <v>50</v>
      </c>
      <c r="F2133">
        <v>46.544551849000001</v>
      </c>
      <c r="G2133">
        <v>1352.9237060999999</v>
      </c>
      <c r="H2133">
        <v>1346.9515381000001</v>
      </c>
      <c r="I2133">
        <v>1313.2097168</v>
      </c>
      <c r="J2133">
        <v>1305.0662841999999</v>
      </c>
      <c r="K2133">
        <v>2400</v>
      </c>
      <c r="L2133">
        <v>0</v>
      </c>
      <c r="M2133">
        <v>0</v>
      </c>
      <c r="N2133">
        <v>2400</v>
      </c>
    </row>
    <row r="2134" spans="1:14" x14ac:dyDescent="0.25">
      <c r="A2134">
        <v>1556.115215</v>
      </c>
      <c r="B2134" s="1">
        <f>DATE(2014,8,4) + TIME(2,45,54)</f>
        <v>41855.115208333336</v>
      </c>
      <c r="C2134">
        <v>80</v>
      </c>
      <c r="D2134">
        <v>79.966575622999997</v>
      </c>
      <c r="E2134">
        <v>50</v>
      </c>
      <c r="F2134">
        <v>46.527870178000001</v>
      </c>
      <c r="G2134">
        <v>1352.9129639</v>
      </c>
      <c r="H2134">
        <v>1346.9439697</v>
      </c>
      <c r="I2134">
        <v>1313.1918945</v>
      </c>
      <c r="J2134">
        <v>1305.0369873</v>
      </c>
      <c r="K2134">
        <v>2400</v>
      </c>
      <c r="L2134">
        <v>0</v>
      </c>
      <c r="M2134">
        <v>0</v>
      </c>
      <c r="N2134">
        <v>2400</v>
      </c>
    </row>
    <row r="2135" spans="1:14" x14ac:dyDescent="0.25">
      <c r="A2135">
        <v>1557.673951</v>
      </c>
      <c r="B2135" s="1">
        <f>DATE(2014,8,5) + TIME(16,10,29)</f>
        <v>41856.673946759256</v>
      </c>
      <c r="C2135">
        <v>80</v>
      </c>
      <c r="D2135">
        <v>79.966575622999997</v>
      </c>
      <c r="E2135">
        <v>50</v>
      </c>
      <c r="F2135">
        <v>46.508007050000003</v>
      </c>
      <c r="G2135">
        <v>1352.8913574000001</v>
      </c>
      <c r="H2135">
        <v>1346.9289550999999</v>
      </c>
      <c r="I2135">
        <v>1313.1618652</v>
      </c>
      <c r="J2135">
        <v>1304.9893798999999</v>
      </c>
      <c r="K2135">
        <v>2400</v>
      </c>
      <c r="L2135">
        <v>0</v>
      </c>
      <c r="M2135">
        <v>0</v>
      </c>
      <c r="N2135">
        <v>2400</v>
      </c>
    </row>
    <row r="2136" spans="1:14" x14ac:dyDescent="0.25">
      <c r="A2136">
        <v>1559.252561</v>
      </c>
      <c r="B2136" s="1">
        <f>DATE(2014,8,7) + TIME(6,3,41)</f>
        <v>41858.252557870372</v>
      </c>
      <c r="C2136">
        <v>80</v>
      </c>
      <c r="D2136">
        <v>79.966567992999998</v>
      </c>
      <c r="E2136">
        <v>50</v>
      </c>
      <c r="F2136">
        <v>46.488201140999998</v>
      </c>
      <c r="G2136">
        <v>1352.8701172000001</v>
      </c>
      <c r="H2136">
        <v>1346.9139404</v>
      </c>
      <c r="I2136">
        <v>1313.1306152</v>
      </c>
      <c r="J2136">
        <v>1304.9389647999999</v>
      </c>
      <c r="K2136">
        <v>2400</v>
      </c>
      <c r="L2136">
        <v>0</v>
      </c>
      <c r="M2136">
        <v>0</v>
      </c>
      <c r="N2136">
        <v>2400</v>
      </c>
    </row>
    <row r="2137" spans="1:14" x14ac:dyDescent="0.25">
      <c r="A2137">
        <v>1560.8556169999999</v>
      </c>
      <c r="B2137" s="1">
        <f>DATE(2014,8,8) + TIME(20,32,5)</f>
        <v>41859.855613425927</v>
      </c>
      <c r="C2137">
        <v>80</v>
      </c>
      <c r="D2137">
        <v>79.966560364000003</v>
      </c>
      <c r="E2137">
        <v>50</v>
      </c>
      <c r="F2137">
        <v>46.469600677000003</v>
      </c>
      <c r="G2137">
        <v>1352.8487548999999</v>
      </c>
      <c r="H2137">
        <v>1346.8990478999999</v>
      </c>
      <c r="I2137">
        <v>1313.0983887</v>
      </c>
      <c r="J2137">
        <v>1304.8869629000001</v>
      </c>
      <c r="K2137">
        <v>2400</v>
      </c>
      <c r="L2137">
        <v>0</v>
      </c>
      <c r="M2137">
        <v>0</v>
      </c>
      <c r="N2137">
        <v>2400</v>
      </c>
    </row>
    <row r="2138" spans="1:14" x14ac:dyDescent="0.25">
      <c r="A2138">
        <v>1562.4882500000001</v>
      </c>
      <c r="B2138" s="1">
        <f>DATE(2014,8,10) + TIME(11,43,4)</f>
        <v>41861.488240740742</v>
      </c>
      <c r="C2138">
        <v>80</v>
      </c>
      <c r="D2138">
        <v>79.966552734000004</v>
      </c>
      <c r="E2138">
        <v>50</v>
      </c>
      <c r="F2138">
        <v>46.452697753999999</v>
      </c>
      <c r="G2138">
        <v>1352.8273925999999</v>
      </c>
      <c r="H2138">
        <v>1346.8839111</v>
      </c>
      <c r="I2138">
        <v>1313.0655518000001</v>
      </c>
      <c r="J2138">
        <v>1304.8338623</v>
      </c>
      <c r="K2138">
        <v>2400</v>
      </c>
      <c r="L2138">
        <v>0</v>
      </c>
      <c r="M2138">
        <v>0</v>
      </c>
      <c r="N2138">
        <v>2400</v>
      </c>
    </row>
    <row r="2139" spans="1:14" x14ac:dyDescent="0.25">
      <c r="A2139">
        <v>1564.1562039999999</v>
      </c>
      <c r="B2139" s="1">
        <f>DATE(2014,8,12) + TIME(3,44,56)</f>
        <v>41863.1562037037</v>
      </c>
      <c r="C2139">
        <v>80</v>
      </c>
      <c r="D2139">
        <v>79.966545104999994</v>
      </c>
      <c r="E2139">
        <v>50</v>
      </c>
      <c r="F2139">
        <v>46.437789917000003</v>
      </c>
      <c r="G2139">
        <v>1352.8057861</v>
      </c>
      <c r="H2139">
        <v>1346.8686522999999</v>
      </c>
      <c r="I2139">
        <v>1313.0321045000001</v>
      </c>
      <c r="J2139">
        <v>1304.7795410000001</v>
      </c>
      <c r="K2139">
        <v>2400</v>
      </c>
      <c r="L2139">
        <v>0</v>
      </c>
      <c r="M2139">
        <v>0</v>
      </c>
      <c r="N2139">
        <v>2400</v>
      </c>
    </row>
    <row r="2140" spans="1:14" x14ac:dyDescent="0.25">
      <c r="A2140">
        <v>1565.84986</v>
      </c>
      <c r="B2140" s="1">
        <f>DATE(2014,8,13) + TIME(20,23,47)</f>
        <v>41864.849849537037</v>
      </c>
      <c r="C2140">
        <v>80</v>
      </c>
      <c r="D2140">
        <v>79.966545104999994</v>
      </c>
      <c r="E2140">
        <v>50</v>
      </c>
      <c r="F2140">
        <v>46.425170897999998</v>
      </c>
      <c r="G2140">
        <v>1352.7840576000001</v>
      </c>
      <c r="H2140">
        <v>1346.8531493999999</v>
      </c>
      <c r="I2140">
        <v>1312.9980469</v>
      </c>
      <c r="J2140">
        <v>1304.723999</v>
      </c>
      <c r="K2140">
        <v>2400</v>
      </c>
      <c r="L2140">
        <v>0</v>
      </c>
      <c r="M2140">
        <v>0</v>
      </c>
      <c r="N2140">
        <v>2400</v>
      </c>
    </row>
    <row r="2141" spans="1:14" x14ac:dyDescent="0.25">
      <c r="A2141">
        <v>1567.5661769999999</v>
      </c>
      <c r="B2141" s="1">
        <f>DATE(2014,8,15) + TIME(13,35,17)</f>
        <v>41866.566168981481</v>
      </c>
      <c r="C2141">
        <v>80</v>
      </c>
      <c r="D2141">
        <v>79.966537475999999</v>
      </c>
      <c r="E2141">
        <v>50</v>
      </c>
      <c r="F2141">
        <v>46.415142058999997</v>
      </c>
      <c r="G2141">
        <v>1352.762207</v>
      </c>
      <c r="H2141">
        <v>1346.8376464999999</v>
      </c>
      <c r="I2141">
        <v>1312.9636230000001</v>
      </c>
      <c r="J2141">
        <v>1304.6676024999999</v>
      </c>
      <c r="K2141">
        <v>2400</v>
      </c>
      <c r="L2141">
        <v>0</v>
      </c>
      <c r="M2141">
        <v>0</v>
      </c>
      <c r="N2141">
        <v>2400</v>
      </c>
    </row>
    <row r="2142" spans="1:14" x14ac:dyDescent="0.25">
      <c r="A2142">
        <v>1569.3171580000001</v>
      </c>
      <c r="B2142" s="1">
        <f>DATE(2014,8,17) + TIME(7,36,42)</f>
        <v>41868.317152777781</v>
      </c>
      <c r="C2142">
        <v>80</v>
      </c>
      <c r="D2142">
        <v>79.966529846</v>
      </c>
      <c r="E2142">
        <v>50</v>
      </c>
      <c r="F2142">
        <v>46.407978057999998</v>
      </c>
      <c r="G2142">
        <v>1352.7403564000001</v>
      </c>
      <c r="H2142">
        <v>1346.8220214999999</v>
      </c>
      <c r="I2142">
        <v>1312.9288329999999</v>
      </c>
      <c r="J2142">
        <v>1304.6105957</v>
      </c>
      <c r="K2142">
        <v>2400</v>
      </c>
      <c r="L2142">
        <v>0</v>
      </c>
      <c r="M2142">
        <v>0</v>
      </c>
      <c r="N2142">
        <v>2400</v>
      </c>
    </row>
    <row r="2143" spans="1:14" x14ac:dyDescent="0.25">
      <c r="A2143">
        <v>1571.1104620000001</v>
      </c>
      <c r="B2143" s="1">
        <f>DATE(2014,8,19) + TIME(2,39,3)</f>
        <v>41870.110451388886</v>
      </c>
      <c r="C2143">
        <v>80</v>
      </c>
      <c r="D2143">
        <v>79.966529846</v>
      </c>
      <c r="E2143">
        <v>50</v>
      </c>
      <c r="F2143">
        <v>46.403980255</v>
      </c>
      <c r="G2143">
        <v>1352.7182617000001</v>
      </c>
      <c r="H2143">
        <v>1346.8061522999999</v>
      </c>
      <c r="I2143">
        <v>1312.8935547000001</v>
      </c>
      <c r="J2143">
        <v>1304.5524902</v>
      </c>
      <c r="K2143">
        <v>2400</v>
      </c>
      <c r="L2143">
        <v>0</v>
      </c>
      <c r="M2143">
        <v>0</v>
      </c>
      <c r="N2143">
        <v>2400</v>
      </c>
    </row>
    <row r="2144" spans="1:14" x14ac:dyDescent="0.25">
      <c r="A2144">
        <v>1572.9253309999999</v>
      </c>
      <c r="B2144" s="1">
        <f>DATE(2014,8,20) + TIME(22,12,28)</f>
        <v>41871.925324074073</v>
      </c>
      <c r="C2144">
        <v>80</v>
      </c>
      <c r="D2144">
        <v>79.966529846</v>
      </c>
      <c r="E2144">
        <v>50</v>
      </c>
      <c r="F2144">
        <v>46.403522490999997</v>
      </c>
      <c r="G2144">
        <v>1352.6959228999999</v>
      </c>
      <c r="H2144">
        <v>1346.7901611</v>
      </c>
      <c r="I2144">
        <v>1312.8577881000001</v>
      </c>
      <c r="J2144">
        <v>1304.4934082</v>
      </c>
      <c r="K2144">
        <v>2400</v>
      </c>
      <c r="L2144">
        <v>0</v>
      </c>
      <c r="M2144">
        <v>0</v>
      </c>
      <c r="N2144">
        <v>2400</v>
      </c>
    </row>
    <row r="2145" spans="1:14" x14ac:dyDescent="0.25">
      <c r="A2145">
        <v>1574.7435359999999</v>
      </c>
      <c r="B2145" s="1">
        <f>DATE(2014,8,22) + TIME(17,50,41)</f>
        <v>41873.743530092594</v>
      </c>
      <c r="C2145">
        <v>80</v>
      </c>
      <c r="D2145">
        <v>79.966522217000005</v>
      </c>
      <c r="E2145">
        <v>50</v>
      </c>
      <c r="F2145">
        <v>46.406970977999997</v>
      </c>
      <c r="G2145">
        <v>1352.6735839999999</v>
      </c>
      <c r="H2145">
        <v>1346.7740478999999</v>
      </c>
      <c r="I2145">
        <v>1312.8218993999999</v>
      </c>
      <c r="J2145">
        <v>1304.4338379000001</v>
      </c>
      <c r="K2145">
        <v>2400</v>
      </c>
      <c r="L2145">
        <v>0</v>
      </c>
      <c r="M2145">
        <v>0</v>
      </c>
      <c r="N2145">
        <v>2400</v>
      </c>
    </row>
    <row r="2146" spans="1:14" x14ac:dyDescent="0.25">
      <c r="A2146">
        <v>1576.5712679999999</v>
      </c>
      <c r="B2146" s="1">
        <f>DATE(2014,8,24) + TIME(13,42,37)</f>
        <v>41875.571261574078</v>
      </c>
      <c r="C2146">
        <v>80</v>
      </c>
      <c r="D2146">
        <v>79.966522217000005</v>
      </c>
      <c r="E2146">
        <v>50</v>
      </c>
      <c r="F2146">
        <v>46.414619446000003</v>
      </c>
      <c r="G2146">
        <v>1352.6514893000001</v>
      </c>
      <c r="H2146">
        <v>1346.7579346</v>
      </c>
      <c r="I2146">
        <v>1312.7861327999999</v>
      </c>
      <c r="J2146">
        <v>1304.3743896000001</v>
      </c>
      <c r="K2146">
        <v>2400</v>
      </c>
      <c r="L2146">
        <v>0</v>
      </c>
      <c r="M2146">
        <v>0</v>
      </c>
      <c r="N2146">
        <v>2400</v>
      </c>
    </row>
    <row r="2147" spans="1:14" x14ac:dyDescent="0.25">
      <c r="A2147">
        <v>1578.4246519999999</v>
      </c>
      <c r="B2147" s="1">
        <f>DATE(2014,8,26) + TIME(10,11,29)</f>
        <v>41877.424641203703</v>
      </c>
      <c r="C2147">
        <v>80</v>
      </c>
      <c r="D2147">
        <v>79.966514587000006</v>
      </c>
      <c r="E2147">
        <v>50</v>
      </c>
      <c r="F2147">
        <v>46.426788330000001</v>
      </c>
      <c r="G2147">
        <v>1352.6295166</v>
      </c>
      <c r="H2147">
        <v>1346.7420654</v>
      </c>
      <c r="I2147">
        <v>1312.7506103999999</v>
      </c>
      <c r="J2147">
        <v>1304.3150635</v>
      </c>
      <c r="K2147">
        <v>2400</v>
      </c>
      <c r="L2147">
        <v>0</v>
      </c>
      <c r="M2147">
        <v>0</v>
      </c>
      <c r="N2147">
        <v>2400</v>
      </c>
    </row>
    <row r="2148" spans="1:14" x14ac:dyDescent="0.25">
      <c r="A2148">
        <v>1580.311833</v>
      </c>
      <c r="B2148" s="1">
        <f>DATE(2014,8,28) + TIME(7,29,2)</f>
        <v>41879.311828703707</v>
      </c>
      <c r="C2148">
        <v>80</v>
      </c>
      <c r="D2148">
        <v>79.966514587000006</v>
      </c>
      <c r="E2148">
        <v>50</v>
      </c>
      <c r="F2148">
        <v>46.443931579999997</v>
      </c>
      <c r="G2148">
        <v>1352.6074219</v>
      </c>
      <c r="H2148">
        <v>1346.7259521000001</v>
      </c>
      <c r="I2148">
        <v>1312.7150879000001</v>
      </c>
      <c r="J2148">
        <v>1304.2556152</v>
      </c>
      <c r="K2148">
        <v>2400</v>
      </c>
      <c r="L2148">
        <v>0</v>
      </c>
      <c r="M2148">
        <v>0</v>
      </c>
      <c r="N2148">
        <v>2400</v>
      </c>
    </row>
    <row r="2149" spans="1:14" x14ac:dyDescent="0.25">
      <c r="A2149">
        <v>1582.2294010000001</v>
      </c>
      <c r="B2149" s="1">
        <f>DATE(2014,8,30) + TIME(5,30,20)</f>
        <v>41881.229398148149</v>
      </c>
      <c r="C2149">
        <v>80</v>
      </c>
      <c r="D2149">
        <v>79.966514587000006</v>
      </c>
      <c r="E2149">
        <v>50</v>
      </c>
      <c r="F2149">
        <v>46.466575622999997</v>
      </c>
      <c r="G2149">
        <v>1352.5852050999999</v>
      </c>
      <c r="H2149">
        <v>1346.7097168</v>
      </c>
      <c r="I2149">
        <v>1312.6794434000001</v>
      </c>
      <c r="J2149">
        <v>1304.1956786999999</v>
      </c>
      <c r="K2149">
        <v>2400</v>
      </c>
      <c r="L2149">
        <v>0</v>
      </c>
      <c r="M2149">
        <v>0</v>
      </c>
      <c r="N2149">
        <v>2400</v>
      </c>
    </row>
    <row r="2150" spans="1:14" x14ac:dyDescent="0.25">
      <c r="A2150">
        <v>1584</v>
      </c>
      <c r="B2150" s="1">
        <f>DATE(2014,9,1) + TIME(0,0,0)</f>
        <v>41883</v>
      </c>
      <c r="C2150">
        <v>80</v>
      </c>
      <c r="D2150">
        <v>79.966514587000006</v>
      </c>
      <c r="E2150">
        <v>50</v>
      </c>
      <c r="F2150">
        <v>46.494434357000003</v>
      </c>
      <c r="G2150">
        <v>1352.5628661999999</v>
      </c>
      <c r="H2150">
        <v>1346.6933594</v>
      </c>
      <c r="I2150">
        <v>1312.6442870999999</v>
      </c>
      <c r="J2150">
        <v>1304.1363524999999</v>
      </c>
      <c r="K2150">
        <v>2400</v>
      </c>
      <c r="L2150">
        <v>0</v>
      </c>
      <c r="M2150">
        <v>0</v>
      </c>
      <c r="N2150">
        <v>2400</v>
      </c>
    </row>
    <row r="2151" spans="1:14" x14ac:dyDescent="0.25">
      <c r="A2151">
        <v>1585.930689</v>
      </c>
      <c r="B2151" s="1">
        <f>DATE(2014,9,2) + TIME(22,20,11)</f>
        <v>41884.93068287037</v>
      </c>
      <c r="C2151">
        <v>80</v>
      </c>
      <c r="D2151">
        <v>79.966514587000006</v>
      </c>
      <c r="E2151">
        <v>50</v>
      </c>
      <c r="F2151">
        <v>46.527599334999998</v>
      </c>
      <c r="G2151">
        <v>1352.5424805</v>
      </c>
      <c r="H2151">
        <v>1346.6783447</v>
      </c>
      <c r="I2151">
        <v>1312.6110839999999</v>
      </c>
      <c r="J2151">
        <v>1304.0803223</v>
      </c>
      <c r="K2151">
        <v>2400</v>
      </c>
      <c r="L2151">
        <v>0</v>
      </c>
      <c r="M2151">
        <v>0</v>
      </c>
      <c r="N2151">
        <v>2400</v>
      </c>
    </row>
    <row r="2152" spans="1:14" x14ac:dyDescent="0.25">
      <c r="A2152">
        <v>1587.9140259999999</v>
      </c>
      <c r="B2152" s="1">
        <f>DATE(2014,9,4) + TIME(21,56,11)</f>
        <v>41886.9140162037</v>
      </c>
      <c r="C2152">
        <v>80</v>
      </c>
      <c r="D2152">
        <v>79.966514587000006</v>
      </c>
      <c r="E2152">
        <v>50</v>
      </c>
      <c r="F2152">
        <v>46.568317413000003</v>
      </c>
      <c r="G2152">
        <v>1352.5205077999999</v>
      </c>
      <c r="H2152">
        <v>1346.6621094</v>
      </c>
      <c r="I2152">
        <v>1312.5766602000001</v>
      </c>
      <c r="J2152">
        <v>1304.0220947</v>
      </c>
      <c r="K2152">
        <v>2400</v>
      </c>
      <c r="L2152">
        <v>0</v>
      </c>
      <c r="M2152">
        <v>0</v>
      </c>
      <c r="N2152">
        <v>2400</v>
      </c>
    </row>
    <row r="2153" spans="1:14" x14ac:dyDescent="0.25">
      <c r="A2153">
        <v>1589.9434329999999</v>
      </c>
      <c r="B2153" s="1">
        <f>DATE(2014,9,6) + TIME(22,38,32)</f>
        <v>41888.943425925929</v>
      </c>
      <c r="C2153">
        <v>80</v>
      </c>
      <c r="D2153">
        <v>79.966514587000006</v>
      </c>
      <c r="E2153">
        <v>50</v>
      </c>
      <c r="F2153">
        <v>46.617099762000002</v>
      </c>
      <c r="G2153">
        <v>1352.4980469</v>
      </c>
      <c r="H2153">
        <v>1346.6455077999999</v>
      </c>
      <c r="I2153">
        <v>1312.5419922000001</v>
      </c>
      <c r="J2153">
        <v>1303.9631348</v>
      </c>
      <c r="K2153">
        <v>2400</v>
      </c>
      <c r="L2153">
        <v>0</v>
      </c>
      <c r="M2153">
        <v>0</v>
      </c>
      <c r="N2153">
        <v>2400</v>
      </c>
    </row>
    <row r="2154" spans="1:14" x14ac:dyDescent="0.25">
      <c r="A2154">
        <v>1592.0274999999999</v>
      </c>
      <c r="B2154" s="1">
        <f>DATE(2014,9,9) + TIME(0,39,36)</f>
        <v>41891.027499999997</v>
      </c>
      <c r="C2154">
        <v>80</v>
      </c>
      <c r="D2154">
        <v>79.966522217000005</v>
      </c>
      <c r="E2154">
        <v>50</v>
      </c>
      <c r="F2154">
        <v>46.674682617000002</v>
      </c>
      <c r="G2154">
        <v>1352.4754639</v>
      </c>
      <c r="H2154">
        <v>1346.6286620999999</v>
      </c>
      <c r="I2154">
        <v>1312.5073242000001</v>
      </c>
      <c r="J2154">
        <v>1303.9040527</v>
      </c>
      <c r="K2154">
        <v>2400</v>
      </c>
      <c r="L2154">
        <v>0</v>
      </c>
      <c r="M2154">
        <v>0</v>
      </c>
      <c r="N2154">
        <v>2400</v>
      </c>
    </row>
    <row r="2155" spans="1:14" x14ac:dyDescent="0.25">
      <c r="A2155">
        <v>1594.142928</v>
      </c>
      <c r="B2155" s="1">
        <f>DATE(2014,9,11) + TIME(3,25,48)</f>
        <v>41893.142916666664</v>
      </c>
      <c r="C2155">
        <v>80</v>
      </c>
      <c r="D2155">
        <v>79.966522217000005</v>
      </c>
      <c r="E2155">
        <v>50</v>
      </c>
      <c r="F2155">
        <v>46.741859435999999</v>
      </c>
      <c r="G2155">
        <v>1352.4525146000001</v>
      </c>
      <c r="H2155">
        <v>1346.6115723</v>
      </c>
      <c r="I2155">
        <v>1312.4726562000001</v>
      </c>
      <c r="J2155">
        <v>1303.8448486</v>
      </c>
      <c r="K2155">
        <v>2400</v>
      </c>
      <c r="L2155">
        <v>0</v>
      </c>
      <c r="M2155">
        <v>0</v>
      </c>
      <c r="N2155">
        <v>2400</v>
      </c>
    </row>
    <row r="2156" spans="1:14" x14ac:dyDescent="0.25">
      <c r="A2156">
        <v>1596.268274</v>
      </c>
      <c r="B2156" s="1">
        <f>DATE(2014,9,13) + TIME(6,26,18)</f>
        <v>41895.268263888887</v>
      </c>
      <c r="C2156">
        <v>80</v>
      </c>
      <c r="D2156">
        <v>79.966522217000005</v>
      </c>
      <c r="E2156">
        <v>50</v>
      </c>
      <c r="F2156">
        <v>46.818904877000001</v>
      </c>
      <c r="G2156">
        <v>1352.4293213000001</v>
      </c>
      <c r="H2156">
        <v>1346.5942382999999</v>
      </c>
      <c r="I2156">
        <v>1312.4383545000001</v>
      </c>
      <c r="J2156">
        <v>1303.7863769999999</v>
      </c>
      <c r="K2156">
        <v>2400</v>
      </c>
      <c r="L2156">
        <v>0</v>
      </c>
      <c r="M2156">
        <v>0</v>
      </c>
      <c r="N2156">
        <v>2400</v>
      </c>
    </row>
    <row r="2157" spans="1:14" x14ac:dyDescent="0.25">
      <c r="A2157">
        <v>1598.4113910000001</v>
      </c>
      <c r="B2157" s="1">
        <f>DATE(2014,9,15) + TIME(9,52,24)</f>
        <v>41897.41138888889</v>
      </c>
      <c r="C2157">
        <v>80</v>
      </c>
      <c r="D2157">
        <v>79.966529846</v>
      </c>
      <c r="E2157">
        <v>50</v>
      </c>
      <c r="F2157">
        <v>46.906044006000002</v>
      </c>
      <c r="G2157">
        <v>1352.4063721</v>
      </c>
      <c r="H2157">
        <v>1346.5770264</v>
      </c>
      <c r="I2157">
        <v>1312.4050293</v>
      </c>
      <c r="J2157">
        <v>1303.7292480000001</v>
      </c>
      <c r="K2157">
        <v>2400</v>
      </c>
      <c r="L2157">
        <v>0</v>
      </c>
      <c r="M2157">
        <v>0</v>
      </c>
      <c r="N2157">
        <v>2400</v>
      </c>
    </row>
    <row r="2158" spans="1:14" x14ac:dyDescent="0.25">
      <c r="A2158">
        <v>1600.5944340000001</v>
      </c>
      <c r="B2158" s="1">
        <f>DATE(2014,9,17) + TIME(14,15,59)</f>
        <v>41899.59443287037</v>
      </c>
      <c r="C2158">
        <v>80</v>
      </c>
      <c r="D2158">
        <v>79.966529846</v>
      </c>
      <c r="E2158">
        <v>50</v>
      </c>
      <c r="F2158">
        <v>47.004127502000003</v>
      </c>
      <c r="G2158">
        <v>1352.3835449000001</v>
      </c>
      <c r="H2158">
        <v>1346.5598144999999</v>
      </c>
      <c r="I2158">
        <v>1312.3724365</v>
      </c>
      <c r="J2158">
        <v>1303.6734618999999</v>
      </c>
      <c r="K2158">
        <v>2400</v>
      </c>
      <c r="L2158">
        <v>0</v>
      </c>
      <c r="M2158">
        <v>0</v>
      </c>
      <c r="N2158">
        <v>2400</v>
      </c>
    </row>
    <row r="2159" spans="1:14" x14ac:dyDescent="0.25">
      <c r="A2159">
        <v>1602.802224</v>
      </c>
      <c r="B2159" s="1">
        <f>DATE(2014,9,19) + TIME(19,15,12)</f>
        <v>41901.802222222221</v>
      </c>
      <c r="C2159">
        <v>80</v>
      </c>
      <c r="D2159">
        <v>79.966537475999999</v>
      </c>
      <c r="E2159">
        <v>50</v>
      </c>
      <c r="F2159">
        <v>47.114250183000003</v>
      </c>
      <c r="G2159">
        <v>1352.3604736</v>
      </c>
      <c r="H2159">
        <v>1346.5423584</v>
      </c>
      <c r="I2159">
        <v>1312.3404541</v>
      </c>
      <c r="J2159">
        <v>1303.6188964999999</v>
      </c>
      <c r="K2159">
        <v>2400</v>
      </c>
      <c r="L2159">
        <v>0</v>
      </c>
      <c r="M2159">
        <v>0</v>
      </c>
      <c r="N2159">
        <v>2400</v>
      </c>
    </row>
    <row r="2160" spans="1:14" x14ac:dyDescent="0.25">
      <c r="A2160">
        <v>1605.024576</v>
      </c>
      <c r="B2160" s="1">
        <f>DATE(2014,9,22) + TIME(0,35,23)</f>
        <v>41904.024571759262</v>
      </c>
      <c r="C2160">
        <v>80</v>
      </c>
      <c r="D2160">
        <v>79.966545104999994</v>
      </c>
      <c r="E2160">
        <v>50</v>
      </c>
      <c r="F2160">
        <v>47.236709595000001</v>
      </c>
      <c r="G2160">
        <v>1352.3374022999999</v>
      </c>
      <c r="H2160">
        <v>1346.5249022999999</v>
      </c>
      <c r="I2160">
        <v>1312.3094481999999</v>
      </c>
      <c r="J2160">
        <v>1303.565918</v>
      </c>
      <c r="K2160">
        <v>2400</v>
      </c>
      <c r="L2160">
        <v>0</v>
      </c>
      <c r="M2160">
        <v>0</v>
      </c>
      <c r="N2160">
        <v>2400</v>
      </c>
    </row>
    <row r="2161" spans="1:14" x14ac:dyDescent="0.25">
      <c r="A2161">
        <v>1607.2699270000001</v>
      </c>
      <c r="B2161" s="1">
        <f>DATE(2014,9,24) + TIME(6,28,41)</f>
        <v>41906.269918981481</v>
      </c>
      <c r="C2161">
        <v>80</v>
      </c>
      <c r="D2161">
        <v>79.966545104999994</v>
      </c>
      <c r="E2161">
        <v>50</v>
      </c>
      <c r="F2161">
        <v>47.371757506999998</v>
      </c>
      <c r="G2161">
        <v>1352.3144531</v>
      </c>
      <c r="H2161">
        <v>1346.5074463000001</v>
      </c>
      <c r="I2161">
        <v>1312.2795410000001</v>
      </c>
      <c r="J2161">
        <v>1303.5148925999999</v>
      </c>
      <c r="K2161">
        <v>2400</v>
      </c>
      <c r="L2161">
        <v>0</v>
      </c>
      <c r="M2161">
        <v>0</v>
      </c>
      <c r="N2161">
        <v>2400</v>
      </c>
    </row>
    <row r="2162" spans="1:14" x14ac:dyDescent="0.25">
      <c r="A2162">
        <v>1609.547282</v>
      </c>
      <c r="B2162" s="1">
        <f>DATE(2014,9,26) + TIME(13,8,5)</f>
        <v>41908.547280092593</v>
      </c>
      <c r="C2162">
        <v>80</v>
      </c>
      <c r="D2162">
        <v>79.966552734000004</v>
      </c>
      <c r="E2162">
        <v>50</v>
      </c>
      <c r="F2162">
        <v>47.520164489999999</v>
      </c>
      <c r="G2162">
        <v>1352.2915039</v>
      </c>
      <c r="H2162">
        <v>1346.4898682</v>
      </c>
      <c r="I2162">
        <v>1312.2506103999999</v>
      </c>
      <c r="J2162">
        <v>1303.4658202999999</v>
      </c>
      <c r="K2162">
        <v>2400</v>
      </c>
      <c r="L2162">
        <v>0</v>
      </c>
      <c r="M2162">
        <v>0</v>
      </c>
      <c r="N2162">
        <v>2400</v>
      </c>
    </row>
    <row r="2163" spans="1:14" x14ac:dyDescent="0.25">
      <c r="A2163">
        <v>1611.876765</v>
      </c>
      <c r="B2163" s="1">
        <f>DATE(2014,9,28) + TIME(21,2,32)</f>
        <v>41910.876759259256</v>
      </c>
      <c r="C2163">
        <v>80</v>
      </c>
      <c r="D2163">
        <v>79.966560364000003</v>
      </c>
      <c r="E2163">
        <v>50</v>
      </c>
      <c r="F2163">
        <v>47.683132172000001</v>
      </c>
      <c r="G2163">
        <v>1352.2685547000001</v>
      </c>
      <c r="H2163">
        <v>1346.4722899999999</v>
      </c>
      <c r="I2163">
        <v>1312.2226562000001</v>
      </c>
      <c r="J2163">
        <v>1303.4187012</v>
      </c>
      <c r="K2163">
        <v>2400</v>
      </c>
      <c r="L2163">
        <v>0</v>
      </c>
      <c r="M2163">
        <v>0</v>
      </c>
      <c r="N2163">
        <v>2400</v>
      </c>
    </row>
    <row r="2164" spans="1:14" x14ac:dyDescent="0.25">
      <c r="A2164">
        <v>1614</v>
      </c>
      <c r="B2164" s="1">
        <f>DATE(2014,10,1) + TIME(0,0,0)</f>
        <v>41913</v>
      </c>
      <c r="C2164">
        <v>80</v>
      </c>
      <c r="D2164">
        <v>79.966567992999998</v>
      </c>
      <c r="E2164">
        <v>50</v>
      </c>
      <c r="F2164">
        <v>47.857051849000001</v>
      </c>
      <c r="G2164">
        <v>1352.2452393000001</v>
      </c>
      <c r="H2164">
        <v>1346.4543457</v>
      </c>
      <c r="I2164">
        <v>1312.1965332</v>
      </c>
      <c r="J2164">
        <v>1303.3740233999999</v>
      </c>
      <c r="K2164">
        <v>2400</v>
      </c>
      <c r="L2164">
        <v>0</v>
      </c>
      <c r="M2164">
        <v>0</v>
      </c>
      <c r="N2164">
        <v>2400</v>
      </c>
    </row>
    <row r="2165" spans="1:14" x14ac:dyDescent="0.25">
      <c r="A2165">
        <v>1616.398273</v>
      </c>
      <c r="B2165" s="1">
        <f>DATE(2014,10,3) + TIME(9,33,30)</f>
        <v>41915.398263888892</v>
      </c>
      <c r="C2165">
        <v>80</v>
      </c>
      <c r="D2165">
        <v>79.966575622999997</v>
      </c>
      <c r="E2165">
        <v>50</v>
      </c>
      <c r="F2165">
        <v>48.039657593000001</v>
      </c>
      <c r="G2165">
        <v>1352.2242432</v>
      </c>
      <c r="H2165">
        <v>1346.4382324000001</v>
      </c>
      <c r="I2165">
        <v>1312.171875</v>
      </c>
      <c r="J2165">
        <v>1303.3343506000001</v>
      </c>
      <c r="K2165">
        <v>2400</v>
      </c>
      <c r="L2165">
        <v>0</v>
      </c>
      <c r="M2165">
        <v>0</v>
      </c>
      <c r="N2165">
        <v>2400</v>
      </c>
    </row>
    <row r="2166" spans="1:14" x14ac:dyDescent="0.25">
      <c r="A2166">
        <v>1618.89456</v>
      </c>
      <c r="B2166" s="1">
        <f>DATE(2014,10,5) + TIME(21,28,9)</f>
        <v>41917.894548611112</v>
      </c>
      <c r="C2166">
        <v>80</v>
      </c>
      <c r="D2166">
        <v>79.966583252000007</v>
      </c>
      <c r="E2166">
        <v>50</v>
      </c>
      <c r="F2166">
        <v>48.247089385999999</v>
      </c>
      <c r="G2166">
        <v>1352.2008057</v>
      </c>
      <c r="H2166">
        <v>1346.4201660000001</v>
      </c>
      <c r="I2166">
        <v>1312.1473389</v>
      </c>
      <c r="J2166">
        <v>1303.2938231999999</v>
      </c>
      <c r="K2166">
        <v>2400</v>
      </c>
      <c r="L2166">
        <v>0</v>
      </c>
      <c r="M2166">
        <v>0</v>
      </c>
      <c r="N2166">
        <v>2400</v>
      </c>
    </row>
    <row r="2167" spans="1:14" x14ac:dyDescent="0.25">
      <c r="A2167">
        <v>1621.4227880000001</v>
      </c>
      <c r="B2167" s="1">
        <f>DATE(2014,10,8) + TIME(10,8,48)</f>
        <v>41920.422777777778</v>
      </c>
      <c r="C2167">
        <v>80</v>
      </c>
      <c r="D2167">
        <v>79.966598511000001</v>
      </c>
      <c r="E2167">
        <v>50</v>
      </c>
      <c r="F2167">
        <v>48.475776672000002</v>
      </c>
      <c r="G2167">
        <v>1352.1766356999999</v>
      </c>
      <c r="H2167">
        <v>1346.4014893000001</v>
      </c>
      <c r="I2167">
        <v>1312.1235352000001</v>
      </c>
      <c r="J2167">
        <v>1303.2548827999999</v>
      </c>
      <c r="K2167">
        <v>2400</v>
      </c>
      <c r="L2167">
        <v>0</v>
      </c>
      <c r="M2167">
        <v>0</v>
      </c>
      <c r="N2167">
        <v>2400</v>
      </c>
    </row>
    <row r="2168" spans="1:14" x14ac:dyDescent="0.25">
      <c r="A2168">
        <v>1623.9779349999999</v>
      </c>
      <c r="B2168" s="1">
        <f>DATE(2014,10,10) + TIME(23,28,13)</f>
        <v>41922.97792824074</v>
      </c>
      <c r="C2168">
        <v>80</v>
      </c>
      <c r="D2168">
        <v>79.966606139999996</v>
      </c>
      <c r="E2168">
        <v>50</v>
      </c>
      <c r="F2168">
        <v>48.721389770999998</v>
      </c>
      <c r="G2168">
        <v>1352.1525879000001</v>
      </c>
      <c r="H2168">
        <v>1346.3826904</v>
      </c>
      <c r="I2168">
        <v>1312.1008300999999</v>
      </c>
      <c r="J2168">
        <v>1303.21875</v>
      </c>
      <c r="K2168">
        <v>2400</v>
      </c>
      <c r="L2168">
        <v>0</v>
      </c>
      <c r="M2168">
        <v>0</v>
      </c>
      <c r="N2168">
        <v>2400</v>
      </c>
    </row>
    <row r="2169" spans="1:14" x14ac:dyDescent="0.25">
      <c r="A2169">
        <v>1626.5504639999999</v>
      </c>
      <c r="B2169" s="1">
        <f>DATE(2014,10,13) + TIME(13,12,40)</f>
        <v>41925.550462962965</v>
      </c>
      <c r="C2169">
        <v>80</v>
      </c>
      <c r="D2169">
        <v>79.966613769999995</v>
      </c>
      <c r="E2169">
        <v>50</v>
      </c>
      <c r="F2169">
        <v>48.981952667000002</v>
      </c>
      <c r="G2169">
        <v>1352.1285399999999</v>
      </c>
      <c r="H2169">
        <v>1346.3640137</v>
      </c>
      <c r="I2169">
        <v>1312.0795897999999</v>
      </c>
      <c r="J2169">
        <v>1303.1856689000001</v>
      </c>
      <c r="K2169">
        <v>2400</v>
      </c>
      <c r="L2169">
        <v>0</v>
      </c>
      <c r="M2169">
        <v>0</v>
      </c>
      <c r="N2169">
        <v>2400</v>
      </c>
    </row>
    <row r="2170" spans="1:14" x14ac:dyDescent="0.25">
      <c r="A2170">
        <v>1629.152296</v>
      </c>
      <c r="B2170" s="1">
        <f>DATE(2014,10,16) + TIME(3,39,18)</f>
        <v>41928.152291666665</v>
      </c>
      <c r="C2170">
        <v>80</v>
      </c>
      <c r="D2170">
        <v>79.966629028</v>
      </c>
      <c r="E2170">
        <v>50</v>
      </c>
      <c r="F2170">
        <v>49.256179809999999</v>
      </c>
      <c r="G2170">
        <v>1352.1046143000001</v>
      </c>
      <c r="H2170">
        <v>1346.3452147999999</v>
      </c>
      <c r="I2170">
        <v>1312.0599365</v>
      </c>
      <c r="J2170">
        <v>1303.1558838000001</v>
      </c>
      <c r="K2170">
        <v>2400</v>
      </c>
      <c r="L2170">
        <v>0</v>
      </c>
      <c r="M2170">
        <v>0</v>
      </c>
      <c r="N2170">
        <v>2400</v>
      </c>
    </row>
    <row r="2171" spans="1:14" x14ac:dyDescent="0.25">
      <c r="A2171">
        <v>1631.7964810000001</v>
      </c>
      <c r="B2171" s="1">
        <f>DATE(2014,10,18) + TIME(19,6,55)</f>
        <v>41930.796469907407</v>
      </c>
      <c r="C2171">
        <v>80</v>
      </c>
      <c r="D2171">
        <v>79.966636657999999</v>
      </c>
      <c r="E2171">
        <v>50</v>
      </c>
      <c r="F2171">
        <v>49.543674469000003</v>
      </c>
      <c r="G2171">
        <v>1352.0808105000001</v>
      </c>
      <c r="H2171">
        <v>1346.3265381000001</v>
      </c>
      <c r="I2171">
        <v>1312.0417480000001</v>
      </c>
      <c r="J2171">
        <v>1303.1292725000001</v>
      </c>
      <c r="K2171">
        <v>2400</v>
      </c>
      <c r="L2171">
        <v>0</v>
      </c>
      <c r="M2171">
        <v>0</v>
      </c>
      <c r="N2171">
        <v>2400</v>
      </c>
    </row>
    <row r="2172" spans="1:14" x14ac:dyDescent="0.25">
      <c r="A2172">
        <v>1634.495424</v>
      </c>
      <c r="B2172" s="1">
        <f>DATE(2014,10,21) + TIME(11,53,24)</f>
        <v>41933.495416666665</v>
      </c>
      <c r="C2172">
        <v>80</v>
      </c>
      <c r="D2172">
        <v>79.966651916999993</v>
      </c>
      <c r="E2172">
        <v>50</v>
      </c>
      <c r="F2172">
        <v>49.844554901000002</v>
      </c>
      <c r="G2172">
        <v>1352.0568848</v>
      </c>
      <c r="H2172">
        <v>1346.3078613</v>
      </c>
      <c r="I2172">
        <v>1312.0250243999999</v>
      </c>
      <c r="J2172">
        <v>1303.1055908000001</v>
      </c>
      <c r="K2172">
        <v>2400</v>
      </c>
      <c r="L2172">
        <v>0</v>
      </c>
      <c r="M2172">
        <v>0</v>
      </c>
      <c r="N2172">
        <v>2400</v>
      </c>
    </row>
    <row r="2173" spans="1:14" x14ac:dyDescent="0.25">
      <c r="A2173">
        <v>1637.2712059999999</v>
      </c>
      <c r="B2173" s="1">
        <f>DATE(2014,10,24) + TIME(6,30,32)</f>
        <v>41936.271203703705</v>
      </c>
      <c r="C2173">
        <v>80</v>
      </c>
      <c r="D2173">
        <v>79.966667174999998</v>
      </c>
      <c r="E2173">
        <v>50</v>
      </c>
      <c r="F2173">
        <v>50.158798218000001</v>
      </c>
      <c r="G2173">
        <v>1352.0328368999999</v>
      </c>
      <c r="H2173">
        <v>1346.2888184000001</v>
      </c>
      <c r="I2173">
        <v>1312.0096435999999</v>
      </c>
      <c r="J2173">
        <v>1303.0848389</v>
      </c>
      <c r="K2173">
        <v>2400</v>
      </c>
      <c r="L2173">
        <v>0</v>
      </c>
      <c r="M2173">
        <v>0</v>
      </c>
      <c r="N2173">
        <v>2400</v>
      </c>
    </row>
    <row r="2174" spans="1:14" x14ac:dyDescent="0.25">
      <c r="A2174">
        <v>1640.089332</v>
      </c>
      <c r="B2174" s="1">
        <f>DATE(2014,10,27) + TIME(2,8,38)</f>
        <v>41939.089328703703</v>
      </c>
      <c r="C2174">
        <v>80</v>
      </c>
      <c r="D2174">
        <v>79.966682434000006</v>
      </c>
      <c r="E2174">
        <v>50</v>
      </c>
      <c r="F2174">
        <v>50.486202239999997</v>
      </c>
      <c r="G2174">
        <v>1352.0084228999999</v>
      </c>
      <c r="H2174">
        <v>1346.2696533000001</v>
      </c>
      <c r="I2174">
        <v>1311.9958495999999</v>
      </c>
      <c r="J2174">
        <v>1303.0668945</v>
      </c>
      <c r="K2174">
        <v>2400</v>
      </c>
      <c r="L2174">
        <v>0</v>
      </c>
      <c r="M2174">
        <v>0</v>
      </c>
      <c r="N2174">
        <v>2400</v>
      </c>
    </row>
    <row r="2175" spans="1:14" x14ac:dyDescent="0.25">
      <c r="A2175">
        <v>1642.933352</v>
      </c>
      <c r="B2175" s="1">
        <f>DATE(2014,10,29) + TIME(22,24,1)</f>
        <v>41941.933344907404</v>
      </c>
      <c r="C2175">
        <v>80</v>
      </c>
      <c r="D2175">
        <v>79.966697693</v>
      </c>
      <c r="E2175">
        <v>50</v>
      </c>
      <c r="F2175">
        <v>50.822456359999997</v>
      </c>
      <c r="G2175">
        <v>1351.9840088000001</v>
      </c>
      <c r="H2175">
        <v>1346.2503661999999</v>
      </c>
      <c r="I2175">
        <v>1311.9835204999999</v>
      </c>
      <c r="J2175">
        <v>1303.0522461</v>
      </c>
      <c r="K2175">
        <v>2400</v>
      </c>
      <c r="L2175">
        <v>0</v>
      </c>
      <c r="M2175">
        <v>0</v>
      </c>
      <c r="N2175">
        <v>2400</v>
      </c>
    </row>
    <row r="2176" spans="1:14" x14ac:dyDescent="0.25">
      <c r="A2176">
        <v>1645</v>
      </c>
      <c r="B2176" s="1">
        <f>DATE(2014,11,1) + TIME(0,0,0)</f>
        <v>41944</v>
      </c>
      <c r="C2176">
        <v>80</v>
      </c>
      <c r="D2176">
        <v>79.966697693</v>
      </c>
      <c r="E2176">
        <v>50</v>
      </c>
      <c r="F2176">
        <v>51.139820098999998</v>
      </c>
      <c r="G2176">
        <v>1351.9598389</v>
      </c>
      <c r="H2176">
        <v>1346.2312012</v>
      </c>
      <c r="I2176">
        <v>1311.9753418</v>
      </c>
      <c r="J2176">
        <v>1303.0415039</v>
      </c>
      <c r="K2176">
        <v>2400</v>
      </c>
      <c r="L2176">
        <v>0</v>
      </c>
      <c r="M2176">
        <v>0</v>
      </c>
      <c r="N2176">
        <v>2400</v>
      </c>
    </row>
    <row r="2177" spans="1:14" x14ac:dyDescent="0.25">
      <c r="A2177">
        <v>1645.0000010000001</v>
      </c>
      <c r="B2177" s="1">
        <f>DATE(2014,11,1) + TIME(0,0,0)</f>
        <v>41944</v>
      </c>
      <c r="C2177">
        <v>80</v>
      </c>
      <c r="D2177">
        <v>79.966583252000007</v>
      </c>
      <c r="E2177">
        <v>50</v>
      </c>
      <c r="F2177">
        <v>51.139942169000001</v>
      </c>
      <c r="G2177">
        <v>1345.4304199000001</v>
      </c>
      <c r="H2177">
        <v>1341.0329589999999</v>
      </c>
      <c r="I2177">
        <v>1321.7979736</v>
      </c>
      <c r="J2177">
        <v>1312.9516602000001</v>
      </c>
      <c r="K2177">
        <v>0</v>
      </c>
      <c r="L2177">
        <v>2400</v>
      </c>
      <c r="M2177">
        <v>2400</v>
      </c>
      <c r="N2177">
        <v>0</v>
      </c>
    </row>
    <row r="2178" spans="1:14" x14ac:dyDescent="0.25">
      <c r="A2178">
        <v>1645.000004</v>
      </c>
      <c r="B2178" s="1">
        <f>DATE(2014,11,1) + TIME(0,0,0)</f>
        <v>41944</v>
      </c>
      <c r="C2178">
        <v>80</v>
      </c>
      <c r="D2178">
        <v>79.966346740999995</v>
      </c>
      <c r="E2178">
        <v>50</v>
      </c>
      <c r="F2178">
        <v>51.140224457000002</v>
      </c>
      <c r="G2178">
        <v>1343.746582</v>
      </c>
      <c r="H2178">
        <v>1339.348999</v>
      </c>
      <c r="I2178">
        <v>1323.8216553</v>
      </c>
      <c r="J2178">
        <v>1315.1887207</v>
      </c>
      <c r="K2178">
        <v>0</v>
      </c>
      <c r="L2178">
        <v>2400</v>
      </c>
      <c r="M2178">
        <v>2400</v>
      </c>
      <c r="N2178">
        <v>0</v>
      </c>
    </row>
    <row r="2179" spans="1:14" x14ac:dyDescent="0.25">
      <c r="A2179">
        <v>1645.0000130000001</v>
      </c>
      <c r="B2179" s="1">
        <f>DATE(2014,11,1) + TIME(0,0,1)</f>
        <v>41944.000011574077</v>
      </c>
      <c r="C2179">
        <v>80</v>
      </c>
      <c r="D2179">
        <v>79.965980529999996</v>
      </c>
      <c r="E2179">
        <v>50</v>
      </c>
      <c r="F2179">
        <v>51.140697479000004</v>
      </c>
      <c r="G2179">
        <v>1341.1729736</v>
      </c>
      <c r="H2179">
        <v>1336.7757568</v>
      </c>
      <c r="I2179">
        <v>1327.5172118999999</v>
      </c>
      <c r="J2179">
        <v>1319.0412598</v>
      </c>
      <c r="K2179">
        <v>0</v>
      </c>
      <c r="L2179">
        <v>2400</v>
      </c>
      <c r="M2179">
        <v>2400</v>
      </c>
      <c r="N2179">
        <v>0</v>
      </c>
    </row>
    <row r="2180" spans="1:14" x14ac:dyDescent="0.25">
      <c r="A2180">
        <v>1645.0000399999999</v>
      </c>
      <c r="B2180" s="1">
        <f>DATE(2014,11,1) + TIME(0,0,3)</f>
        <v>41944.000034722223</v>
      </c>
      <c r="C2180">
        <v>80</v>
      </c>
      <c r="D2180">
        <v>79.965560913000004</v>
      </c>
      <c r="E2180">
        <v>50</v>
      </c>
      <c r="F2180">
        <v>51.141273499</v>
      </c>
      <c r="G2180">
        <v>1338.2487793</v>
      </c>
      <c r="H2180">
        <v>1333.8525391000001</v>
      </c>
      <c r="I2180">
        <v>1332.4067382999999</v>
      </c>
      <c r="J2180">
        <v>1323.9215088000001</v>
      </c>
      <c r="K2180">
        <v>0</v>
      </c>
      <c r="L2180">
        <v>2400</v>
      </c>
      <c r="M2180">
        <v>2400</v>
      </c>
      <c r="N2180">
        <v>0</v>
      </c>
    </row>
    <row r="2181" spans="1:14" x14ac:dyDescent="0.25">
      <c r="A2181">
        <v>1645.000121</v>
      </c>
      <c r="B2181" s="1">
        <f>DATE(2014,11,1) + TIME(0,0,10)</f>
        <v>41944.000115740739</v>
      </c>
      <c r="C2181">
        <v>80</v>
      </c>
      <c r="D2181">
        <v>79.965133667000003</v>
      </c>
      <c r="E2181">
        <v>50</v>
      </c>
      <c r="F2181">
        <v>51.141796112000002</v>
      </c>
      <c r="G2181">
        <v>1335.3176269999999</v>
      </c>
      <c r="H2181">
        <v>1330.9187012</v>
      </c>
      <c r="I2181">
        <v>1337.6118164</v>
      </c>
      <c r="J2181">
        <v>1329.0598144999999</v>
      </c>
      <c r="K2181">
        <v>0</v>
      </c>
      <c r="L2181">
        <v>2400</v>
      </c>
      <c r="M2181">
        <v>2400</v>
      </c>
      <c r="N2181">
        <v>0</v>
      </c>
    </row>
    <row r="2182" spans="1:14" x14ac:dyDescent="0.25">
      <c r="A2182">
        <v>1645.000364</v>
      </c>
      <c r="B2182" s="1">
        <f>DATE(2014,11,1) + TIME(0,0,31)</f>
        <v>41944.000358796293</v>
      </c>
      <c r="C2182">
        <v>80</v>
      </c>
      <c r="D2182">
        <v>79.964675903</v>
      </c>
      <c r="E2182">
        <v>50</v>
      </c>
      <c r="F2182">
        <v>51.142063141000001</v>
      </c>
      <c r="G2182">
        <v>1332.3671875</v>
      </c>
      <c r="H2182">
        <v>1327.9371338000001</v>
      </c>
      <c r="I2182">
        <v>1342.8582764</v>
      </c>
      <c r="J2182">
        <v>1334.2335204999999</v>
      </c>
      <c r="K2182">
        <v>0</v>
      </c>
      <c r="L2182">
        <v>2400</v>
      </c>
      <c r="M2182">
        <v>2400</v>
      </c>
      <c r="N2182">
        <v>0</v>
      </c>
    </row>
    <row r="2183" spans="1:14" x14ac:dyDescent="0.25">
      <c r="A2183">
        <v>1645.0010930000001</v>
      </c>
      <c r="B2183" s="1">
        <f>DATE(2014,11,1) + TIME(0,1,34)</f>
        <v>41944.001087962963</v>
      </c>
      <c r="C2183">
        <v>80</v>
      </c>
      <c r="D2183">
        <v>79.964126586999996</v>
      </c>
      <c r="E2183">
        <v>50</v>
      </c>
      <c r="F2183">
        <v>51.141544342000003</v>
      </c>
      <c r="G2183">
        <v>1329.2745361</v>
      </c>
      <c r="H2183">
        <v>1324.7473144999999</v>
      </c>
      <c r="I2183">
        <v>1348.1501464999999</v>
      </c>
      <c r="J2183">
        <v>1339.4162598</v>
      </c>
      <c r="K2183">
        <v>0</v>
      </c>
      <c r="L2183">
        <v>2400</v>
      </c>
      <c r="M2183">
        <v>2400</v>
      </c>
      <c r="N2183">
        <v>0</v>
      </c>
    </row>
    <row r="2184" spans="1:14" x14ac:dyDescent="0.25">
      <c r="A2184">
        <v>1645.0032799999999</v>
      </c>
      <c r="B2184" s="1">
        <f>DATE(2014,11,1) + TIME(0,4,43)</f>
        <v>41944.003275462965</v>
      </c>
      <c r="C2184">
        <v>80</v>
      </c>
      <c r="D2184">
        <v>79.963340759000005</v>
      </c>
      <c r="E2184">
        <v>50</v>
      </c>
      <c r="F2184">
        <v>51.138580322000003</v>
      </c>
      <c r="G2184">
        <v>1326.1286620999999</v>
      </c>
      <c r="H2184">
        <v>1321.4738769999999</v>
      </c>
      <c r="I2184">
        <v>1353.1619873</v>
      </c>
      <c r="J2184">
        <v>1344.2838135</v>
      </c>
      <c r="K2184">
        <v>0</v>
      </c>
      <c r="L2184">
        <v>2400</v>
      </c>
      <c r="M2184">
        <v>2400</v>
      </c>
      <c r="N2184">
        <v>0</v>
      </c>
    </row>
    <row r="2185" spans="1:14" x14ac:dyDescent="0.25">
      <c r="A2185">
        <v>1645.0098410000001</v>
      </c>
      <c r="B2185" s="1">
        <f>DATE(2014,11,1) + TIME(0,14,10)</f>
        <v>41944.009837962964</v>
      </c>
      <c r="C2185">
        <v>80</v>
      </c>
      <c r="D2185">
        <v>79.961944579999994</v>
      </c>
      <c r="E2185">
        <v>50</v>
      </c>
      <c r="F2185">
        <v>51.128276825</v>
      </c>
      <c r="G2185">
        <v>1323.543457</v>
      </c>
      <c r="H2185">
        <v>1318.8115233999999</v>
      </c>
      <c r="I2185">
        <v>1356.9761963000001</v>
      </c>
      <c r="J2185">
        <v>1347.9812012</v>
      </c>
      <c r="K2185">
        <v>0</v>
      </c>
      <c r="L2185">
        <v>2400</v>
      </c>
      <c r="M2185">
        <v>2400</v>
      </c>
      <c r="N2185">
        <v>0</v>
      </c>
    </row>
    <row r="2186" spans="1:14" x14ac:dyDescent="0.25">
      <c r="A2186">
        <v>1645.029524</v>
      </c>
      <c r="B2186" s="1">
        <f>DATE(2014,11,1) + TIME(0,42,30)</f>
        <v>41944.029513888891</v>
      </c>
      <c r="C2186">
        <v>80</v>
      </c>
      <c r="D2186">
        <v>79.958702087000006</v>
      </c>
      <c r="E2186">
        <v>50</v>
      </c>
      <c r="F2186">
        <v>51.096939087000003</v>
      </c>
      <c r="G2186">
        <v>1322.1812743999999</v>
      </c>
      <c r="H2186">
        <v>1317.4246826000001</v>
      </c>
      <c r="I2186">
        <v>1358.7897949000001</v>
      </c>
      <c r="J2186">
        <v>1349.7520752</v>
      </c>
      <c r="K2186">
        <v>0</v>
      </c>
      <c r="L2186">
        <v>2400</v>
      </c>
      <c r="M2186">
        <v>2400</v>
      </c>
      <c r="N2186">
        <v>0</v>
      </c>
    </row>
    <row r="2187" spans="1:14" x14ac:dyDescent="0.25">
      <c r="A2187">
        <v>1645.0812080000001</v>
      </c>
      <c r="B2187" s="1">
        <f>DATE(2014,11,1) + TIME(1,56,56)</f>
        <v>41944.081203703703</v>
      </c>
      <c r="C2187">
        <v>80</v>
      </c>
      <c r="D2187">
        <v>79.950973511000001</v>
      </c>
      <c r="E2187">
        <v>50</v>
      </c>
      <c r="F2187">
        <v>51.020076752000001</v>
      </c>
      <c r="G2187">
        <v>1321.8353271000001</v>
      </c>
      <c r="H2187">
        <v>1317.0740966999999</v>
      </c>
      <c r="I2187">
        <v>1359.1052245999999</v>
      </c>
      <c r="J2187">
        <v>1350.0867920000001</v>
      </c>
      <c r="K2187">
        <v>0</v>
      </c>
      <c r="L2187">
        <v>2400</v>
      </c>
      <c r="M2187">
        <v>2400</v>
      </c>
      <c r="N2187">
        <v>0</v>
      </c>
    </row>
    <row r="2188" spans="1:14" x14ac:dyDescent="0.25">
      <c r="A2188">
        <v>1645.1349130000001</v>
      </c>
      <c r="B2188" s="1">
        <f>DATE(2014,11,1) + TIME(3,14,16)</f>
        <v>41944.13490740741</v>
      </c>
      <c r="C2188">
        <v>80</v>
      </c>
      <c r="D2188">
        <v>79.943130492999998</v>
      </c>
      <c r="E2188">
        <v>50</v>
      </c>
      <c r="F2188">
        <v>50.946151733000001</v>
      </c>
      <c r="G2188">
        <v>1321.7958983999999</v>
      </c>
      <c r="H2188">
        <v>1317.0340576000001</v>
      </c>
      <c r="I2188">
        <v>1359.0577393000001</v>
      </c>
      <c r="J2188">
        <v>1350.0653076000001</v>
      </c>
      <c r="K2188">
        <v>0</v>
      </c>
      <c r="L2188">
        <v>2400</v>
      </c>
      <c r="M2188">
        <v>2400</v>
      </c>
      <c r="N2188">
        <v>0</v>
      </c>
    </row>
    <row r="2189" spans="1:14" x14ac:dyDescent="0.25">
      <c r="A2189">
        <v>1645.1907659999999</v>
      </c>
      <c r="B2189" s="1">
        <f>DATE(2014,11,1) + TIME(4,34,42)</f>
        <v>41944.190763888888</v>
      </c>
      <c r="C2189">
        <v>80</v>
      </c>
      <c r="D2189">
        <v>79.935127257999994</v>
      </c>
      <c r="E2189">
        <v>50</v>
      </c>
      <c r="F2189">
        <v>50.875209808000001</v>
      </c>
      <c r="G2189">
        <v>1321.7900391000001</v>
      </c>
      <c r="H2189">
        <v>1317.0280762</v>
      </c>
      <c r="I2189">
        <v>1358.9801024999999</v>
      </c>
      <c r="J2189">
        <v>1350.0139160000001</v>
      </c>
      <c r="K2189">
        <v>0</v>
      </c>
      <c r="L2189">
        <v>2400</v>
      </c>
      <c r="M2189">
        <v>2400</v>
      </c>
      <c r="N2189">
        <v>0</v>
      </c>
    </row>
    <row r="2190" spans="1:14" x14ac:dyDescent="0.25">
      <c r="A2190">
        <v>1645.2489700000001</v>
      </c>
      <c r="B2190" s="1">
        <f>DATE(2014,11,1) + TIME(5,58,31)</f>
        <v>41944.248969907407</v>
      </c>
      <c r="C2190">
        <v>80</v>
      </c>
      <c r="D2190">
        <v>79.926940918</v>
      </c>
      <c r="E2190">
        <v>50</v>
      </c>
      <c r="F2190">
        <v>50.807182312000002</v>
      </c>
      <c r="G2190">
        <v>1321.7880858999999</v>
      </c>
      <c r="H2190">
        <v>1317.026001</v>
      </c>
      <c r="I2190">
        <v>1358.9023437999999</v>
      </c>
      <c r="J2190">
        <v>1349.9617920000001</v>
      </c>
      <c r="K2190">
        <v>0</v>
      </c>
      <c r="L2190">
        <v>2400</v>
      </c>
      <c r="M2190">
        <v>2400</v>
      </c>
      <c r="N2190">
        <v>0</v>
      </c>
    </row>
    <row r="2191" spans="1:14" x14ac:dyDescent="0.25">
      <c r="A2191">
        <v>1645.30978</v>
      </c>
      <c r="B2191" s="1">
        <f>DATE(2014,11,1) + TIME(7,26,5)</f>
        <v>41944.30978009259</v>
      </c>
      <c r="C2191">
        <v>80</v>
      </c>
      <c r="D2191">
        <v>79.918548584000007</v>
      </c>
      <c r="E2191">
        <v>50</v>
      </c>
      <c r="F2191">
        <v>50.741973877</v>
      </c>
      <c r="G2191">
        <v>1321.7867432</v>
      </c>
      <c r="H2191">
        <v>1317.0245361</v>
      </c>
      <c r="I2191">
        <v>1358.8266602000001</v>
      </c>
      <c r="J2191">
        <v>1349.9112548999999</v>
      </c>
      <c r="K2191">
        <v>0</v>
      </c>
      <c r="L2191">
        <v>2400</v>
      </c>
      <c r="M2191">
        <v>2400</v>
      </c>
      <c r="N2191">
        <v>0</v>
      </c>
    </row>
    <row r="2192" spans="1:14" x14ac:dyDescent="0.25">
      <c r="A2192">
        <v>1645.3734930000001</v>
      </c>
      <c r="B2192" s="1">
        <f>DATE(2014,11,1) + TIME(8,57,49)</f>
        <v>41944.373483796298</v>
      </c>
      <c r="C2192">
        <v>80</v>
      </c>
      <c r="D2192">
        <v>79.909919739000003</v>
      </c>
      <c r="E2192">
        <v>50</v>
      </c>
      <c r="F2192">
        <v>50.679496765000003</v>
      </c>
      <c r="G2192">
        <v>1321.7854004000001</v>
      </c>
      <c r="H2192">
        <v>1317.0229492000001</v>
      </c>
      <c r="I2192">
        <v>1358.7532959</v>
      </c>
      <c r="J2192">
        <v>1349.8623047000001</v>
      </c>
      <c r="K2192">
        <v>0</v>
      </c>
      <c r="L2192">
        <v>2400</v>
      </c>
      <c r="M2192">
        <v>2400</v>
      </c>
      <c r="N2192">
        <v>0</v>
      </c>
    </row>
    <row r="2193" spans="1:14" x14ac:dyDescent="0.25">
      <c r="A2193">
        <v>1645.4404500000001</v>
      </c>
      <c r="B2193" s="1">
        <f>DATE(2014,11,1) + TIME(10,34,14)</f>
        <v>41944.440439814818</v>
      </c>
      <c r="C2193">
        <v>80</v>
      </c>
      <c r="D2193">
        <v>79.901023864999999</v>
      </c>
      <c r="E2193">
        <v>50</v>
      </c>
      <c r="F2193">
        <v>50.619682312000002</v>
      </c>
      <c r="G2193">
        <v>1321.7839355000001</v>
      </c>
      <c r="H2193">
        <v>1317.0213623</v>
      </c>
      <c r="I2193">
        <v>1358.6820068</v>
      </c>
      <c r="J2193">
        <v>1349.8148193</v>
      </c>
      <c r="K2193">
        <v>0</v>
      </c>
      <c r="L2193">
        <v>2400</v>
      </c>
      <c r="M2193">
        <v>2400</v>
      </c>
      <c r="N2193">
        <v>0</v>
      </c>
    </row>
    <row r="2194" spans="1:14" x14ac:dyDescent="0.25">
      <c r="A2194">
        <v>1645.511049</v>
      </c>
      <c r="B2194" s="1">
        <f>DATE(2014,11,1) + TIME(12,15,54)</f>
        <v>41944.511041666665</v>
      </c>
      <c r="C2194">
        <v>80</v>
      </c>
      <c r="D2194">
        <v>79.891830443999993</v>
      </c>
      <c r="E2194">
        <v>50</v>
      </c>
      <c r="F2194">
        <v>50.562473296999997</v>
      </c>
      <c r="G2194">
        <v>1321.7824707</v>
      </c>
      <c r="H2194">
        <v>1317.0197754000001</v>
      </c>
      <c r="I2194">
        <v>1358.6125488</v>
      </c>
      <c r="J2194">
        <v>1349.7686768000001</v>
      </c>
      <c r="K2194">
        <v>0</v>
      </c>
      <c r="L2194">
        <v>2400</v>
      </c>
      <c r="M2194">
        <v>2400</v>
      </c>
      <c r="N2194">
        <v>0</v>
      </c>
    </row>
    <row r="2195" spans="1:14" x14ac:dyDescent="0.25">
      <c r="A2195">
        <v>1645.585761</v>
      </c>
      <c r="B2195" s="1">
        <f>DATE(2014,11,1) + TIME(14,3,29)</f>
        <v>41944.585752314815</v>
      </c>
      <c r="C2195">
        <v>80</v>
      </c>
      <c r="D2195">
        <v>79.882278442</v>
      </c>
      <c r="E2195">
        <v>50</v>
      </c>
      <c r="F2195">
        <v>50.507808685000001</v>
      </c>
      <c r="G2195">
        <v>1321.7810059000001</v>
      </c>
      <c r="H2195">
        <v>1317.0179443</v>
      </c>
      <c r="I2195">
        <v>1358.5450439000001</v>
      </c>
      <c r="J2195">
        <v>1349.7238769999999</v>
      </c>
      <c r="K2195">
        <v>0</v>
      </c>
      <c r="L2195">
        <v>2400</v>
      </c>
      <c r="M2195">
        <v>2400</v>
      </c>
      <c r="N2195">
        <v>0</v>
      </c>
    </row>
    <row r="2196" spans="1:14" x14ac:dyDescent="0.25">
      <c r="A2196">
        <v>1645.665148</v>
      </c>
      <c r="B2196" s="1">
        <f>DATE(2014,11,1) + TIME(15,57,48)</f>
        <v>41944.665138888886</v>
      </c>
      <c r="C2196">
        <v>80</v>
      </c>
      <c r="D2196">
        <v>79.872337341000005</v>
      </c>
      <c r="E2196">
        <v>50</v>
      </c>
      <c r="F2196">
        <v>50.455650329999997</v>
      </c>
      <c r="G2196">
        <v>1321.7794189000001</v>
      </c>
      <c r="H2196">
        <v>1317.0161132999999</v>
      </c>
      <c r="I2196">
        <v>1358.4792480000001</v>
      </c>
      <c r="J2196">
        <v>1349.6802978999999</v>
      </c>
      <c r="K2196">
        <v>0</v>
      </c>
      <c r="L2196">
        <v>2400</v>
      </c>
      <c r="M2196">
        <v>2400</v>
      </c>
      <c r="N2196">
        <v>0</v>
      </c>
    </row>
    <row r="2197" spans="1:14" x14ac:dyDescent="0.25">
      <c r="A2197">
        <v>1645.7498880000001</v>
      </c>
      <c r="B2197" s="1">
        <f>DATE(2014,11,1) + TIME(17,59,50)</f>
        <v>41944.749884259261</v>
      </c>
      <c r="C2197">
        <v>80</v>
      </c>
      <c r="D2197">
        <v>79.861946106000005</v>
      </c>
      <c r="E2197">
        <v>50</v>
      </c>
      <c r="F2197">
        <v>50.405967711999999</v>
      </c>
      <c r="G2197">
        <v>1321.7777100000001</v>
      </c>
      <c r="H2197">
        <v>1317.0141602000001</v>
      </c>
      <c r="I2197">
        <v>1358.4150391000001</v>
      </c>
      <c r="J2197">
        <v>1349.6379394999999</v>
      </c>
      <c r="K2197">
        <v>0</v>
      </c>
      <c r="L2197">
        <v>2400</v>
      </c>
      <c r="M2197">
        <v>2400</v>
      </c>
      <c r="N2197">
        <v>0</v>
      </c>
    </row>
    <row r="2198" spans="1:14" x14ac:dyDescent="0.25">
      <c r="A2198">
        <v>1645.8408079999999</v>
      </c>
      <c r="B2198" s="1">
        <f>DATE(2014,11,1) + TIME(20,10,45)</f>
        <v>41944.840798611112</v>
      </c>
      <c r="C2198">
        <v>80</v>
      </c>
      <c r="D2198">
        <v>79.851020813000005</v>
      </c>
      <c r="E2198">
        <v>50</v>
      </c>
      <c r="F2198">
        <v>50.358734130999999</v>
      </c>
      <c r="G2198">
        <v>1321.7758789</v>
      </c>
      <c r="H2198">
        <v>1317.0120850000001</v>
      </c>
      <c r="I2198">
        <v>1358.3524170000001</v>
      </c>
      <c r="J2198">
        <v>1349.5968018000001</v>
      </c>
      <c r="K2198">
        <v>0</v>
      </c>
      <c r="L2198">
        <v>2400</v>
      </c>
      <c r="M2198">
        <v>2400</v>
      </c>
      <c r="N2198">
        <v>0</v>
      </c>
    </row>
    <row r="2199" spans="1:14" x14ac:dyDescent="0.25">
      <c r="A2199">
        <v>1645.9389329999999</v>
      </c>
      <c r="B2199" s="1">
        <f>DATE(2014,11,1) + TIME(22,32,3)</f>
        <v>41944.938923611109</v>
      </c>
      <c r="C2199">
        <v>80</v>
      </c>
      <c r="D2199">
        <v>79.839477539000001</v>
      </c>
      <c r="E2199">
        <v>50</v>
      </c>
      <c r="F2199">
        <v>50.313938141000001</v>
      </c>
      <c r="G2199">
        <v>1321.7739257999999</v>
      </c>
      <c r="H2199">
        <v>1317.0098877</v>
      </c>
      <c r="I2199">
        <v>1358.2912598</v>
      </c>
      <c r="J2199">
        <v>1349.5565185999999</v>
      </c>
      <c r="K2199">
        <v>0</v>
      </c>
      <c r="L2199">
        <v>2400</v>
      </c>
      <c r="M2199">
        <v>2400</v>
      </c>
      <c r="N2199">
        <v>0</v>
      </c>
    </row>
    <row r="2200" spans="1:14" x14ac:dyDescent="0.25">
      <c r="A2200">
        <v>1646.045552</v>
      </c>
      <c r="B2200" s="1">
        <f>DATE(2014,11,2) + TIME(1,5,35)</f>
        <v>41945.045543981483</v>
      </c>
      <c r="C2200">
        <v>80</v>
      </c>
      <c r="D2200">
        <v>79.827217102000006</v>
      </c>
      <c r="E2200">
        <v>50</v>
      </c>
      <c r="F2200">
        <v>50.271579742</v>
      </c>
      <c r="G2200">
        <v>1321.7718506000001</v>
      </c>
      <c r="H2200">
        <v>1317.0075684000001</v>
      </c>
      <c r="I2200">
        <v>1358.2313231999999</v>
      </c>
      <c r="J2200">
        <v>1349.5173339999999</v>
      </c>
      <c r="K2200">
        <v>0</v>
      </c>
      <c r="L2200">
        <v>2400</v>
      </c>
      <c r="M2200">
        <v>2400</v>
      </c>
      <c r="N2200">
        <v>0</v>
      </c>
    </row>
    <row r="2201" spans="1:14" x14ac:dyDescent="0.25">
      <c r="A2201">
        <v>1646.1622850000001</v>
      </c>
      <c r="B2201" s="1">
        <f>DATE(2014,11,2) + TIME(3,53,41)</f>
        <v>41945.162280092591</v>
      </c>
      <c r="C2201">
        <v>80</v>
      </c>
      <c r="D2201">
        <v>79.814094542999996</v>
      </c>
      <c r="E2201">
        <v>50</v>
      </c>
      <c r="F2201">
        <v>50.231685638000002</v>
      </c>
      <c r="G2201">
        <v>1321.7695312000001</v>
      </c>
      <c r="H2201">
        <v>1317.0050048999999</v>
      </c>
      <c r="I2201">
        <v>1358.1726074000001</v>
      </c>
      <c r="J2201">
        <v>1349.479126</v>
      </c>
      <c r="K2201">
        <v>0</v>
      </c>
      <c r="L2201">
        <v>2400</v>
      </c>
      <c r="M2201">
        <v>2400</v>
      </c>
      <c r="N2201">
        <v>0</v>
      </c>
    </row>
    <row r="2202" spans="1:14" x14ac:dyDescent="0.25">
      <c r="A2202">
        <v>1646.291303</v>
      </c>
      <c r="B2202" s="1">
        <f>DATE(2014,11,2) + TIME(6,59,28)</f>
        <v>41945.291296296295</v>
      </c>
      <c r="C2202">
        <v>80</v>
      </c>
      <c r="D2202">
        <v>79.799949646000002</v>
      </c>
      <c r="E2202">
        <v>50</v>
      </c>
      <c r="F2202">
        <v>50.194267273000001</v>
      </c>
      <c r="G2202">
        <v>1321.7670897999999</v>
      </c>
      <c r="H2202">
        <v>1317.0021973</v>
      </c>
      <c r="I2202">
        <v>1358.1151123</v>
      </c>
      <c r="J2202">
        <v>1349.4417725000001</v>
      </c>
      <c r="K2202">
        <v>0</v>
      </c>
      <c r="L2202">
        <v>2400</v>
      </c>
      <c r="M2202">
        <v>2400</v>
      </c>
      <c r="N2202">
        <v>0</v>
      </c>
    </row>
    <row r="2203" spans="1:14" x14ac:dyDescent="0.25">
      <c r="A2203">
        <v>1646.435485</v>
      </c>
      <c r="B2203" s="1">
        <f>DATE(2014,11,2) + TIME(10,27,5)</f>
        <v>41945.435474537036</v>
      </c>
      <c r="C2203">
        <v>80</v>
      </c>
      <c r="D2203">
        <v>79.784538268999995</v>
      </c>
      <c r="E2203">
        <v>50</v>
      </c>
      <c r="F2203">
        <v>50.159378052000001</v>
      </c>
      <c r="G2203">
        <v>1321.7644043</v>
      </c>
      <c r="H2203">
        <v>1316.9991454999999</v>
      </c>
      <c r="I2203">
        <v>1358.0583495999999</v>
      </c>
      <c r="J2203">
        <v>1349.4050293</v>
      </c>
      <c r="K2203">
        <v>0</v>
      </c>
      <c r="L2203">
        <v>2400</v>
      </c>
      <c r="M2203">
        <v>2400</v>
      </c>
      <c r="N2203">
        <v>0</v>
      </c>
    </row>
    <row r="2204" spans="1:14" x14ac:dyDescent="0.25">
      <c r="A2204">
        <v>1646.598794</v>
      </c>
      <c r="B2204" s="1">
        <f>DATE(2014,11,2) + TIME(14,22,15)</f>
        <v>41945.59878472222</v>
      </c>
      <c r="C2204">
        <v>80</v>
      </c>
      <c r="D2204">
        <v>79.767562866000006</v>
      </c>
      <c r="E2204">
        <v>50</v>
      </c>
      <c r="F2204">
        <v>50.127082825000002</v>
      </c>
      <c r="G2204">
        <v>1321.7614745999999</v>
      </c>
      <c r="H2204">
        <v>1316.9957274999999</v>
      </c>
      <c r="I2204">
        <v>1358.0024414</v>
      </c>
      <c r="J2204">
        <v>1349.3690185999999</v>
      </c>
      <c r="K2204">
        <v>0</v>
      </c>
      <c r="L2204">
        <v>2400</v>
      </c>
      <c r="M2204">
        <v>2400</v>
      </c>
      <c r="N2204">
        <v>0</v>
      </c>
    </row>
    <row r="2205" spans="1:14" x14ac:dyDescent="0.25">
      <c r="A2205">
        <v>1646.7868739999999</v>
      </c>
      <c r="B2205" s="1">
        <f>DATE(2014,11,2) + TIME(18,53,5)</f>
        <v>41945.786863425928</v>
      </c>
      <c r="C2205">
        <v>80</v>
      </c>
      <c r="D2205">
        <v>79.748596191000004</v>
      </c>
      <c r="E2205">
        <v>50</v>
      </c>
      <c r="F2205">
        <v>50.097476958999998</v>
      </c>
      <c r="G2205">
        <v>1321.7580565999999</v>
      </c>
      <c r="H2205">
        <v>1316.9919434000001</v>
      </c>
      <c r="I2205">
        <v>1357.9470214999999</v>
      </c>
      <c r="J2205">
        <v>1349.3334961</v>
      </c>
      <c r="K2205">
        <v>0</v>
      </c>
      <c r="L2205">
        <v>2400</v>
      </c>
      <c r="M2205">
        <v>2400</v>
      </c>
      <c r="N2205">
        <v>0</v>
      </c>
    </row>
    <row r="2206" spans="1:14" x14ac:dyDescent="0.25">
      <c r="A2206">
        <v>1646.9954789999999</v>
      </c>
      <c r="B2206" s="1">
        <f>DATE(2014,11,2) + TIME(23,53,29)</f>
        <v>41945.995474537034</v>
      </c>
      <c r="C2206">
        <v>80</v>
      </c>
      <c r="D2206">
        <v>79.728042603000006</v>
      </c>
      <c r="E2206">
        <v>50</v>
      </c>
      <c r="F2206">
        <v>50.071880341000004</v>
      </c>
      <c r="G2206">
        <v>1321.7542725000001</v>
      </c>
      <c r="H2206">
        <v>1316.9875488</v>
      </c>
      <c r="I2206">
        <v>1357.8942870999999</v>
      </c>
      <c r="J2206">
        <v>1349.3000488</v>
      </c>
      <c r="K2206">
        <v>0</v>
      </c>
      <c r="L2206">
        <v>2400</v>
      </c>
      <c r="M2206">
        <v>2400</v>
      </c>
      <c r="N2206">
        <v>0</v>
      </c>
    </row>
    <row r="2207" spans="1:14" x14ac:dyDescent="0.25">
      <c r="A2207">
        <v>1647.2048259999999</v>
      </c>
      <c r="B2207" s="1">
        <f>DATE(2014,11,3) + TIME(4,54,56)</f>
        <v>41946.204814814817</v>
      </c>
      <c r="C2207">
        <v>80</v>
      </c>
      <c r="D2207">
        <v>79.707443237000007</v>
      </c>
      <c r="E2207">
        <v>50</v>
      </c>
      <c r="F2207">
        <v>50.051853180000002</v>
      </c>
      <c r="G2207">
        <v>1321.7498779</v>
      </c>
      <c r="H2207">
        <v>1316.9826660000001</v>
      </c>
      <c r="I2207">
        <v>1357.8479004000001</v>
      </c>
      <c r="J2207">
        <v>1349.2707519999999</v>
      </c>
      <c r="K2207">
        <v>0</v>
      </c>
      <c r="L2207">
        <v>2400</v>
      </c>
      <c r="M2207">
        <v>2400</v>
      </c>
      <c r="N2207">
        <v>0</v>
      </c>
    </row>
    <row r="2208" spans="1:14" x14ac:dyDescent="0.25">
      <c r="A2208">
        <v>1647.4185520000001</v>
      </c>
      <c r="B2208" s="1">
        <f>DATE(2014,11,3) + TIME(10,2,42)</f>
        <v>41946.418541666666</v>
      </c>
      <c r="C2208">
        <v>80</v>
      </c>
      <c r="D2208">
        <v>79.686546325999998</v>
      </c>
      <c r="E2208">
        <v>50</v>
      </c>
      <c r="F2208">
        <v>50.035972594999997</v>
      </c>
      <c r="G2208">
        <v>1321.7456055</v>
      </c>
      <c r="H2208">
        <v>1316.9777832</v>
      </c>
      <c r="I2208">
        <v>1357.8063964999999</v>
      </c>
      <c r="J2208">
        <v>1349.2446289</v>
      </c>
      <c r="K2208">
        <v>0</v>
      </c>
      <c r="L2208">
        <v>2400</v>
      </c>
      <c r="M2208">
        <v>2400</v>
      </c>
      <c r="N2208">
        <v>0</v>
      </c>
    </row>
    <row r="2209" spans="1:14" x14ac:dyDescent="0.25">
      <c r="A2209">
        <v>1647.638387</v>
      </c>
      <c r="B2209" s="1">
        <f>DATE(2014,11,3) + TIME(15,19,16)</f>
        <v>41946.638379629629</v>
      </c>
      <c r="C2209">
        <v>80</v>
      </c>
      <c r="D2209">
        <v>79.665222168</v>
      </c>
      <c r="E2209">
        <v>50</v>
      </c>
      <c r="F2209">
        <v>50.023357390999998</v>
      </c>
      <c r="G2209">
        <v>1321.7412108999999</v>
      </c>
      <c r="H2209">
        <v>1316.9727783000001</v>
      </c>
      <c r="I2209">
        <v>1357.7686768000001</v>
      </c>
      <c r="J2209">
        <v>1349.2211914</v>
      </c>
      <c r="K2209">
        <v>0</v>
      </c>
      <c r="L2209">
        <v>2400</v>
      </c>
      <c r="M2209">
        <v>2400</v>
      </c>
      <c r="N2209">
        <v>0</v>
      </c>
    </row>
    <row r="2210" spans="1:14" x14ac:dyDescent="0.25">
      <c r="A2210">
        <v>1647.8662260000001</v>
      </c>
      <c r="B2210" s="1">
        <f>DATE(2014,11,3) + TIME(20,47,21)</f>
        <v>41946.866215277776</v>
      </c>
      <c r="C2210">
        <v>80</v>
      </c>
      <c r="D2210">
        <v>79.643348693999997</v>
      </c>
      <c r="E2210">
        <v>50</v>
      </c>
      <c r="F2210">
        <v>50.013332366999997</v>
      </c>
      <c r="G2210">
        <v>1321.7366943</v>
      </c>
      <c r="H2210">
        <v>1316.9676514</v>
      </c>
      <c r="I2210">
        <v>1357.7342529</v>
      </c>
      <c r="J2210">
        <v>1349.1998291</v>
      </c>
      <c r="K2210">
        <v>0</v>
      </c>
      <c r="L2210">
        <v>2400</v>
      </c>
      <c r="M2210">
        <v>2400</v>
      </c>
      <c r="N2210">
        <v>0</v>
      </c>
    </row>
    <row r="2211" spans="1:14" x14ac:dyDescent="0.25">
      <c r="A2211">
        <v>1648.104092</v>
      </c>
      <c r="B2211" s="1">
        <f>DATE(2014,11,4) + TIME(2,29,53)</f>
        <v>41947.104085648149</v>
      </c>
      <c r="C2211">
        <v>80</v>
      </c>
      <c r="D2211">
        <v>79.620765685999999</v>
      </c>
      <c r="E2211">
        <v>50</v>
      </c>
      <c r="F2211">
        <v>50.005386352999999</v>
      </c>
      <c r="G2211">
        <v>1321.7320557</v>
      </c>
      <c r="H2211">
        <v>1316.9622803</v>
      </c>
      <c r="I2211">
        <v>1357.7022704999999</v>
      </c>
      <c r="J2211">
        <v>1349.1800536999999</v>
      </c>
      <c r="K2211">
        <v>0</v>
      </c>
      <c r="L2211">
        <v>2400</v>
      </c>
      <c r="M2211">
        <v>2400</v>
      </c>
      <c r="N2211">
        <v>0</v>
      </c>
    </row>
    <row r="2212" spans="1:14" x14ac:dyDescent="0.25">
      <c r="A2212">
        <v>1648.354255</v>
      </c>
      <c r="B2212" s="1">
        <f>DATE(2014,11,4) + TIME(8,30,7)</f>
        <v>41947.354247685187</v>
      </c>
      <c r="C2212">
        <v>80</v>
      </c>
      <c r="D2212">
        <v>79.597312927000004</v>
      </c>
      <c r="E2212">
        <v>50</v>
      </c>
      <c r="F2212">
        <v>49.999111176</v>
      </c>
      <c r="G2212">
        <v>1321.7271728999999</v>
      </c>
      <c r="H2212">
        <v>1316.9566649999999</v>
      </c>
      <c r="I2212">
        <v>1357.6723632999999</v>
      </c>
      <c r="J2212">
        <v>1349.1617432</v>
      </c>
      <c r="K2212">
        <v>0</v>
      </c>
      <c r="L2212">
        <v>2400</v>
      </c>
      <c r="M2212">
        <v>2400</v>
      </c>
      <c r="N2212">
        <v>0</v>
      </c>
    </row>
    <row r="2213" spans="1:14" x14ac:dyDescent="0.25">
      <c r="A2213">
        <v>1648.6193559999999</v>
      </c>
      <c r="B2213" s="1">
        <f>DATE(2014,11,4) + TIME(14,51,52)</f>
        <v>41947.619351851848</v>
      </c>
      <c r="C2213">
        <v>80</v>
      </c>
      <c r="D2213">
        <v>79.572799683</v>
      </c>
      <c r="E2213">
        <v>50</v>
      </c>
      <c r="F2213">
        <v>49.994186401</v>
      </c>
      <c r="G2213">
        <v>1321.7220459</v>
      </c>
      <c r="H2213">
        <v>1316.9508057</v>
      </c>
      <c r="I2213">
        <v>1357.644043</v>
      </c>
      <c r="J2213">
        <v>1349.1444091999999</v>
      </c>
      <c r="K2213">
        <v>0</v>
      </c>
      <c r="L2213">
        <v>2400</v>
      </c>
      <c r="M2213">
        <v>2400</v>
      </c>
      <c r="N2213">
        <v>0</v>
      </c>
    </row>
    <row r="2214" spans="1:14" x14ac:dyDescent="0.25">
      <c r="A2214">
        <v>1648.902564</v>
      </c>
      <c r="B2214" s="1">
        <f>DATE(2014,11,4) + TIME(21,39,41)</f>
        <v>41947.902557870373</v>
      </c>
      <c r="C2214">
        <v>80</v>
      </c>
      <c r="D2214">
        <v>79.547012328999998</v>
      </c>
      <c r="E2214">
        <v>50</v>
      </c>
      <c r="F2214">
        <v>49.990352631</v>
      </c>
      <c r="G2214">
        <v>1321.7165527</v>
      </c>
      <c r="H2214">
        <v>1316.9444579999999</v>
      </c>
      <c r="I2214">
        <v>1357.6168213000001</v>
      </c>
      <c r="J2214">
        <v>1349.1278076000001</v>
      </c>
      <c r="K2214">
        <v>0</v>
      </c>
      <c r="L2214">
        <v>2400</v>
      </c>
      <c r="M2214">
        <v>2400</v>
      </c>
      <c r="N2214">
        <v>0</v>
      </c>
    </row>
    <row r="2215" spans="1:14" x14ac:dyDescent="0.25">
      <c r="A2215">
        <v>1649.2045760000001</v>
      </c>
      <c r="B2215" s="1">
        <f>DATE(2014,11,5) + TIME(4,54,35)</f>
        <v>41948.204571759263</v>
      </c>
      <c r="C2215">
        <v>80</v>
      </c>
      <c r="D2215">
        <v>79.519889832000004</v>
      </c>
      <c r="E2215">
        <v>50</v>
      </c>
      <c r="F2215">
        <v>49.987426757999998</v>
      </c>
      <c r="G2215">
        <v>1321.7106934000001</v>
      </c>
      <c r="H2215">
        <v>1316.9376221</v>
      </c>
      <c r="I2215">
        <v>1357.5905762</v>
      </c>
      <c r="J2215">
        <v>1349.1118164</v>
      </c>
      <c r="K2215">
        <v>0</v>
      </c>
      <c r="L2215">
        <v>2400</v>
      </c>
      <c r="M2215">
        <v>2400</v>
      </c>
      <c r="N2215">
        <v>0</v>
      </c>
    </row>
    <row r="2216" spans="1:14" x14ac:dyDescent="0.25">
      <c r="A2216">
        <v>1649.526259</v>
      </c>
      <c r="B2216" s="1">
        <f>DATE(2014,11,5) + TIME(12,37,48)</f>
        <v>41948.526250000003</v>
      </c>
      <c r="C2216">
        <v>80</v>
      </c>
      <c r="D2216">
        <v>79.491363524999997</v>
      </c>
      <c r="E2216">
        <v>50</v>
      </c>
      <c r="F2216">
        <v>49.985237122000001</v>
      </c>
      <c r="G2216">
        <v>1321.7043457</v>
      </c>
      <c r="H2216">
        <v>1316.9302978999999</v>
      </c>
      <c r="I2216">
        <v>1357.5651855000001</v>
      </c>
      <c r="J2216">
        <v>1349.0964355000001</v>
      </c>
      <c r="K2216">
        <v>0</v>
      </c>
      <c r="L2216">
        <v>2400</v>
      </c>
      <c r="M2216">
        <v>2400</v>
      </c>
      <c r="N2216">
        <v>0</v>
      </c>
    </row>
    <row r="2217" spans="1:14" x14ac:dyDescent="0.25">
      <c r="A2217">
        <v>1649.8716690000001</v>
      </c>
      <c r="B2217" s="1">
        <f>DATE(2014,11,5) + TIME(20,55,12)</f>
        <v>41948.871666666666</v>
      </c>
      <c r="C2217">
        <v>80</v>
      </c>
      <c r="D2217">
        <v>79.461181640999996</v>
      </c>
      <c r="E2217">
        <v>50</v>
      </c>
      <c r="F2217">
        <v>49.983612061000002</v>
      </c>
      <c r="G2217">
        <v>1321.6976318</v>
      </c>
      <c r="H2217">
        <v>1316.9224853999999</v>
      </c>
      <c r="I2217">
        <v>1357.5402832</v>
      </c>
      <c r="J2217">
        <v>1349.0814209</v>
      </c>
      <c r="K2217">
        <v>0</v>
      </c>
      <c r="L2217">
        <v>2400</v>
      </c>
      <c r="M2217">
        <v>2400</v>
      </c>
      <c r="N2217">
        <v>0</v>
      </c>
    </row>
    <row r="2218" spans="1:14" x14ac:dyDescent="0.25">
      <c r="A2218">
        <v>1650.245555</v>
      </c>
      <c r="B2218" s="1">
        <f>DATE(2014,11,6) + TIME(5,53,35)</f>
        <v>41949.24554398148</v>
      </c>
      <c r="C2218">
        <v>80</v>
      </c>
      <c r="D2218">
        <v>79.429039001000007</v>
      </c>
      <c r="E2218">
        <v>50</v>
      </c>
      <c r="F2218">
        <v>49.982429504000002</v>
      </c>
      <c r="G2218">
        <v>1321.6903076000001</v>
      </c>
      <c r="H2218">
        <v>1316.9139404</v>
      </c>
      <c r="I2218">
        <v>1357.5157471</v>
      </c>
      <c r="J2218">
        <v>1349.0667725000001</v>
      </c>
      <c r="K2218">
        <v>0</v>
      </c>
      <c r="L2218">
        <v>2400</v>
      </c>
      <c r="M2218">
        <v>2400</v>
      </c>
      <c r="N2218">
        <v>0</v>
      </c>
    </row>
    <row r="2219" spans="1:14" x14ac:dyDescent="0.25">
      <c r="A2219">
        <v>1650.6541669999999</v>
      </c>
      <c r="B2219" s="1">
        <f>DATE(2014,11,6) + TIME(15,42,0)</f>
        <v>41949.654166666667</v>
      </c>
      <c r="C2219">
        <v>80</v>
      </c>
      <c r="D2219">
        <v>79.394538878999995</v>
      </c>
      <c r="E2219">
        <v>50</v>
      </c>
      <c r="F2219">
        <v>49.981582641999999</v>
      </c>
      <c r="G2219">
        <v>1321.6823730000001</v>
      </c>
      <c r="H2219">
        <v>1316.9045410000001</v>
      </c>
      <c r="I2219">
        <v>1357.4913329999999</v>
      </c>
      <c r="J2219">
        <v>1349.0520019999999</v>
      </c>
      <c r="K2219">
        <v>0</v>
      </c>
      <c r="L2219">
        <v>2400</v>
      </c>
      <c r="M2219">
        <v>2400</v>
      </c>
      <c r="N2219">
        <v>0</v>
      </c>
    </row>
    <row r="2220" spans="1:14" x14ac:dyDescent="0.25">
      <c r="A2220">
        <v>1651.0916810000001</v>
      </c>
      <c r="B2220" s="1">
        <f>DATE(2014,11,7) + TIME(2,12,1)</f>
        <v>41950.091678240744</v>
      </c>
      <c r="C2220">
        <v>80</v>
      </c>
      <c r="D2220">
        <v>79.357963561999995</v>
      </c>
      <c r="E2220">
        <v>50</v>
      </c>
      <c r="F2220">
        <v>49.981002808</v>
      </c>
      <c r="G2220">
        <v>1321.6735839999999</v>
      </c>
      <c r="H2220">
        <v>1316.8942870999999</v>
      </c>
      <c r="I2220">
        <v>1357.4666748</v>
      </c>
      <c r="J2220">
        <v>1349.0372314000001</v>
      </c>
      <c r="K2220">
        <v>0</v>
      </c>
      <c r="L2220">
        <v>2400</v>
      </c>
      <c r="M2220">
        <v>2400</v>
      </c>
      <c r="N2220">
        <v>0</v>
      </c>
    </row>
    <row r="2221" spans="1:14" x14ac:dyDescent="0.25">
      <c r="A2221">
        <v>1651.5368699999999</v>
      </c>
      <c r="B2221" s="1">
        <f>DATE(2014,11,7) + TIME(12,53,5)</f>
        <v>41950.536863425928</v>
      </c>
      <c r="C2221">
        <v>80</v>
      </c>
      <c r="D2221">
        <v>79.320480347</v>
      </c>
      <c r="E2221">
        <v>50</v>
      </c>
      <c r="F2221">
        <v>49.980621337999999</v>
      </c>
      <c r="G2221">
        <v>1321.6640625</v>
      </c>
      <c r="H2221">
        <v>1316.8830565999999</v>
      </c>
      <c r="I2221">
        <v>1357.4422606999999</v>
      </c>
      <c r="J2221">
        <v>1349.0225829999999</v>
      </c>
      <c r="K2221">
        <v>0</v>
      </c>
      <c r="L2221">
        <v>2400</v>
      </c>
      <c r="M2221">
        <v>2400</v>
      </c>
      <c r="N2221">
        <v>0</v>
      </c>
    </row>
    <row r="2222" spans="1:14" x14ac:dyDescent="0.25">
      <c r="A2222">
        <v>1651.9951880000001</v>
      </c>
      <c r="B2222" s="1">
        <f>DATE(2014,11,7) + TIME(23,53,4)</f>
        <v>41950.995185185187</v>
      </c>
      <c r="C2222">
        <v>80</v>
      </c>
      <c r="D2222">
        <v>79.282005310000002</v>
      </c>
      <c r="E2222">
        <v>50</v>
      </c>
      <c r="F2222">
        <v>49.980373383</v>
      </c>
      <c r="G2222">
        <v>1321.6542969</v>
      </c>
      <c r="H2222">
        <v>1316.8714600000001</v>
      </c>
      <c r="I2222">
        <v>1357.4190673999999</v>
      </c>
      <c r="J2222">
        <v>1349.0086670000001</v>
      </c>
      <c r="K2222">
        <v>0</v>
      </c>
      <c r="L2222">
        <v>2400</v>
      </c>
      <c r="M2222">
        <v>2400</v>
      </c>
      <c r="N2222">
        <v>0</v>
      </c>
    </row>
    <row r="2223" spans="1:14" x14ac:dyDescent="0.25">
      <c r="A2223">
        <v>1652.4646680000001</v>
      </c>
      <c r="B2223" s="1">
        <f>DATE(2014,11,8) + TIME(11,9,7)</f>
        <v>41951.46466435185</v>
      </c>
      <c r="C2223">
        <v>80</v>
      </c>
      <c r="D2223">
        <v>79.242752074999999</v>
      </c>
      <c r="E2223">
        <v>50</v>
      </c>
      <c r="F2223">
        <v>49.980209350999999</v>
      </c>
      <c r="G2223">
        <v>1321.644043</v>
      </c>
      <c r="H2223">
        <v>1316.8592529</v>
      </c>
      <c r="I2223">
        <v>1357.3968506000001</v>
      </c>
      <c r="J2223">
        <v>1348.9952393000001</v>
      </c>
      <c r="K2223">
        <v>0</v>
      </c>
      <c r="L2223">
        <v>2400</v>
      </c>
      <c r="M2223">
        <v>2400</v>
      </c>
      <c r="N2223">
        <v>0</v>
      </c>
    </row>
    <row r="2224" spans="1:14" x14ac:dyDescent="0.25">
      <c r="A2224">
        <v>1652.94651</v>
      </c>
      <c r="B2224" s="1">
        <f>DATE(2014,11,8) + TIME(22,42,58)</f>
        <v>41951.946504629632</v>
      </c>
      <c r="C2224">
        <v>80</v>
      </c>
      <c r="D2224">
        <v>79.202751160000005</v>
      </c>
      <c r="E2224">
        <v>50</v>
      </c>
      <c r="F2224">
        <v>49.980106354</v>
      </c>
      <c r="G2224">
        <v>1321.6334228999999</v>
      </c>
      <c r="H2224">
        <v>1316.8465576000001</v>
      </c>
      <c r="I2224">
        <v>1357.3753661999999</v>
      </c>
      <c r="J2224">
        <v>1348.9824219</v>
      </c>
      <c r="K2224">
        <v>0</v>
      </c>
      <c r="L2224">
        <v>2400</v>
      </c>
      <c r="M2224">
        <v>2400</v>
      </c>
      <c r="N2224">
        <v>0</v>
      </c>
    </row>
    <row r="2225" spans="1:14" x14ac:dyDescent="0.25">
      <c r="A2225">
        <v>1653.4447660000001</v>
      </c>
      <c r="B2225" s="1">
        <f>DATE(2014,11,9) + TIME(10,40,27)</f>
        <v>41952.444756944446</v>
      </c>
      <c r="C2225">
        <v>80</v>
      </c>
      <c r="D2225">
        <v>79.161842346</v>
      </c>
      <c r="E2225">
        <v>50</v>
      </c>
      <c r="F2225">
        <v>49.980033874999997</v>
      </c>
      <c r="G2225">
        <v>1321.6223144999999</v>
      </c>
      <c r="H2225">
        <v>1316.8332519999999</v>
      </c>
      <c r="I2225">
        <v>1357.3547363</v>
      </c>
      <c r="J2225">
        <v>1348.9700928</v>
      </c>
      <c r="K2225">
        <v>0</v>
      </c>
      <c r="L2225">
        <v>2400</v>
      </c>
      <c r="M2225">
        <v>2400</v>
      </c>
      <c r="N2225">
        <v>0</v>
      </c>
    </row>
    <row r="2226" spans="1:14" x14ac:dyDescent="0.25">
      <c r="A2226">
        <v>1653.963735</v>
      </c>
      <c r="B2226" s="1">
        <f>DATE(2014,11,9) + TIME(23,7,46)</f>
        <v>41952.963726851849</v>
      </c>
      <c r="C2226">
        <v>80</v>
      </c>
      <c r="D2226">
        <v>79.119812011999997</v>
      </c>
      <c r="E2226">
        <v>50</v>
      </c>
      <c r="F2226">
        <v>49.979988098</v>
      </c>
      <c r="G2226">
        <v>1321.6107178</v>
      </c>
      <c r="H2226">
        <v>1316.8192139</v>
      </c>
      <c r="I2226">
        <v>1357.3344727000001</v>
      </c>
      <c r="J2226">
        <v>1348.9578856999999</v>
      </c>
      <c r="K2226">
        <v>0</v>
      </c>
      <c r="L2226">
        <v>2400</v>
      </c>
      <c r="M2226">
        <v>2400</v>
      </c>
      <c r="N2226">
        <v>0</v>
      </c>
    </row>
    <row r="2227" spans="1:14" x14ac:dyDescent="0.25">
      <c r="A2227">
        <v>1654.508268</v>
      </c>
      <c r="B2227" s="1">
        <f>DATE(2014,11,10) + TIME(12,11,54)</f>
        <v>41953.508263888885</v>
      </c>
      <c r="C2227">
        <v>80</v>
      </c>
      <c r="D2227">
        <v>79.076400757000002</v>
      </c>
      <c r="E2227">
        <v>50</v>
      </c>
      <c r="F2227">
        <v>49.979953766000001</v>
      </c>
      <c r="G2227">
        <v>1321.5985106999999</v>
      </c>
      <c r="H2227">
        <v>1316.8043213000001</v>
      </c>
      <c r="I2227">
        <v>1357.3145752</v>
      </c>
      <c r="J2227">
        <v>1348.9460449000001</v>
      </c>
      <c r="K2227">
        <v>0</v>
      </c>
      <c r="L2227">
        <v>2400</v>
      </c>
      <c r="M2227">
        <v>2400</v>
      </c>
      <c r="N2227">
        <v>0</v>
      </c>
    </row>
    <row r="2228" spans="1:14" x14ac:dyDescent="0.25">
      <c r="A2228">
        <v>1655.084061</v>
      </c>
      <c r="B2228" s="1">
        <f>DATE(2014,11,11) + TIME(2,1,2)</f>
        <v>41954.084050925929</v>
      </c>
      <c r="C2228">
        <v>80</v>
      </c>
      <c r="D2228">
        <v>79.031280518000003</v>
      </c>
      <c r="E2228">
        <v>50</v>
      </c>
      <c r="F2228">
        <v>49.979930877999998</v>
      </c>
      <c r="G2228">
        <v>1321.5854492000001</v>
      </c>
      <c r="H2228">
        <v>1316.7883300999999</v>
      </c>
      <c r="I2228">
        <v>1357.2949219</v>
      </c>
      <c r="J2228">
        <v>1348.9342041</v>
      </c>
      <c r="K2228">
        <v>0</v>
      </c>
      <c r="L2228">
        <v>2400</v>
      </c>
      <c r="M2228">
        <v>2400</v>
      </c>
      <c r="N2228">
        <v>0</v>
      </c>
    </row>
    <row r="2229" spans="1:14" x14ac:dyDescent="0.25">
      <c r="A2229">
        <v>1655.697958</v>
      </c>
      <c r="B2229" s="1">
        <f>DATE(2014,11,11) + TIME(16,45,3)</f>
        <v>41954.697951388887</v>
      </c>
      <c r="C2229">
        <v>80</v>
      </c>
      <c r="D2229">
        <v>78.984069824000002</v>
      </c>
      <c r="E2229">
        <v>50</v>
      </c>
      <c r="F2229">
        <v>49.979915619000003</v>
      </c>
      <c r="G2229">
        <v>1321.5714111</v>
      </c>
      <c r="H2229">
        <v>1316.7711182</v>
      </c>
      <c r="I2229">
        <v>1357.2751464999999</v>
      </c>
      <c r="J2229">
        <v>1348.9224853999999</v>
      </c>
      <c r="K2229">
        <v>0</v>
      </c>
      <c r="L2229">
        <v>2400</v>
      </c>
      <c r="M2229">
        <v>2400</v>
      </c>
      <c r="N2229">
        <v>0</v>
      </c>
    </row>
    <row r="2230" spans="1:14" x14ac:dyDescent="0.25">
      <c r="A2230">
        <v>1656.328708</v>
      </c>
      <c r="B2230" s="1">
        <f>DATE(2014,11,12) + TIME(7,53,20)</f>
        <v>41955.328703703701</v>
      </c>
      <c r="C2230">
        <v>80</v>
      </c>
      <c r="D2230">
        <v>78.935585021999998</v>
      </c>
      <c r="E2230">
        <v>50</v>
      </c>
      <c r="F2230">
        <v>49.979900360000002</v>
      </c>
      <c r="G2230">
        <v>1321.5561522999999</v>
      </c>
      <c r="H2230">
        <v>1316.7523193</v>
      </c>
      <c r="I2230">
        <v>1357.255249</v>
      </c>
      <c r="J2230">
        <v>1348.9105225000001</v>
      </c>
      <c r="K2230">
        <v>0</v>
      </c>
      <c r="L2230">
        <v>2400</v>
      </c>
      <c r="M2230">
        <v>2400</v>
      </c>
      <c r="N2230">
        <v>0</v>
      </c>
    </row>
    <row r="2231" spans="1:14" x14ac:dyDescent="0.25">
      <c r="A2231">
        <v>1656.9681949999999</v>
      </c>
      <c r="B2231" s="1">
        <f>DATE(2014,11,12) + TIME(23,14,12)</f>
        <v>41955.968194444446</v>
      </c>
      <c r="C2231">
        <v>80</v>
      </c>
      <c r="D2231">
        <v>78.886398314999994</v>
      </c>
      <c r="E2231">
        <v>50</v>
      </c>
      <c r="F2231">
        <v>49.979888916</v>
      </c>
      <c r="G2231">
        <v>1321.5402832</v>
      </c>
      <c r="H2231">
        <v>1316.7325439000001</v>
      </c>
      <c r="I2231">
        <v>1357.2359618999999</v>
      </c>
      <c r="J2231">
        <v>1348.8989257999999</v>
      </c>
      <c r="K2231">
        <v>0</v>
      </c>
      <c r="L2231">
        <v>2400</v>
      </c>
      <c r="M2231">
        <v>2400</v>
      </c>
      <c r="N2231">
        <v>0</v>
      </c>
    </row>
    <row r="2232" spans="1:14" x14ac:dyDescent="0.25">
      <c r="A2232">
        <v>1657.6178030000001</v>
      </c>
      <c r="B2232" s="1">
        <f>DATE(2014,11,13) + TIME(14,49,38)</f>
        <v>41956.617800925924</v>
      </c>
      <c r="C2232">
        <v>80</v>
      </c>
      <c r="D2232">
        <v>78.836708068999997</v>
      </c>
      <c r="E2232">
        <v>50</v>
      </c>
      <c r="F2232">
        <v>49.979877471999998</v>
      </c>
      <c r="G2232">
        <v>1321.5238036999999</v>
      </c>
      <c r="H2232">
        <v>1316.7120361</v>
      </c>
      <c r="I2232">
        <v>1357.2174072</v>
      </c>
      <c r="J2232">
        <v>1348.8878173999999</v>
      </c>
      <c r="K2232">
        <v>0</v>
      </c>
      <c r="L2232">
        <v>2400</v>
      </c>
      <c r="M2232">
        <v>2400</v>
      </c>
      <c r="N2232">
        <v>0</v>
      </c>
    </row>
    <row r="2233" spans="1:14" x14ac:dyDescent="0.25">
      <c r="A2233">
        <v>1658.279059</v>
      </c>
      <c r="B2233" s="1">
        <f>DATE(2014,11,14) + TIME(6,41,50)</f>
        <v>41957.279050925928</v>
      </c>
      <c r="C2233">
        <v>80</v>
      </c>
      <c r="D2233">
        <v>78.786567688000005</v>
      </c>
      <c r="E2233">
        <v>50</v>
      </c>
      <c r="F2233">
        <v>49.979869843000003</v>
      </c>
      <c r="G2233">
        <v>1321.5067139</v>
      </c>
      <c r="H2233">
        <v>1316.6905518000001</v>
      </c>
      <c r="I2233">
        <v>1357.1994629000001</v>
      </c>
      <c r="J2233">
        <v>1348.8770752</v>
      </c>
      <c r="K2233">
        <v>0</v>
      </c>
      <c r="L2233">
        <v>2400</v>
      </c>
      <c r="M2233">
        <v>2400</v>
      </c>
      <c r="N2233">
        <v>0</v>
      </c>
    </row>
    <row r="2234" spans="1:14" x14ac:dyDescent="0.25">
      <c r="A2234">
        <v>1658.953661</v>
      </c>
      <c r="B2234" s="1">
        <f>DATE(2014,11,14) + TIME(22,53,16)</f>
        <v>41957.953657407408</v>
      </c>
      <c r="C2234">
        <v>80</v>
      </c>
      <c r="D2234">
        <v>78.735977172999995</v>
      </c>
      <c r="E2234">
        <v>50</v>
      </c>
      <c r="F2234">
        <v>49.979862212999997</v>
      </c>
      <c r="G2234">
        <v>1321.4890137</v>
      </c>
      <c r="H2234">
        <v>1316.6682129000001</v>
      </c>
      <c r="I2234">
        <v>1357.1821289</v>
      </c>
      <c r="J2234">
        <v>1348.8666992000001</v>
      </c>
      <c r="K2234">
        <v>0</v>
      </c>
      <c r="L2234">
        <v>2400</v>
      </c>
      <c r="M2234">
        <v>2400</v>
      </c>
      <c r="N2234">
        <v>0</v>
      </c>
    </row>
    <row r="2235" spans="1:14" x14ac:dyDescent="0.25">
      <c r="A2235">
        <v>1659.643145</v>
      </c>
      <c r="B2235" s="1">
        <f>DATE(2014,11,15) + TIME(15,26,7)</f>
        <v>41958.643136574072</v>
      </c>
      <c r="C2235">
        <v>80</v>
      </c>
      <c r="D2235">
        <v>78.684883118000002</v>
      </c>
      <c r="E2235">
        <v>50</v>
      </c>
      <c r="F2235">
        <v>49.979854584000002</v>
      </c>
      <c r="G2235">
        <v>1321.4705810999999</v>
      </c>
      <c r="H2235">
        <v>1316.6448975000001</v>
      </c>
      <c r="I2235">
        <v>1357.1651611</v>
      </c>
      <c r="J2235">
        <v>1348.8566894999999</v>
      </c>
      <c r="K2235">
        <v>0</v>
      </c>
      <c r="L2235">
        <v>2400</v>
      </c>
      <c r="M2235">
        <v>2400</v>
      </c>
      <c r="N2235">
        <v>0</v>
      </c>
    </row>
    <row r="2236" spans="1:14" x14ac:dyDescent="0.25">
      <c r="A2236">
        <v>1660.34908</v>
      </c>
      <c r="B2236" s="1">
        <f>DATE(2014,11,16) + TIME(8,22,40)</f>
        <v>41959.349074074074</v>
      </c>
      <c r="C2236">
        <v>80</v>
      </c>
      <c r="D2236">
        <v>78.633224487000007</v>
      </c>
      <c r="E2236">
        <v>50</v>
      </c>
      <c r="F2236">
        <v>49.97984314</v>
      </c>
      <c r="G2236">
        <v>1321.4514160000001</v>
      </c>
      <c r="H2236">
        <v>1316.6204834</v>
      </c>
      <c r="I2236">
        <v>1357.1488036999999</v>
      </c>
      <c r="J2236">
        <v>1348.8468018000001</v>
      </c>
      <c r="K2236">
        <v>0</v>
      </c>
      <c r="L2236">
        <v>2400</v>
      </c>
      <c r="M2236">
        <v>2400</v>
      </c>
      <c r="N2236">
        <v>0</v>
      </c>
    </row>
    <row r="2237" spans="1:14" x14ac:dyDescent="0.25">
      <c r="A2237">
        <v>1661.0730900000001</v>
      </c>
      <c r="B2237" s="1">
        <f>DATE(2014,11,17) + TIME(1,45,15)</f>
        <v>41960.07309027778</v>
      </c>
      <c r="C2237">
        <v>80</v>
      </c>
      <c r="D2237">
        <v>78.580924988000007</v>
      </c>
      <c r="E2237">
        <v>50</v>
      </c>
      <c r="F2237">
        <v>49.979839325</v>
      </c>
      <c r="G2237">
        <v>1321.4313964999999</v>
      </c>
      <c r="H2237">
        <v>1316.5949707</v>
      </c>
      <c r="I2237">
        <v>1357.1326904</v>
      </c>
      <c r="J2237">
        <v>1348.8371582</v>
      </c>
      <c r="K2237">
        <v>0</v>
      </c>
      <c r="L2237">
        <v>2400</v>
      </c>
      <c r="M2237">
        <v>2400</v>
      </c>
      <c r="N2237">
        <v>0</v>
      </c>
    </row>
    <row r="2238" spans="1:14" x14ac:dyDescent="0.25">
      <c r="A2238">
        <v>1661.8168740000001</v>
      </c>
      <c r="B2238" s="1">
        <f>DATE(2014,11,17) + TIME(19,36,17)</f>
        <v>41960.816863425927</v>
      </c>
      <c r="C2238">
        <v>80</v>
      </c>
      <c r="D2238">
        <v>78.527885436999995</v>
      </c>
      <c r="E2238">
        <v>50</v>
      </c>
      <c r="F2238">
        <v>49.979831695999998</v>
      </c>
      <c r="G2238">
        <v>1321.4106445</v>
      </c>
      <c r="H2238">
        <v>1316.5681152</v>
      </c>
      <c r="I2238">
        <v>1357.1169434000001</v>
      </c>
      <c r="J2238">
        <v>1348.8277588000001</v>
      </c>
      <c r="K2238">
        <v>0</v>
      </c>
      <c r="L2238">
        <v>2400</v>
      </c>
      <c r="M2238">
        <v>2400</v>
      </c>
      <c r="N2238">
        <v>0</v>
      </c>
    </row>
    <row r="2239" spans="1:14" x14ac:dyDescent="0.25">
      <c r="A2239">
        <v>1662.577458</v>
      </c>
      <c r="B2239" s="1">
        <f>DATE(2014,11,18) + TIME(13,51,32)</f>
        <v>41961.577453703707</v>
      </c>
      <c r="C2239">
        <v>80</v>
      </c>
      <c r="D2239">
        <v>78.474212645999998</v>
      </c>
      <c r="E2239">
        <v>50</v>
      </c>
      <c r="F2239">
        <v>49.979824065999999</v>
      </c>
      <c r="G2239">
        <v>1321.3887939000001</v>
      </c>
      <c r="H2239">
        <v>1316.5400391000001</v>
      </c>
      <c r="I2239">
        <v>1357.1014404</v>
      </c>
      <c r="J2239">
        <v>1348.8186035000001</v>
      </c>
      <c r="K2239">
        <v>0</v>
      </c>
      <c r="L2239">
        <v>2400</v>
      </c>
      <c r="M2239">
        <v>2400</v>
      </c>
      <c r="N2239">
        <v>0</v>
      </c>
    </row>
    <row r="2240" spans="1:14" x14ac:dyDescent="0.25">
      <c r="A2240">
        <v>1663.3476069999999</v>
      </c>
      <c r="B2240" s="1">
        <f>DATE(2014,11,19) + TIME(8,20,33)</f>
        <v>41962.347604166665</v>
      </c>
      <c r="C2240">
        <v>80</v>
      </c>
      <c r="D2240">
        <v>78.420196532999995</v>
      </c>
      <c r="E2240">
        <v>50</v>
      </c>
      <c r="F2240">
        <v>49.979816436999997</v>
      </c>
      <c r="G2240">
        <v>1321.3662108999999</v>
      </c>
      <c r="H2240">
        <v>1316.5107422000001</v>
      </c>
      <c r="I2240">
        <v>1357.0863036999999</v>
      </c>
      <c r="J2240">
        <v>1348.8095702999999</v>
      </c>
      <c r="K2240">
        <v>0</v>
      </c>
      <c r="L2240">
        <v>2400</v>
      </c>
      <c r="M2240">
        <v>2400</v>
      </c>
      <c r="N2240">
        <v>0</v>
      </c>
    </row>
    <row r="2241" spans="1:14" x14ac:dyDescent="0.25">
      <c r="A2241">
        <v>1664.1289099999999</v>
      </c>
      <c r="B2241" s="1">
        <f>DATE(2014,11,20) + TIME(3,5,37)</f>
        <v>41963.128900462965</v>
      </c>
      <c r="C2241">
        <v>80</v>
      </c>
      <c r="D2241">
        <v>78.365921021000005</v>
      </c>
      <c r="E2241">
        <v>50</v>
      </c>
      <c r="F2241">
        <v>49.979812621999997</v>
      </c>
      <c r="G2241">
        <v>1321.3427733999999</v>
      </c>
      <c r="H2241">
        <v>1316.4803466999999</v>
      </c>
      <c r="I2241">
        <v>1357.0715332</v>
      </c>
      <c r="J2241">
        <v>1348.8007812000001</v>
      </c>
      <c r="K2241">
        <v>0</v>
      </c>
      <c r="L2241">
        <v>2400</v>
      </c>
      <c r="M2241">
        <v>2400</v>
      </c>
      <c r="N2241">
        <v>0</v>
      </c>
    </row>
    <row r="2242" spans="1:14" x14ac:dyDescent="0.25">
      <c r="A2242">
        <v>1664.923634</v>
      </c>
      <c r="B2242" s="1">
        <f>DATE(2014,11,20) + TIME(22,10,1)</f>
        <v>41963.923622685186</v>
      </c>
      <c r="C2242">
        <v>80</v>
      </c>
      <c r="D2242">
        <v>78.311363220000004</v>
      </c>
      <c r="E2242">
        <v>50</v>
      </c>
      <c r="F2242">
        <v>49.979804993000002</v>
      </c>
      <c r="G2242">
        <v>1321.3187256000001</v>
      </c>
      <c r="H2242">
        <v>1316.4488524999999</v>
      </c>
      <c r="I2242">
        <v>1357.057251</v>
      </c>
      <c r="J2242">
        <v>1348.7922363</v>
      </c>
      <c r="K2242">
        <v>0</v>
      </c>
      <c r="L2242">
        <v>2400</v>
      </c>
      <c r="M2242">
        <v>2400</v>
      </c>
      <c r="N2242">
        <v>0</v>
      </c>
    </row>
    <row r="2243" spans="1:14" x14ac:dyDescent="0.25">
      <c r="A2243">
        <v>1665.733665</v>
      </c>
      <c r="B2243" s="1">
        <f>DATE(2014,11,21) + TIME(17,36,28)</f>
        <v>41964.733657407407</v>
      </c>
      <c r="C2243">
        <v>80</v>
      </c>
      <c r="D2243">
        <v>78.256454468000001</v>
      </c>
      <c r="E2243">
        <v>50</v>
      </c>
      <c r="F2243">
        <v>49.979801178000002</v>
      </c>
      <c r="G2243">
        <v>1321.2937012</v>
      </c>
      <c r="H2243">
        <v>1316.4162598</v>
      </c>
      <c r="I2243">
        <v>1357.0432129000001</v>
      </c>
      <c r="J2243">
        <v>1348.7839355000001</v>
      </c>
      <c r="K2243">
        <v>0</v>
      </c>
      <c r="L2243">
        <v>2400</v>
      </c>
      <c r="M2243">
        <v>2400</v>
      </c>
      <c r="N2243">
        <v>0</v>
      </c>
    </row>
    <row r="2244" spans="1:14" x14ac:dyDescent="0.25">
      <c r="A2244">
        <v>1666.5609099999999</v>
      </c>
      <c r="B2244" s="1">
        <f>DATE(2014,11,22) + TIME(13,27,42)</f>
        <v>41965.560902777775</v>
      </c>
      <c r="C2244">
        <v>80</v>
      </c>
      <c r="D2244">
        <v>78.201095581000004</v>
      </c>
      <c r="E2244">
        <v>50</v>
      </c>
      <c r="F2244">
        <v>49.979793549</v>
      </c>
      <c r="G2244">
        <v>1321.2679443</v>
      </c>
      <c r="H2244">
        <v>1316.3823242000001</v>
      </c>
      <c r="I2244">
        <v>1357.0294189000001</v>
      </c>
      <c r="J2244">
        <v>1348.7757568</v>
      </c>
      <c r="K2244">
        <v>0</v>
      </c>
      <c r="L2244">
        <v>2400</v>
      </c>
      <c r="M2244">
        <v>2400</v>
      </c>
      <c r="N2244">
        <v>0</v>
      </c>
    </row>
    <row r="2245" spans="1:14" x14ac:dyDescent="0.25">
      <c r="A2245">
        <v>1667.4072799999999</v>
      </c>
      <c r="B2245" s="1">
        <f>DATE(2014,11,23) + TIME(9,46,29)</f>
        <v>41966.407280092593</v>
      </c>
      <c r="C2245">
        <v>80</v>
      </c>
      <c r="D2245">
        <v>78.145210266000007</v>
      </c>
      <c r="E2245">
        <v>50</v>
      </c>
      <c r="F2245">
        <v>49.979789734000001</v>
      </c>
      <c r="G2245">
        <v>1321.2410889</v>
      </c>
      <c r="H2245">
        <v>1316.3470459</v>
      </c>
      <c r="I2245">
        <v>1357.0159911999999</v>
      </c>
      <c r="J2245">
        <v>1348.7678223</v>
      </c>
      <c r="K2245">
        <v>0</v>
      </c>
      <c r="L2245">
        <v>2400</v>
      </c>
      <c r="M2245">
        <v>2400</v>
      </c>
      <c r="N2245">
        <v>0</v>
      </c>
    </row>
    <row r="2246" spans="1:14" x14ac:dyDescent="0.25">
      <c r="A2246">
        <v>1668.2747710000001</v>
      </c>
      <c r="B2246" s="1">
        <f>DATE(2014,11,24) + TIME(6,35,40)</f>
        <v>41967.274768518517</v>
      </c>
      <c r="C2246">
        <v>80</v>
      </c>
      <c r="D2246">
        <v>78.088691710999996</v>
      </c>
      <c r="E2246">
        <v>50</v>
      </c>
      <c r="F2246">
        <v>49.979785919000001</v>
      </c>
      <c r="G2246">
        <v>1321.2133789</v>
      </c>
      <c r="H2246">
        <v>1316.3103027</v>
      </c>
      <c r="I2246">
        <v>1357.0026855000001</v>
      </c>
      <c r="J2246">
        <v>1348.7598877</v>
      </c>
      <c r="K2246">
        <v>0</v>
      </c>
      <c r="L2246">
        <v>2400</v>
      </c>
      <c r="M2246">
        <v>2400</v>
      </c>
      <c r="N2246">
        <v>0</v>
      </c>
    </row>
    <row r="2247" spans="1:14" x14ac:dyDescent="0.25">
      <c r="A2247">
        <v>1669.1654249999999</v>
      </c>
      <c r="B2247" s="1">
        <f>DATE(2014,11,25) + TIME(3,58,12)</f>
        <v>41968.165416666663</v>
      </c>
      <c r="C2247">
        <v>80</v>
      </c>
      <c r="D2247">
        <v>78.031440735000004</v>
      </c>
      <c r="E2247">
        <v>50</v>
      </c>
      <c r="F2247">
        <v>49.979782104000002</v>
      </c>
      <c r="G2247">
        <v>1321.1844481999999</v>
      </c>
      <c r="H2247">
        <v>1316.2719727000001</v>
      </c>
      <c r="I2247">
        <v>1356.989624</v>
      </c>
      <c r="J2247">
        <v>1348.7521973</v>
      </c>
      <c r="K2247">
        <v>0</v>
      </c>
      <c r="L2247">
        <v>2400</v>
      </c>
      <c r="M2247">
        <v>2400</v>
      </c>
      <c r="N2247">
        <v>0</v>
      </c>
    </row>
    <row r="2248" spans="1:14" x14ac:dyDescent="0.25">
      <c r="A2248">
        <v>1670.0761669999999</v>
      </c>
      <c r="B2248" s="1">
        <f>DATE(2014,11,26) + TIME(1,49,40)</f>
        <v>41969.076157407406</v>
      </c>
      <c r="C2248">
        <v>80</v>
      </c>
      <c r="D2248">
        <v>77.973510742000002</v>
      </c>
      <c r="E2248">
        <v>50</v>
      </c>
      <c r="F2248">
        <v>49.979778289999999</v>
      </c>
      <c r="G2248">
        <v>1321.1542969</v>
      </c>
      <c r="H2248">
        <v>1316.2319336</v>
      </c>
      <c r="I2248">
        <v>1356.9766846</v>
      </c>
      <c r="J2248">
        <v>1348.7445068</v>
      </c>
      <c r="K2248">
        <v>0</v>
      </c>
      <c r="L2248">
        <v>2400</v>
      </c>
      <c r="M2248">
        <v>2400</v>
      </c>
      <c r="N2248">
        <v>0</v>
      </c>
    </row>
    <row r="2249" spans="1:14" x14ac:dyDescent="0.25">
      <c r="A2249">
        <v>1671.003749</v>
      </c>
      <c r="B2249" s="1">
        <f>DATE(2014,11,27) + TIME(0,5,23)</f>
        <v>41970.003738425927</v>
      </c>
      <c r="C2249">
        <v>80</v>
      </c>
      <c r="D2249">
        <v>77.915054321</v>
      </c>
      <c r="E2249">
        <v>50</v>
      </c>
      <c r="F2249">
        <v>49.979774474999999</v>
      </c>
      <c r="G2249">
        <v>1321.1230469</v>
      </c>
      <c r="H2249">
        <v>1316.1903076000001</v>
      </c>
      <c r="I2249">
        <v>1356.9638672000001</v>
      </c>
      <c r="J2249">
        <v>1348.7369385</v>
      </c>
      <c r="K2249">
        <v>0</v>
      </c>
      <c r="L2249">
        <v>2400</v>
      </c>
      <c r="M2249">
        <v>2400</v>
      </c>
      <c r="N2249">
        <v>0</v>
      </c>
    </row>
    <row r="2250" spans="1:14" x14ac:dyDescent="0.25">
      <c r="A2250">
        <v>1671.947598</v>
      </c>
      <c r="B2250" s="1">
        <f>DATE(2014,11,27) + TIME(22,44,32)</f>
        <v>41970.947592592594</v>
      </c>
      <c r="C2250">
        <v>80</v>
      </c>
      <c r="D2250">
        <v>77.856163025000001</v>
      </c>
      <c r="E2250">
        <v>50</v>
      </c>
      <c r="F2250">
        <v>49.979774474999999</v>
      </c>
      <c r="G2250">
        <v>1321.0908202999999</v>
      </c>
      <c r="H2250">
        <v>1316.1472168</v>
      </c>
      <c r="I2250">
        <v>1356.9514160000001</v>
      </c>
      <c r="J2250">
        <v>1348.7294922000001</v>
      </c>
      <c r="K2250">
        <v>0</v>
      </c>
      <c r="L2250">
        <v>2400</v>
      </c>
      <c r="M2250">
        <v>2400</v>
      </c>
      <c r="N2250">
        <v>0</v>
      </c>
    </row>
    <row r="2251" spans="1:14" x14ac:dyDescent="0.25">
      <c r="A2251">
        <v>1672.9072060000001</v>
      </c>
      <c r="B2251" s="1">
        <f>DATE(2014,11,28) + TIME(21,46,22)</f>
        <v>41971.907199074078</v>
      </c>
      <c r="C2251">
        <v>80</v>
      </c>
      <c r="D2251">
        <v>77.796928406000006</v>
      </c>
      <c r="E2251">
        <v>50</v>
      </c>
      <c r="F2251">
        <v>49.97977066</v>
      </c>
      <c r="G2251">
        <v>1321.0574951000001</v>
      </c>
      <c r="H2251">
        <v>1316.1026611</v>
      </c>
      <c r="I2251">
        <v>1356.9390868999999</v>
      </c>
      <c r="J2251">
        <v>1348.722168</v>
      </c>
      <c r="K2251">
        <v>0</v>
      </c>
      <c r="L2251">
        <v>2400</v>
      </c>
      <c r="M2251">
        <v>2400</v>
      </c>
      <c r="N2251">
        <v>0</v>
      </c>
    </row>
    <row r="2252" spans="1:14" x14ac:dyDescent="0.25">
      <c r="A2252">
        <v>1673.8848700000001</v>
      </c>
      <c r="B2252" s="1">
        <f>DATE(2014,11,29) + TIME(21,14,12)</f>
        <v>41972.88486111111</v>
      </c>
      <c r="C2252">
        <v>80</v>
      </c>
      <c r="D2252">
        <v>77.737319946</v>
      </c>
      <c r="E2252">
        <v>50</v>
      </c>
      <c r="F2252">
        <v>49.97977066</v>
      </c>
      <c r="G2252">
        <v>1321.0231934000001</v>
      </c>
      <c r="H2252">
        <v>1316.0566406</v>
      </c>
      <c r="I2252">
        <v>1356.9270019999999</v>
      </c>
      <c r="J2252">
        <v>1348.7150879000001</v>
      </c>
      <c r="K2252">
        <v>0</v>
      </c>
      <c r="L2252">
        <v>2400</v>
      </c>
      <c r="M2252">
        <v>2400</v>
      </c>
      <c r="N2252">
        <v>0</v>
      </c>
    </row>
    <row r="2253" spans="1:14" x14ac:dyDescent="0.25">
      <c r="A2253">
        <v>1674.8828719999999</v>
      </c>
      <c r="B2253" s="1">
        <f>DATE(2014,11,30) + TIME(21,11,20)</f>
        <v>41973.882870370369</v>
      </c>
      <c r="C2253">
        <v>80</v>
      </c>
      <c r="D2253">
        <v>77.677268982000001</v>
      </c>
      <c r="E2253">
        <v>50</v>
      </c>
      <c r="F2253">
        <v>49.979766845999997</v>
      </c>
      <c r="G2253">
        <v>1320.987793</v>
      </c>
      <c r="H2253">
        <v>1316.0090332</v>
      </c>
      <c r="I2253">
        <v>1356.9150391000001</v>
      </c>
      <c r="J2253">
        <v>1348.7081298999999</v>
      </c>
      <c r="K2253">
        <v>0</v>
      </c>
      <c r="L2253">
        <v>2400</v>
      </c>
      <c r="M2253">
        <v>2400</v>
      </c>
      <c r="N2253">
        <v>0</v>
      </c>
    </row>
    <row r="2254" spans="1:14" x14ac:dyDescent="0.25">
      <c r="A2254">
        <v>1675</v>
      </c>
      <c r="B2254" s="1">
        <f>DATE(2014,12,1) + TIME(0,0,0)</f>
        <v>41974</v>
      </c>
      <c r="C2254">
        <v>80</v>
      </c>
      <c r="D2254">
        <v>77.663818359000004</v>
      </c>
      <c r="E2254">
        <v>50</v>
      </c>
      <c r="F2254">
        <v>49.979763030999997</v>
      </c>
      <c r="G2254">
        <v>1320.9552002</v>
      </c>
      <c r="H2254">
        <v>1315.9685059000001</v>
      </c>
      <c r="I2254">
        <v>1356.9029541</v>
      </c>
      <c r="J2254">
        <v>1348.7008057</v>
      </c>
      <c r="K2254">
        <v>0</v>
      </c>
      <c r="L2254">
        <v>2400</v>
      </c>
      <c r="M2254">
        <v>2400</v>
      </c>
      <c r="N2254">
        <v>0</v>
      </c>
    </row>
    <row r="2255" spans="1:14" x14ac:dyDescent="0.25">
      <c r="A2255">
        <v>1676.020649</v>
      </c>
      <c r="B2255" s="1">
        <f>DATE(2014,12,2) + TIME(0,29,44)</f>
        <v>41975.020648148151</v>
      </c>
      <c r="C2255">
        <v>80</v>
      </c>
      <c r="D2255">
        <v>77.606781006000006</v>
      </c>
      <c r="E2255">
        <v>50</v>
      </c>
      <c r="F2255">
        <v>49.979766845999997</v>
      </c>
      <c r="G2255">
        <v>1320.9460449000001</v>
      </c>
      <c r="H2255">
        <v>1315.9522704999999</v>
      </c>
      <c r="I2255">
        <v>1356.9019774999999</v>
      </c>
      <c r="J2255">
        <v>1348.7003173999999</v>
      </c>
      <c r="K2255">
        <v>0</v>
      </c>
      <c r="L2255">
        <v>2400</v>
      </c>
      <c r="M2255">
        <v>2400</v>
      </c>
      <c r="N2255">
        <v>0</v>
      </c>
    </row>
    <row r="2256" spans="1:14" x14ac:dyDescent="0.25">
      <c r="A2256">
        <v>1677.069837</v>
      </c>
      <c r="B2256" s="1">
        <f>DATE(2014,12,3) + TIME(1,40,33)</f>
        <v>41976.069826388892</v>
      </c>
      <c r="C2256">
        <v>80</v>
      </c>
      <c r="D2256">
        <v>77.547142029</v>
      </c>
      <c r="E2256">
        <v>50</v>
      </c>
      <c r="F2256">
        <v>49.979763030999997</v>
      </c>
      <c r="G2256">
        <v>1320.9085693</v>
      </c>
      <c r="H2256">
        <v>1315.9018555</v>
      </c>
      <c r="I2256">
        <v>1356.8905029</v>
      </c>
      <c r="J2256">
        <v>1348.6936035000001</v>
      </c>
      <c r="K2256">
        <v>0</v>
      </c>
      <c r="L2256">
        <v>2400</v>
      </c>
      <c r="M2256">
        <v>2400</v>
      </c>
      <c r="N2256">
        <v>0</v>
      </c>
    </row>
    <row r="2257" spans="1:14" x14ac:dyDescent="0.25">
      <c r="A2257">
        <v>1678.146512</v>
      </c>
      <c r="B2257" s="1">
        <f>DATE(2014,12,4) + TIME(3,30,58)</f>
        <v>41977.146504629629</v>
      </c>
      <c r="C2257">
        <v>80</v>
      </c>
      <c r="D2257">
        <v>77.485832213999998</v>
      </c>
      <c r="E2257">
        <v>50</v>
      </c>
      <c r="F2257">
        <v>49.979763030999997</v>
      </c>
      <c r="G2257">
        <v>1320.8693848</v>
      </c>
      <c r="H2257">
        <v>1315.848999</v>
      </c>
      <c r="I2257">
        <v>1356.8789062000001</v>
      </c>
      <c r="J2257">
        <v>1348.6867675999999</v>
      </c>
      <c r="K2257">
        <v>0</v>
      </c>
      <c r="L2257">
        <v>2400</v>
      </c>
      <c r="M2257">
        <v>2400</v>
      </c>
      <c r="N2257">
        <v>0</v>
      </c>
    </row>
    <row r="2258" spans="1:14" x14ac:dyDescent="0.25">
      <c r="A2258">
        <v>1679.2535330000001</v>
      </c>
      <c r="B2258" s="1">
        <f>DATE(2014,12,5) + TIME(6,5,5)</f>
        <v>41978.253530092596</v>
      </c>
      <c r="C2258">
        <v>80</v>
      </c>
      <c r="D2258">
        <v>77.423233031999999</v>
      </c>
      <c r="E2258">
        <v>50</v>
      </c>
      <c r="F2258">
        <v>49.979763030999997</v>
      </c>
      <c r="G2258">
        <v>1320.8284911999999</v>
      </c>
      <c r="H2258">
        <v>1315.7937012</v>
      </c>
      <c r="I2258">
        <v>1356.8675536999999</v>
      </c>
      <c r="J2258">
        <v>1348.6800536999999</v>
      </c>
      <c r="K2258">
        <v>0</v>
      </c>
      <c r="L2258">
        <v>2400</v>
      </c>
      <c r="M2258">
        <v>2400</v>
      </c>
      <c r="N2258">
        <v>0</v>
      </c>
    </row>
    <row r="2259" spans="1:14" x14ac:dyDescent="0.25">
      <c r="A2259">
        <v>1680.3937659999999</v>
      </c>
      <c r="B2259" s="1">
        <f>DATE(2014,12,6) + TIME(9,27,1)</f>
        <v>41979.393761574072</v>
      </c>
      <c r="C2259">
        <v>80</v>
      </c>
      <c r="D2259">
        <v>77.359474182</v>
      </c>
      <c r="E2259">
        <v>50</v>
      </c>
      <c r="F2259">
        <v>49.979763030999997</v>
      </c>
      <c r="G2259">
        <v>1320.7860106999999</v>
      </c>
      <c r="H2259">
        <v>1315.7359618999999</v>
      </c>
      <c r="I2259">
        <v>1356.8562012</v>
      </c>
      <c r="J2259">
        <v>1348.6733397999999</v>
      </c>
      <c r="K2259">
        <v>0</v>
      </c>
      <c r="L2259">
        <v>2400</v>
      </c>
      <c r="M2259">
        <v>2400</v>
      </c>
      <c r="N2259">
        <v>0</v>
      </c>
    </row>
    <row r="2260" spans="1:14" x14ac:dyDescent="0.25">
      <c r="A2260">
        <v>1681.569986</v>
      </c>
      <c r="B2260" s="1">
        <f>DATE(2014,12,7) + TIME(13,40,46)</f>
        <v>41980.569976851853</v>
      </c>
      <c r="C2260">
        <v>80</v>
      </c>
      <c r="D2260">
        <v>77.294540405000006</v>
      </c>
      <c r="E2260">
        <v>50</v>
      </c>
      <c r="F2260">
        <v>49.979766845999997</v>
      </c>
      <c r="G2260">
        <v>1320.7418213000001</v>
      </c>
      <c r="H2260">
        <v>1315.6757812000001</v>
      </c>
      <c r="I2260">
        <v>1356.8448486</v>
      </c>
      <c r="J2260">
        <v>1348.6667480000001</v>
      </c>
      <c r="K2260">
        <v>0</v>
      </c>
      <c r="L2260">
        <v>2400</v>
      </c>
      <c r="M2260">
        <v>2400</v>
      </c>
      <c r="N2260">
        <v>0</v>
      </c>
    </row>
    <row r="2261" spans="1:14" x14ac:dyDescent="0.25">
      <c r="A2261">
        <v>1682.7849960000001</v>
      </c>
      <c r="B2261" s="1">
        <f>DATE(2014,12,8) + TIME(18,50,23)</f>
        <v>41981.784988425927</v>
      </c>
      <c r="C2261">
        <v>80</v>
      </c>
      <c r="D2261">
        <v>77.228378296000002</v>
      </c>
      <c r="E2261">
        <v>50</v>
      </c>
      <c r="F2261">
        <v>49.979766845999997</v>
      </c>
      <c r="G2261">
        <v>1320.6956786999999</v>
      </c>
      <c r="H2261">
        <v>1315.6129149999999</v>
      </c>
      <c r="I2261">
        <v>1356.8336182</v>
      </c>
      <c r="J2261">
        <v>1348.6601562000001</v>
      </c>
      <c r="K2261">
        <v>0</v>
      </c>
      <c r="L2261">
        <v>2400</v>
      </c>
      <c r="M2261">
        <v>2400</v>
      </c>
      <c r="N2261">
        <v>0</v>
      </c>
    </row>
    <row r="2262" spans="1:14" x14ac:dyDescent="0.25">
      <c r="A2262">
        <v>1684.042445</v>
      </c>
      <c r="B2262" s="1">
        <f>DATE(2014,12,10) + TIME(1,1,7)</f>
        <v>41983.042442129627</v>
      </c>
      <c r="C2262">
        <v>80</v>
      </c>
      <c r="D2262">
        <v>77.160873413000004</v>
      </c>
      <c r="E2262">
        <v>50</v>
      </c>
      <c r="F2262">
        <v>49.979766845999997</v>
      </c>
      <c r="G2262">
        <v>1320.6474608999999</v>
      </c>
      <c r="H2262">
        <v>1315.5472411999999</v>
      </c>
      <c r="I2262">
        <v>1356.8222656</v>
      </c>
      <c r="J2262">
        <v>1348.6534423999999</v>
      </c>
      <c r="K2262">
        <v>0</v>
      </c>
      <c r="L2262">
        <v>2400</v>
      </c>
      <c r="M2262">
        <v>2400</v>
      </c>
      <c r="N2262">
        <v>0</v>
      </c>
    </row>
    <row r="2263" spans="1:14" x14ac:dyDescent="0.25">
      <c r="A2263">
        <v>1685.3460729999999</v>
      </c>
      <c r="B2263" s="1">
        <f>DATE(2014,12,11) + TIME(8,18,20)</f>
        <v>41984.346064814818</v>
      </c>
      <c r="C2263">
        <v>80</v>
      </c>
      <c r="D2263">
        <v>77.091903686999999</v>
      </c>
      <c r="E2263">
        <v>50</v>
      </c>
      <c r="F2263">
        <v>49.97977066</v>
      </c>
      <c r="G2263">
        <v>1320.597168</v>
      </c>
      <c r="H2263">
        <v>1315.4785156</v>
      </c>
      <c r="I2263">
        <v>1356.8109131000001</v>
      </c>
      <c r="J2263">
        <v>1348.6468506000001</v>
      </c>
      <c r="K2263">
        <v>0</v>
      </c>
      <c r="L2263">
        <v>2400</v>
      </c>
      <c r="M2263">
        <v>2400</v>
      </c>
      <c r="N2263">
        <v>0</v>
      </c>
    </row>
    <row r="2264" spans="1:14" x14ac:dyDescent="0.25">
      <c r="A2264">
        <v>1686.673507</v>
      </c>
      <c r="B2264" s="1">
        <f>DATE(2014,12,12) + TIME(16,9,50)</f>
        <v>41985.673495370371</v>
      </c>
      <c r="C2264">
        <v>80</v>
      </c>
      <c r="D2264">
        <v>77.021873474000003</v>
      </c>
      <c r="E2264">
        <v>50</v>
      </c>
      <c r="F2264">
        <v>49.97977066</v>
      </c>
      <c r="G2264">
        <v>1320.5445557</v>
      </c>
      <c r="H2264">
        <v>1315.4064940999999</v>
      </c>
      <c r="I2264">
        <v>1356.7995605000001</v>
      </c>
      <c r="J2264">
        <v>1348.6401367000001</v>
      </c>
      <c r="K2264">
        <v>0</v>
      </c>
      <c r="L2264">
        <v>2400</v>
      </c>
      <c r="M2264">
        <v>2400</v>
      </c>
      <c r="N2264">
        <v>0</v>
      </c>
    </row>
    <row r="2265" spans="1:14" x14ac:dyDescent="0.25">
      <c r="A2265">
        <v>1688.0232209999999</v>
      </c>
      <c r="B2265" s="1">
        <f>DATE(2014,12,14) + TIME(0,33,26)</f>
        <v>41987.023217592592</v>
      </c>
      <c r="C2265">
        <v>80</v>
      </c>
      <c r="D2265">
        <v>76.951255798000005</v>
      </c>
      <c r="E2265">
        <v>50</v>
      </c>
      <c r="F2265">
        <v>49.979774474999999</v>
      </c>
      <c r="G2265">
        <v>1320.4903564000001</v>
      </c>
      <c r="H2265">
        <v>1315.3322754000001</v>
      </c>
      <c r="I2265">
        <v>1356.7883300999999</v>
      </c>
      <c r="J2265">
        <v>1348.6335449000001</v>
      </c>
      <c r="K2265">
        <v>0</v>
      </c>
      <c r="L2265">
        <v>2400</v>
      </c>
      <c r="M2265">
        <v>2400</v>
      </c>
      <c r="N2265">
        <v>0</v>
      </c>
    </row>
    <row r="2266" spans="1:14" x14ac:dyDescent="0.25">
      <c r="A2266">
        <v>1689.3938539999999</v>
      </c>
      <c r="B2266" s="1">
        <f>DATE(2014,12,15) + TIME(9,27,8)</f>
        <v>41988.393842592595</v>
      </c>
      <c r="C2266">
        <v>80</v>
      </c>
      <c r="D2266">
        <v>76.880287170000003</v>
      </c>
      <c r="E2266">
        <v>50</v>
      </c>
      <c r="F2266">
        <v>49.979778289999999</v>
      </c>
      <c r="G2266">
        <v>1320.4346923999999</v>
      </c>
      <c r="H2266">
        <v>1315.2558594</v>
      </c>
      <c r="I2266">
        <v>1356.7773437999999</v>
      </c>
      <c r="J2266">
        <v>1348.6270752</v>
      </c>
      <c r="K2266">
        <v>0</v>
      </c>
      <c r="L2266">
        <v>2400</v>
      </c>
      <c r="M2266">
        <v>2400</v>
      </c>
      <c r="N2266">
        <v>0</v>
      </c>
    </row>
    <row r="2267" spans="1:14" x14ac:dyDescent="0.25">
      <c r="A2267">
        <v>1690.7880090000001</v>
      </c>
      <c r="B2267" s="1">
        <f>DATE(2014,12,16) + TIME(18,54,43)</f>
        <v>41989.787997685184</v>
      </c>
      <c r="C2267">
        <v>80</v>
      </c>
      <c r="D2267">
        <v>76.809028624999996</v>
      </c>
      <c r="E2267">
        <v>50</v>
      </c>
      <c r="F2267">
        <v>49.979778289999999</v>
      </c>
      <c r="G2267">
        <v>1320.3775635</v>
      </c>
      <c r="H2267">
        <v>1315.1773682</v>
      </c>
      <c r="I2267">
        <v>1356.7664795000001</v>
      </c>
      <c r="J2267">
        <v>1348.6207274999999</v>
      </c>
      <c r="K2267">
        <v>0</v>
      </c>
      <c r="L2267">
        <v>2400</v>
      </c>
      <c r="M2267">
        <v>2400</v>
      </c>
      <c r="N2267">
        <v>0</v>
      </c>
    </row>
    <row r="2268" spans="1:14" x14ac:dyDescent="0.25">
      <c r="A2268">
        <v>1692.208717</v>
      </c>
      <c r="B2268" s="1">
        <f>DATE(2014,12,18) + TIME(5,0,33)</f>
        <v>41991.208715277775</v>
      </c>
      <c r="C2268">
        <v>80</v>
      </c>
      <c r="D2268">
        <v>76.737442017000006</v>
      </c>
      <c r="E2268">
        <v>50</v>
      </c>
      <c r="F2268">
        <v>49.979782104000002</v>
      </c>
      <c r="G2268">
        <v>1320.3189697</v>
      </c>
      <c r="H2268">
        <v>1315.0966797000001</v>
      </c>
      <c r="I2268">
        <v>1356.7557373</v>
      </c>
      <c r="J2268">
        <v>1348.6145019999999</v>
      </c>
      <c r="K2268">
        <v>0</v>
      </c>
      <c r="L2268">
        <v>2400</v>
      </c>
      <c r="M2268">
        <v>2400</v>
      </c>
      <c r="N2268">
        <v>0</v>
      </c>
    </row>
    <row r="2269" spans="1:14" x14ac:dyDescent="0.25">
      <c r="A2269">
        <v>1693.659056</v>
      </c>
      <c r="B2269" s="1">
        <f>DATE(2014,12,19) + TIME(15,49,2)</f>
        <v>41992.659050925926</v>
      </c>
      <c r="C2269">
        <v>80</v>
      </c>
      <c r="D2269">
        <v>76.665397643999995</v>
      </c>
      <c r="E2269">
        <v>50</v>
      </c>
      <c r="F2269">
        <v>49.979785919000001</v>
      </c>
      <c r="G2269">
        <v>1320.2587891000001</v>
      </c>
      <c r="H2269">
        <v>1315.0137939000001</v>
      </c>
      <c r="I2269">
        <v>1356.7451172000001</v>
      </c>
      <c r="J2269">
        <v>1348.6082764</v>
      </c>
      <c r="K2269">
        <v>0</v>
      </c>
      <c r="L2269">
        <v>2400</v>
      </c>
      <c r="M2269">
        <v>2400</v>
      </c>
      <c r="N2269">
        <v>0</v>
      </c>
    </row>
    <row r="2270" spans="1:14" x14ac:dyDescent="0.25">
      <c r="A2270">
        <v>1695.1422250000001</v>
      </c>
      <c r="B2270" s="1">
        <f>DATE(2014,12,21) + TIME(3,24,48)</f>
        <v>41994.142222222225</v>
      </c>
      <c r="C2270">
        <v>80</v>
      </c>
      <c r="D2270">
        <v>76.592781067000004</v>
      </c>
      <c r="E2270">
        <v>50</v>
      </c>
      <c r="F2270">
        <v>49.979789734000001</v>
      </c>
      <c r="G2270">
        <v>1320.1967772999999</v>
      </c>
      <c r="H2270">
        <v>1314.9283447</v>
      </c>
      <c r="I2270">
        <v>1356.7346190999999</v>
      </c>
      <c r="J2270">
        <v>1348.6020507999999</v>
      </c>
      <c r="K2270">
        <v>0</v>
      </c>
      <c r="L2270">
        <v>2400</v>
      </c>
      <c r="M2270">
        <v>2400</v>
      </c>
      <c r="N2270">
        <v>0</v>
      </c>
    </row>
    <row r="2271" spans="1:14" x14ac:dyDescent="0.25">
      <c r="A2271">
        <v>1696.661492</v>
      </c>
      <c r="B2271" s="1">
        <f>DATE(2014,12,22) + TIME(15,52,32)</f>
        <v>41995.661481481482</v>
      </c>
      <c r="C2271">
        <v>80</v>
      </c>
      <c r="D2271">
        <v>76.519447326999995</v>
      </c>
      <c r="E2271">
        <v>50</v>
      </c>
      <c r="F2271">
        <v>49.979797363000003</v>
      </c>
      <c r="G2271">
        <v>1320.1330565999999</v>
      </c>
      <c r="H2271">
        <v>1314.840332</v>
      </c>
      <c r="I2271">
        <v>1356.7242432</v>
      </c>
      <c r="J2271">
        <v>1348.5959473</v>
      </c>
      <c r="K2271">
        <v>0</v>
      </c>
      <c r="L2271">
        <v>2400</v>
      </c>
      <c r="M2271">
        <v>2400</v>
      </c>
      <c r="N2271">
        <v>0</v>
      </c>
    </row>
    <row r="2272" spans="1:14" x14ac:dyDescent="0.25">
      <c r="A2272">
        <v>1698.2203629999999</v>
      </c>
      <c r="B2272" s="1">
        <f>DATE(2014,12,24) + TIME(5,17,19)</f>
        <v>41997.220358796294</v>
      </c>
      <c r="C2272">
        <v>80</v>
      </c>
      <c r="D2272">
        <v>76.445266724000007</v>
      </c>
      <c r="E2272">
        <v>50</v>
      </c>
      <c r="F2272">
        <v>49.979801178000002</v>
      </c>
      <c r="G2272">
        <v>1320.0672606999999</v>
      </c>
      <c r="H2272">
        <v>1314.7493896000001</v>
      </c>
      <c r="I2272">
        <v>1356.7138672000001</v>
      </c>
      <c r="J2272">
        <v>1348.5898437999999</v>
      </c>
      <c r="K2272">
        <v>0</v>
      </c>
      <c r="L2272">
        <v>2400</v>
      </c>
      <c r="M2272">
        <v>2400</v>
      </c>
      <c r="N2272">
        <v>0</v>
      </c>
    </row>
    <row r="2273" spans="1:14" x14ac:dyDescent="0.25">
      <c r="A2273">
        <v>1699.8226460000001</v>
      </c>
      <c r="B2273" s="1">
        <f>DATE(2014,12,25) + TIME(19,44,36)</f>
        <v>41998.822638888887</v>
      </c>
      <c r="C2273">
        <v>80</v>
      </c>
      <c r="D2273">
        <v>76.370079040999997</v>
      </c>
      <c r="E2273">
        <v>50</v>
      </c>
      <c r="F2273">
        <v>49.979804993000002</v>
      </c>
      <c r="G2273">
        <v>1319.9992675999999</v>
      </c>
      <c r="H2273">
        <v>1314.6553954999999</v>
      </c>
      <c r="I2273">
        <v>1356.7034911999999</v>
      </c>
      <c r="J2273">
        <v>1348.5838623</v>
      </c>
      <c r="K2273">
        <v>0</v>
      </c>
      <c r="L2273">
        <v>2400</v>
      </c>
      <c r="M2273">
        <v>2400</v>
      </c>
      <c r="N2273">
        <v>0</v>
      </c>
    </row>
    <row r="2274" spans="1:14" x14ac:dyDescent="0.25">
      <c r="A2274">
        <v>1701.471423</v>
      </c>
      <c r="B2274" s="1">
        <f>DATE(2014,12,27) + TIME(11,18,50)</f>
        <v>42000.471412037034</v>
      </c>
      <c r="C2274">
        <v>80</v>
      </c>
      <c r="D2274">
        <v>76.293754578000005</v>
      </c>
      <c r="E2274">
        <v>50</v>
      </c>
      <c r="F2274">
        <v>49.979812621999997</v>
      </c>
      <c r="G2274">
        <v>1319.9289550999999</v>
      </c>
      <c r="H2274">
        <v>1314.5581055</v>
      </c>
      <c r="I2274">
        <v>1356.6931152</v>
      </c>
      <c r="J2274">
        <v>1348.5777588000001</v>
      </c>
      <c r="K2274">
        <v>0</v>
      </c>
      <c r="L2274">
        <v>2400</v>
      </c>
      <c r="M2274">
        <v>2400</v>
      </c>
      <c r="N2274">
        <v>0</v>
      </c>
    </row>
    <row r="2275" spans="1:14" x14ac:dyDescent="0.25">
      <c r="A2275">
        <v>1703.1708189999999</v>
      </c>
      <c r="B2275" s="1">
        <f>DATE(2014,12,29) + TIME(4,5,58)</f>
        <v>42002.170810185184</v>
      </c>
      <c r="C2275">
        <v>80</v>
      </c>
      <c r="D2275">
        <v>76.216133118000002</v>
      </c>
      <c r="E2275">
        <v>50</v>
      </c>
      <c r="F2275">
        <v>49.979820251</v>
      </c>
      <c r="G2275">
        <v>1319.8562012</v>
      </c>
      <c r="H2275">
        <v>1314.4572754000001</v>
      </c>
      <c r="I2275">
        <v>1356.6827393000001</v>
      </c>
      <c r="J2275">
        <v>1348.5716553</v>
      </c>
      <c r="K2275">
        <v>0</v>
      </c>
      <c r="L2275">
        <v>2400</v>
      </c>
      <c r="M2275">
        <v>2400</v>
      </c>
      <c r="N2275">
        <v>0</v>
      </c>
    </row>
    <row r="2276" spans="1:14" x14ac:dyDescent="0.25">
      <c r="A2276">
        <v>1704.9253920000001</v>
      </c>
      <c r="B2276" s="1">
        <f>DATE(2014,12,30) + TIME(22,12,33)</f>
        <v>42003.925381944442</v>
      </c>
      <c r="C2276">
        <v>80</v>
      </c>
      <c r="D2276">
        <v>76.137054442999997</v>
      </c>
      <c r="E2276">
        <v>50</v>
      </c>
      <c r="F2276">
        <v>49.979824065999999</v>
      </c>
      <c r="G2276">
        <v>1319.7808838000001</v>
      </c>
      <c r="H2276">
        <v>1314.3527832</v>
      </c>
      <c r="I2276">
        <v>1356.6723632999999</v>
      </c>
      <c r="J2276">
        <v>1348.5655518000001</v>
      </c>
      <c r="K2276">
        <v>0</v>
      </c>
      <c r="L2276">
        <v>2400</v>
      </c>
      <c r="M2276">
        <v>2400</v>
      </c>
      <c r="N2276">
        <v>0</v>
      </c>
    </row>
    <row r="2277" spans="1:14" x14ac:dyDescent="0.25">
      <c r="A2277">
        <v>1706</v>
      </c>
      <c r="B2277" s="1">
        <f>DATE(2015,1,1) + TIME(0,0,0)</f>
        <v>42005</v>
      </c>
      <c r="C2277">
        <v>80</v>
      </c>
      <c r="D2277">
        <v>76.070350646999998</v>
      </c>
      <c r="E2277">
        <v>50</v>
      </c>
      <c r="F2277">
        <v>49.979827880999999</v>
      </c>
      <c r="G2277">
        <v>1319.7052002</v>
      </c>
      <c r="H2277">
        <v>1314.2492675999999</v>
      </c>
      <c r="I2277">
        <v>1356.6617432</v>
      </c>
      <c r="J2277">
        <v>1348.5592041</v>
      </c>
      <c r="K2277">
        <v>0</v>
      </c>
      <c r="L2277">
        <v>2400</v>
      </c>
      <c r="M2277">
        <v>2400</v>
      </c>
      <c r="N2277">
        <v>0</v>
      </c>
    </row>
    <row r="2278" spans="1:14" x14ac:dyDescent="0.25">
      <c r="A2278">
        <v>1707.8146340000001</v>
      </c>
      <c r="B2278" s="1">
        <f>DATE(2015,1,2) + TIME(19,33,4)</f>
        <v>42006.814629629633</v>
      </c>
      <c r="C2278">
        <v>80</v>
      </c>
      <c r="D2278">
        <v>76.002151488999999</v>
      </c>
      <c r="E2278">
        <v>50</v>
      </c>
      <c r="F2278">
        <v>49.979835510000001</v>
      </c>
      <c r="G2278">
        <v>1319.6500243999999</v>
      </c>
      <c r="H2278">
        <v>1314.1699219</v>
      </c>
      <c r="I2278">
        <v>1356.6557617000001</v>
      </c>
      <c r="J2278">
        <v>1348.5557861</v>
      </c>
      <c r="K2278">
        <v>0</v>
      </c>
      <c r="L2278">
        <v>2400</v>
      </c>
      <c r="M2278">
        <v>2400</v>
      </c>
      <c r="N2278">
        <v>0</v>
      </c>
    </row>
    <row r="2279" spans="1:14" x14ac:dyDescent="0.25">
      <c r="A2279">
        <v>1709.68523</v>
      </c>
      <c r="B2279" s="1">
        <f>DATE(2015,1,4) + TIME(16,26,43)</f>
        <v>42008.685219907406</v>
      </c>
      <c r="C2279">
        <v>80</v>
      </c>
      <c r="D2279">
        <v>75.923896790000001</v>
      </c>
      <c r="E2279">
        <v>50</v>
      </c>
      <c r="F2279">
        <v>49.979846954000003</v>
      </c>
      <c r="G2279">
        <v>1319.5712891000001</v>
      </c>
      <c r="H2279">
        <v>1314.0612793</v>
      </c>
      <c r="I2279">
        <v>1356.6453856999999</v>
      </c>
      <c r="J2279">
        <v>1348.5496826000001</v>
      </c>
      <c r="K2279">
        <v>0</v>
      </c>
      <c r="L2279">
        <v>2400</v>
      </c>
      <c r="M2279">
        <v>2400</v>
      </c>
      <c r="N2279">
        <v>0</v>
      </c>
    </row>
    <row r="2280" spans="1:14" x14ac:dyDescent="0.25">
      <c r="A2280">
        <v>1711.591934</v>
      </c>
      <c r="B2280" s="1">
        <f>DATE(2015,1,6) + TIME(14,12,23)</f>
        <v>42010.591932870368</v>
      </c>
      <c r="C2280">
        <v>80</v>
      </c>
      <c r="D2280">
        <v>75.841613769999995</v>
      </c>
      <c r="E2280">
        <v>50</v>
      </c>
      <c r="F2280">
        <v>49.979854584000002</v>
      </c>
      <c r="G2280">
        <v>1319.4876709</v>
      </c>
      <c r="H2280">
        <v>1313.9453125</v>
      </c>
      <c r="I2280">
        <v>1356.6350098</v>
      </c>
      <c r="J2280">
        <v>1348.5435791</v>
      </c>
      <c r="K2280">
        <v>0</v>
      </c>
      <c r="L2280">
        <v>2400</v>
      </c>
      <c r="M2280">
        <v>2400</v>
      </c>
      <c r="N2280">
        <v>0</v>
      </c>
    </row>
    <row r="2281" spans="1:14" x14ac:dyDescent="0.25">
      <c r="A2281">
        <v>1713.5388419999999</v>
      </c>
      <c r="B2281" s="1">
        <f>DATE(2015,1,8) + TIME(12,55,55)</f>
        <v>42012.538831018515</v>
      </c>
      <c r="C2281">
        <v>80</v>
      </c>
      <c r="D2281">
        <v>75.757484435999999</v>
      </c>
      <c r="E2281">
        <v>50</v>
      </c>
      <c r="F2281">
        <v>49.979862212999997</v>
      </c>
      <c r="G2281">
        <v>1319.4012451000001</v>
      </c>
      <c r="H2281">
        <v>1313.8251952999999</v>
      </c>
      <c r="I2281">
        <v>1356.6247559000001</v>
      </c>
      <c r="J2281">
        <v>1348.5374756000001</v>
      </c>
      <c r="K2281">
        <v>0</v>
      </c>
      <c r="L2281">
        <v>2400</v>
      </c>
      <c r="M2281">
        <v>2400</v>
      </c>
      <c r="N2281">
        <v>0</v>
      </c>
    </row>
    <row r="2282" spans="1:14" x14ac:dyDescent="0.25">
      <c r="A2282">
        <v>1715.5302919999999</v>
      </c>
      <c r="B2282" s="1">
        <f>DATE(2015,1,10) + TIME(12,43,37)</f>
        <v>42014.530289351853</v>
      </c>
      <c r="C2282">
        <v>80</v>
      </c>
      <c r="D2282">
        <v>75.672019958000007</v>
      </c>
      <c r="E2282">
        <v>50</v>
      </c>
      <c r="F2282">
        <v>49.979869843000003</v>
      </c>
      <c r="G2282">
        <v>1319.3123779</v>
      </c>
      <c r="H2282">
        <v>1313.7014160000001</v>
      </c>
      <c r="I2282">
        <v>1356.6145019999999</v>
      </c>
      <c r="J2282">
        <v>1348.5313721</v>
      </c>
      <c r="K2282">
        <v>0</v>
      </c>
      <c r="L2282">
        <v>2400</v>
      </c>
      <c r="M2282">
        <v>2400</v>
      </c>
      <c r="N2282">
        <v>0</v>
      </c>
    </row>
    <row r="2283" spans="1:14" x14ac:dyDescent="0.25">
      <c r="A2283">
        <v>1717.5710690000001</v>
      </c>
      <c r="B2283" s="1">
        <f>DATE(2015,1,12) + TIME(13,42,20)</f>
        <v>42016.571064814816</v>
      </c>
      <c r="C2283">
        <v>80</v>
      </c>
      <c r="D2283">
        <v>75.585189818999993</v>
      </c>
      <c r="E2283">
        <v>50</v>
      </c>
      <c r="F2283">
        <v>49.979881286999998</v>
      </c>
      <c r="G2283">
        <v>1319.2210693</v>
      </c>
      <c r="H2283">
        <v>1313.5742187999999</v>
      </c>
      <c r="I2283">
        <v>1356.6042480000001</v>
      </c>
      <c r="J2283">
        <v>1348.5252685999999</v>
      </c>
      <c r="K2283">
        <v>0</v>
      </c>
      <c r="L2283">
        <v>2400</v>
      </c>
      <c r="M2283">
        <v>2400</v>
      </c>
      <c r="N2283">
        <v>0</v>
      </c>
    </row>
    <row r="2284" spans="1:14" x14ac:dyDescent="0.25">
      <c r="A2284">
        <v>1719.666199</v>
      </c>
      <c r="B2284" s="1">
        <f>DATE(2015,1,14) + TIME(15,59,19)</f>
        <v>42018.666192129633</v>
      </c>
      <c r="C2284">
        <v>80</v>
      </c>
      <c r="D2284">
        <v>75.496803283999995</v>
      </c>
      <c r="E2284">
        <v>50</v>
      </c>
      <c r="F2284">
        <v>49.979892731</v>
      </c>
      <c r="G2284">
        <v>1319.1273193</v>
      </c>
      <c r="H2284">
        <v>1313.4433594</v>
      </c>
      <c r="I2284">
        <v>1356.5939940999999</v>
      </c>
      <c r="J2284">
        <v>1348.5191649999999</v>
      </c>
      <c r="K2284">
        <v>0</v>
      </c>
      <c r="L2284">
        <v>2400</v>
      </c>
      <c r="M2284">
        <v>2400</v>
      </c>
      <c r="N2284">
        <v>0</v>
      </c>
    </row>
    <row r="2285" spans="1:14" x14ac:dyDescent="0.25">
      <c r="A2285">
        <v>1721.8212739999999</v>
      </c>
      <c r="B2285" s="1">
        <f>DATE(2015,1,16) + TIME(19,42,38)</f>
        <v>42020.821273148147</v>
      </c>
      <c r="C2285">
        <v>80</v>
      </c>
      <c r="D2285">
        <v>75.406578064000001</v>
      </c>
      <c r="E2285">
        <v>50</v>
      </c>
      <c r="F2285">
        <v>49.979900360000002</v>
      </c>
      <c r="G2285">
        <v>1319.0306396000001</v>
      </c>
      <c r="H2285">
        <v>1313.3084716999999</v>
      </c>
      <c r="I2285">
        <v>1356.5837402</v>
      </c>
      <c r="J2285">
        <v>1348.5130615</v>
      </c>
      <c r="K2285">
        <v>0</v>
      </c>
      <c r="L2285">
        <v>2400</v>
      </c>
      <c r="M2285">
        <v>2400</v>
      </c>
      <c r="N2285">
        <v>0</v>
      </c>
    </row>
    <row r="2286" spans="1:14" x14ac:dyDescent="0.25">
      <c r="A2286">
        <v>1724.040841</v>
      </c>
      <c r="B2286" s="1">
        <f>DATE(2015,1,19) + TIME(0,58,48)</f>
        <v>42023.040833333333</v>
      </c>
      <c r="C2286">
        <v>80</v>
      </c>
      <c r="D2286">
        <v>75.314224242999998</v>
      </c>
      <c r="E2286">
        <v>50</v>
      </c>
      <c r="F2286">
        <v>49.979911803999997</v>
      </c>
      <c r="G2286">
        <v>1318.9311522999999</v>
      </c>
      <c r="H2286">
        <v>1313.1694336</v>
      </c>
      <c r="I2286">
        <v>1356.5733643000001</v>
      </c>
      <c r="J2286">
        <v>1348.5068358999999</v>
      </c>
      <c r="K2286">
        <v>0</v>
      </c>
      <c r="L2286">
        <v>2400</v>
      </c>
      <c r="M2286">
        <v>2400</v>
      </c>
      <c r="N2286">
        <v>0</v>
      </c>
    </row>
    <row r="2287" spans="1:14" x14ac:dyDescent="0.25">
      <c r="A2287">
        <v>1726.3235950000001</v>
      </c>
      <c r="B2287" s="1">
        <f>DATE(2015,1,21) + TIME(7,45,58)</f>
        <v>42025.323587962965</v>
      </c>
      <c r="C2287">
        <v>80</v>
      </c>
      <c r="D2287">
        <v>75.219512938999998</v>
      </c>
      <c r="E2287">
        <v>50</v>
      </c>
      <c r="F2287">
        <v>49.979923247999999</v>
      </c>
      <c r="G2287">
        <v>1318.8283690999999</v>
      </c>
      <c r="H2287">
        <v>1313.0258789</v>
      </c>
      <c r="I2287">
        <v>1356.5629882999999</v>
      </c>
      <c r="J2287">
        <v>1348.5006103999999</v>
      </c>
      <c r="K2287">
        <v>0</v>
      </c>
      <c r="L2287">
        <v>2400</v>
      </c>
      <c r="M2287">
        <v>2400</v>
      </c>
      <c r="N2287">
        <v>0</v>
      </c>
    </row>
    <row r="2288" spans="1:14" x14ac:dyDescent="0.25">
      <c r="A2288">
        <v>1728.6538539999999</v>
      </c>
      <c r="B2288" s="1">
        <f>DATE(2015,1,23) + TIME(15,41,33)</f>
        <v>42027.653854166667</v>
      </c>
      <c r="C2288">
        <v>80</v>
      </c>
      <c r="D2288">
        <v>75.122505188000005</v>
      </c>
      <c r="E2288">
        <v>50</v>
      </c>
      <c r="F2288">
        <v>49.979934692</v>
      </c>
      <c r="G2288">
        <v>1318.7225341999999</v>
      </c>
      <c r="H2288">
        <v>1312.8779297000001</v>
      </c>
      <c r="I2288">
        <v>1356.5524902</v>
      </c>
      <c r="J2288">
        <v>1348.4943848</v>
      </c>
      <c r="K2288">
        <v>0</v>
      </c>
      <c r="L2288">
        <v>2400</v>
      </c>
      <c r="M2288">
        <v>2400</v>
      </c>
      <c r="N2288">
        <v>0</v>
      </c>
    </row>
    <row r="2289" spans="1:14" x14ac:dyDescent="0.25">
      <c r="A2289">
        <v>1731.0377739999999</v>
      </c>
      <c r="B2289" s="1">
        <f>DATE(2015,1,26) + TIME(0,54,23)</f>
        <v>42030.037766203706</v>
      </c>
      <c r="C2289">
        <v>80</v>
      </c>
      <c r="D2289">
        <v>75.023368834999999</v>
      </c>
      <c r="E2289">
        <v>50</v>
      </c>
      <c r="F2289">
        <v>49.979949951000002</v>
      </c>
      <c r="G2289">
        <v>1318.6141356999999</v>
      </c>
      <c r="H2289">
        <v>1312.7263184000001</v>
      </c>
      <c r="I2289">
        <v>1356.5419922000001</v>
      </c>
      <c r="J2289">
        <v>1348.4880370999999</v>
      </c>
      <c r="K2289">
        <v>0</v>
      </c>
      <c r="L2289">
        <v>2400</v>
      </c>
      <c r="M2289">
        <v>2400</v>
      </c>
      <c r="N2289">
        <v>0</v>
      </c>
    </row>
    <row r="2290" spans="1:14" x14ac:dyDescent="0.25">
      <c r="A2290">
        <v>1733.481321</v>
      </c>
      <c r="B2290" s="1">
        <f>DATE(2015,1,28) + TIME(11,33,6)</f>
        <v>42032.481319444443</v>
      </c>
      <c r="C2290">
        <v>80</v>
      </c>
      <c r="D2290">
        <v>74.921730041999993</v>
      </c>
      <c r="E2290">
        <v>50</v>
      </c>
      <c r="F2290">
        <v>49.979961394999997</v>
      </c>
      <c r="G2290">
        <v>1318.5031738</v>
      </c>
      <c r="H2290">
        <v>1312.5709228999999</v>
      </c>
      <c r="I2290">
        <v>1356.5316161999999</v>
      </c>
      <c r="J2290">
        <v>1348.4816894999999</v>
      </c>
      <c r="K2290">
        <v>0</v>
      </c>
      <c r="L2290">
        <v>2400</v>
      </c>
      <c r="M2290">
        <v>2400</v>
      </c>
      <c r="N2290">
        <v>0</v>
      </c>
    </row>
    <row r="2291" spans="1:14" x14ac:dyDescent="0.25">
      <c r="A2291">
        <v>1735.99109</v>
      </c>
      <c r="B2291" s="1">
        <f>DATE(2015,1,30) + TIME(23,47,10)</f>
        <v>42034.991087962961</v>
      </c>
      <c r="C2291">
        <v>80</v>
      </c>
      <c r="D2291">
        <v>74.817207335999996</v>
      </c>
      <c r="E2291">
        <v>50</v>
      </c>
      <c r="F2291">
        <v>49.979976653999998</v>
      </c>
      <c r="G2291">
        <v>1318.3894043</v>
      </c>
      <c r="H2291">
        <v>1312.411499</v>
      </c>
      <c r="I2291">
        <v>1356.5209961</v>
      </c>
      <c r="J2291">
        <v>1348.4752197</v>
      </c>
      <c r="K2291">
        <v>0</v>
      </c>
      <c r="L2291">
        <v>2400</v>
      </c>
      <c r="M2291">
        <v>2400</v>
      </c>
      <c r="N2291">
        <v>0</v>
      </c>
    </row>
    <row r="2292" spans="1:14" x14ac:dyDescent="0.25">
      <c r="A2292">
        <v>1737</v>
      </c>
      <c r="B2292" s="1">
        <f>DATE(2015,2,1) + TIME(0,0,0)</f>
        <v>42036</v>
      </c>
      <c r="C2292">
        <v>80</v>
      </c>
      <c r="D2292">
        <v>74.737068175999994</v>
      </c>
      <c r="E2292">
        <v>50</v>
      </c>
      <c r="F2292">
        <v>49.979976653999998</v>
      </c>
      <c r="G2292">
        <v>1318.2788086</v>
      </c>
      <c r="H2292">
        <v>1312.2601318</v>
      </c>
      <c r="I2292">
        <v>1356.5101318</v>
      </c>
      <c r="J2292">
        <v>1348.4685059000001</v>
      </c>
      <c r="K2292">
        <v>0</v>
      </c>
      <c r="L2292">
        <v>2400</v>
      </c>
      <c r="M2292">
        <v>2400</v>
      </c>
      <c r="N2292">
        <v>0</v>
      </c>
    </row>
    <row r="2293" spans="1:14" x14ac:dyDescent="0.25">
      <c r="A2293">
        <v>1739.582723</v>
      </c>
      <c r="B2293" s="1">
        <f>DATE(2015,2,3) + TIME(13,59,7)</f>
        <v>42038.582719907405</v>
      </c>
      <c r="C2293">
        <v>80</v>
      </c>
      <c r="D2293">
        <v>74.657554626000007</v>
      </c>
      <c r="E2293">
        <v>50</v>
      </c>
      <c r="F2293">
        <v>49.979995727999999</v>
      </c>
      <c r="G2293">
        <v>1318.2159423999999</v>
      </c>
      <c r="H2293">
        <v>1312.1649170000001</v>
      </c>
      <c r="I2293">
        <v>1356.5062256000001</v>
      </c>
      <c r="J2293">
        <v>1348.4661865</v>
      </c>
      <c r="K2293">
        <v>0</v>
      </c>
      <c r="L2293">
        <v>2400</v>
      </c>
      <c r="M2293">
        <v>2400</v>
      </c>
      <c r="N2293">
        <v>0</v>
      </c>
    </row>
    <row r="2294" spans="1:14" x14ac:dyDescent="0.25">
      <c r="A2294">
        <v>1742.2716989999999</v>
      </c>
      <c r="B2294" s="1">
        <f>DATE(2015,2,6) + TIME(6,31,14)</f>
        <v>42041.271689814814</v>
      </c>
      <c r="C2294">
        <v>80</v>
      </c>
      <c r="D2294">
        <v>74.551696777000004</v>
      </c>
      <c r="E2294">
        <v>50</v>
      </c>
      <c r="F2294">
        <v>49.980010986000003</v>
      </c>
      <c r="G2294">
        <v>1318.1029053</v>
      </c>
      <c r="H2294">
        <v>1312.0089111</v>
      </c>
      <c r="I2294">
        <v>1356.4956055</v>
      </c>
      <c r="J2294">
        <v>1348.4595947</v>
      </c>
      <c r="K2294">
        <v>0</v>
      </c>
      <c r="L2294">
        <v>2400</v>
      </c>
      <c r="M2294">
        <v>2400</v>
      </c>
      <c r="N2294">
        <v>0</v>
      </c>
    </row>
    <row r="2295" spans="1:14" x14ac:dyDescent="0.25">
      <c r="A2295">
        <v>1745.039119</v>
      </c>
      <c r="B2295" s="1">
        <f>DATE(2015,2,9) + TIME(0,56,19)</f>
        <v>42044.0391087963</v>
      </c>
      <c r="C2295">
        <v>80</v>
      </c>
      <c r="D2295">
        <v>74.435577393000003</v>
      </c>
      <c r="E2295">
        <v>50</v>
      </c>
      <c r="F2295">
        <v>49.980026244999998</v>
      </c>
      <c r="G2295">
        <v>1317.9801024999999</v>
      </c>
      <c r="H2295">
        <v>1311.8370361</v>
      </c>
      <c r="I2295">
        <v>1356.4847411999999</v>
      </c>
      <c r="J2295">
        <v>1348.4528809000001</v>
      </c>
      <c r="K2295">
        <v>0</v>
      </c>
      <c r="L2295">
        <v>2400</v>
      </c>
      <c r="M2295">
        <v>2400</v>
      </c>
      <c r="N2295">
        <v>0</v>
      </c>
    </row>
    <row r="2296" spans="1:14" x14ac:dyDescent="0.25">
      <c r="A2296">
        <v>1747.8631789999999</v>
      </c>
      <c r="B2296" s="1">
        <f>DATE(2015,2,11) + TIME(20,42,58)</f>
        <v>42046.863171296296</v>
      </c>
      <c r="C2296">
        <v>80</v>
      </c>
      <c r="D2296">
        <v>74.313560486</v>
      </c>
      <c r="E2296">
        <v>50</v>
      </c>
      <c r="F2296">
        <v>49.980041503999999</v>
      </c>
      <c r="G2296">
        <v>1317.8522949000001</v>
      </c>
      <c r="H2296">
        <v>1311.6575928</v>
      </c>
      <c r="I2296">
        <v>1356.4736327999999</v>
      </c>
      <c r="J2296">
        <v>1348.4460449000001</v>
      </c>
      <c r="K2296">
        <v>0</v>
      </c>
      <c r="L2296">
        <v>2400</v>
      </c>
      <c r="M2296">
        <v>2400</v>
      </c>
      <c r="N2296">
        <v>0</v>
      </c>
    </row>
    <row r="2297" spans="1:14" x14ac:dyDescent="0.25">
      <c r="A2297">
        <v>1750.7517109999999</v>
      </c>
      <c r="B2297" s="1">
        <f>DATE(2015,2,14) + TIME(18,2,27)</f>
        <v>42049.751701388886</v>
      </c>
      <c r="C2297">
        <v>80</v>
      </c>
      <c r="D2297">
        <v>74.186828613000003</v>
      </c>
      <c r="E2297">
        <v>50</v>
      </c>
      <c r="F2297">
        <v>49.980056763</v>
      </c>
      <c r="G2297">
        <v>1317.7215576000001</v>
      </c>
      <c r="H2297">
        <v>1311.4738769999999</v>
      </c>
      <c r="I2297">
        <v>1356.4625243999999</v>
      </c>
      <c r="J2297">
        <v>1348.4390868999999</v>
      </c>
      <c r="K2297">
        <v>0</v>
      </c>
      <c r="L2297">
        <v>2400</v>
      </c>
      <c r="M2297">
        <v>2400</v>
      </c>
      <c r="N2297">
        <v>0</v>
      </c>
    </row>
    <row r="2298" spans="1:14" x14ac:dyDescent="0.25">
      <c r="A2298">
        <v>1753.7127720000001</v>
      </c>
      <c r="B2298" s="1">
        <f>DATE(2015,2,17) + TIME(17,6,23)</f>
        <v>42052.712766203702</v>
      </c>
      <c r="C2298">
        <v>80</v>
      </c>
      <c r="D2298">
        <v>74.055038452000005</v>
      </c>
      <c r="E2298">
        <v>50</v>
      </c>
      <c r="F2298">
        <v>49.980075835999997</v>
      </c>
      <c r="G2298">
        <v>1317.5881348</v>
      </c>
      <c r="H2298">
        <v>1311.2861327999999</v>
      </c>
      <c r="I2298">
        <v>1356.4514160000001</v>
      </c>
      <c r="J2298">
        <v>1348.4321289</v>
      </c>
      <c r="K2298">
        <v>0</v>
      </c>
      <c r="L2298">
        <v>2400</v>
      </c>
      <c r="M2298">
        <v>2400</v>
      </c>
      <c r="N2298">
        <v>0</v>
      </c>
    </row>
    <row r="2299" spans="1:14" x14ac:dyDescent="0.25">
      <c r="A2299">
        <v>1756.755075</v>
      </c>
      <c r="B2299" s="1">
        <f>DATE(2015,2,20) + TIME(18,7,18)</f>
        <v>42055.755069444444</v>
      </c>
      <c r="C2299">
        <v>80</v>
      </c>
      <c r="D2299">
        <v>73.917495728000006</v>
      </c>
      <c r="E2299">
        <v>50</v>
      </c>
      <c r="F2299">
        <v>49.980091094999999</v>
      </c>
      <c r="G2299">
        <v>1317.4519043</v>
      </c>
      <c r="H2299">
        <v>1311.0942382999999</v>
      </c>
      <c r="I2299">
        <v>1356.4401855000001</v>
      </c>
      <c r="J2299">
        <v>1348.4250488</v>
      </c>
      <c r="K2299">
        <v>0</v>
      </c>
      <c r="L2299">
        <v>2400</v>
      </c>
      <c r="M2299">
        <v>2400</v>
      </c>
      <c r="N2299">
        <v>0</v>
      </c>
    </row>
    <row r="2300" spans="1:14" x14ac:dyDescent="0.25">
      <c r="A2300">
        <v>1759.888134</v>
      </c>
      <c r="B2300" s="1">
        <f>DATE(2015,2,23) + TIME(21,18,54)</f>
        <v>42058.888124999998</v>
      </c>
      <c r="C2300">
        <v>80</v>
      </c>
      <c r="D2300">
        <v>73.773353576999995</v>
      </c>
      <c r="E2300">
        <v>50</v>
      </c>
      <c r="F2300">
        <v>49.980110168000003</v>
      </c>
      <c r="G2300">
        <v>1317.3125</v>
      </c>
      <c r="H2300">
        <v>1310.8977050999999</v>
      </c>
      <c r="I2300">
        <v>1356.4287108999999</v>
      </c>
      <c r="J2300">
        <v>1348.4177245999999</v>
      </c>
      <c r="K2300">
        <v>0</v>
      </c>
      <c r="L2300">
        <v>2400</v>
      </c>
      <c r="M2300">
        <v>2400</v>
      </c>
      <c r="N2300">
        <v>0</v>
      </c>
    </row>
    <row r="2301" spans="1:14" x14ac:dyDescent="0.25">
      <c r="A2301">
        <v>1763.1221949999999</v>
      </c>
      <c r="B2301" s="1">
        <f>DATE(2015,2,27) + TIME(2,55,57)</f>
        <v>42062.122187499997</v>
      </c>
      <c r="C2301">
        <v>80</v>
      </c>
      <c r="D2301">
        <v>73.621643066000004</v>
      </c>
      <c r="E2301">
        <v>50</v>
      </c>
      <c r="F2301">
        <v>49.980129241999997</v>
      </c>
      <c r="G2301">
        <v>1317.1696777</v>
      </c>
      <c r="H2301">
        <v>1310.6961670000001</v>
      </c>
      <c r="I2301">
        <v>1356.4171143000001</v>
      </c>
      <c r="J2301">
        <v>1348.4102783000001</v>
      </c>
      <c r="K2301">
        <v>0</v>
      </c>
      <c r="L2301">
        <v>2400</v>
      </c>
      <c r="M2301">
        <v>2400</v>
      </c>
      <c r="N2301">
        <v>0</v>
      </c>
    </row>
    <row r="2302" spans="1:14" x14ac:dyDescent="0.25">
      <c r="A2302">
        <v>1765</v>
      </c>
      <c r="B2302" s="1">
        <f>DATE(2015,3,1) + TIME(0,0,0)</f>
        <v>42064</v>
      </c>
      <c r="C2302">
        <v>80</v>
      </c>
      <c r="D2302">
        <v>73.480194092000005</v>
      </c>
      <c r="E2302">
        <v>50</v>
      </c>
      <c r="F2302">
        <v>49.980136870999999</v>
      </c>
      <c r="G2302">
        <v>1317.0267334</v>
      </c>
      <c r="H2302">
        <v>1310.4971923999999</v>
      </c>
      <c r="I2302">
        <v>1356.4051514</v>
      </c>
      <c r="J2302">
        <v>1348.4024658000001</v>
      </c>
      <c r="K2302">
        <v>0</v>
      </c>
      <c r="L2302">
        <v>2400</v>
      </c>
      <c r="M2302">
        <v>2400</v>
      </c>
      <c r="N2302">
        <v>0</v>
      </c>
    </row>
    <row r="2303" spans="1:14" x14ac:dyDescent="0.25">
      <c r="A2303">
        <v>1768.3444079999999</v>
      </c>
      <c r="B2303" s="1">
        <f>DATE(2015,3,4) + TIME(8,15,56)</f>
        <v>42067.344398148147</v>
      </c>
      <c r="C2303">
        <v>80</v>
      </c>
      <c r="D2303">
        <v>73.357437133999994</v>
      </c>
      <c r="E2303">
        <v>50</v>
      </c>
      <c r="F2303">
        <v>49.980159759999999</v>
      </c>
      <c r="G2303">
        <v>1316.9277344</v>
      </c>
      <c r="H2303">
        <v>1310.3509521000001</v>
      </c>
      <c r="I2303">
        <v>1356.3985596</v>
      </c>
      <c r="J2303">
        <v>1348.3981934000001</v>
      </c>
      <c r="K2303">
        <v>0</v>
      </c>
      <c r="L2303">
        <v>2400</v>
      </c>
      <c r="M2303">
        <v>2400</v>
      </c>
      <c r="N2303">
        <v>0</v>
      </c>
    </row>
    <row r="2304" spans="1:14" x14ac:dyDescent="0.25">
      <c r="A2304">
        <v>1771.84133</v>
      </c>
      <c r="B2304" s="1">
        <f>DATE(2015,3,7) + TIME(20,11,30)</f>
        <v>42070.841319444444</v>
      </c>
      <c r="C2304">
        <v>80</v>
      </c>
      <c r="D2304">
        <v>73.191452025999993</v>
      </c>
      <c r="E2304">
        <v>50</v>
      </c>
      <c r="F2304">
        <v>49.980178832999997</v>
      </c>
      <c r="G2304">
        <v>1316.7857666</v>
      </c>
      <c r="H2304">
        <v>1310.1531981999999</v>
      </c>
      <c r="I2304">
        <v>1356.3864745999999</v>
      </c>
      <c r="J2304">
        <v>1348.3903809000001</v>
      </c>
      <c r="K2304">
        <v>0</v>
      </c>
      <c r="L2304">
        <v>2400</v>
      </c>
      <c r="M2304">
        <v>2400</v>
      </c>
      <c r="N2304">
        <v>0</v>
      </c>
    </row>
    <row r="2305" spans="1:14" x14ac:dyDescent="0.25">
      <c r="A2305">
        <v>1775.4313159999999</v>
      </c>
      <c r="B2305" s="1">
        <f>DATE(2015,3,11) + TIME(10,21,5)</f>
        <v>42074.431307870371</v>
      </c>
      <c r="C2305">
        <v>80</v>
      </c>
      <c r="D2305">
        <v>73.007217406999999</v>
      </c>
      <c r="E2305">
        <v>50</v>
      </c>
      <c r="F2305">
        <v>49.980201721</v>
      </c>
      <c r="G2305">
        <v>1316.6318358999999</v>
      </c>
      <c r="H2305">
        <v>1309.9361572</v>
      </c>
      <c r="I2305">
        <v>1356.3740233999999</v>
      </c>
      <c r="J2305">
        <v>1348.3820800999999</v>
      </c>
      <c r="K2305">
        <v>0</v>
      </c>
      <c r="L2305">
        <v>2400</v>
      </c>
      <c r="M2305">
        <v>2400</v>
      </c>
      <c r="N2305">
        <v>0</v>
      </c>
    </row>
    <row r="2306" spans="1:14" x14ac:dyDescent="0.25">
      <c r="A2306">
        <v>1779.1247249999999</v>
      </c>
      <c r="B2306" s="1">
        <f>DATE(2015,3,15) + TIME(2,59,36)</f>
        <v>42078.124722222223</v>
      </c>
      <c r="C2306">
        <v>80</v>
      </c>
      <c r="D2306">
        <v>72.811004639000004</v>
      </c>
      <c r="E2306">
        <v>50</v>
      </c>
      <c r="F2306">
        <v>49.980220795000001</v>
      </c>
      <c r="G2306">
        <v>1316.4732666</v>
      </c>
      <c r="H2306">
        <v>1309.7117920000001</v>
      </c>
      <c r="I2306">
        <v>1356.3613281</v>
      </c>
      <c r="J2306">
        <v>1348.3736572</v>
      </c>
      <c r="K2306">
        <v>0</v>
      </c>
      <c r="L2306">
        <v>2400</v>
      </c>
      <c r="M2306">
        <v>2400</v>
      </c>
      <c r="N2306">
        <v>0</v>
      </c>
    </row>
    <row r="2307" spans="1:14" x14ac:dyDescent="0.25">
      <c r="A2307">
        <v>1782.934364</v>
      </c>
      <c r="B2307" s="1">
        <f>DATE(2015,3,18) + TIME(22,25,29)</f>
        <v>42081.934363425928</v>
      </c>
      <c r="C2307">
        <v>80</v>
      </c>
      <c r="D2307">
        <v>72.602462768999999</v>
      </c>
      <c r="E2307">
        <v>50</v>
      </c>
      <c r="F2307">
        <v>49.980243682999998</v>
      </c>
      <c r="G2307">
        <v>1316.3112793</v>
      </c>
      <c r="H2307">
        <v>1309.4822998</v>
      </c>
      <c r="I2307">
        <v>1356.3483887</v>
      </c>
      <c r="J2307">
        <v>1348.3649902</v>
      </c>
      <c r="K2307">
        <v>0</v>
      </c>
      <c r="L2307">
        <v>2400</v>
      </c>
      <c r="M2307">
        <v>2400</v>
      </c>
      <c r="N2307">
        <v>0</v>
      </c>
    </row>
    <row r="2308" spans="1:14" x14ac:dyDescent="0.25">
      <c r="A2308">
        <v>1786.871521</v>
      </c>
      <c r="B2308" s="1">
        <f>DATE(2015,3,22) + TIME(20,54,59)</f>
        <v>42085.871516203704</v>
      </c>
      <c r="C2308">
        <v>80</v>
      </c>
      <c r="D2308">
        <v>72.380447387999993</v>
      </c>
      <c r="E2308">
        <v>50</v>
      </c>
      <c r="F2308">
        <v>49.980266571000001</v>
      </c>
      <c r="G2308">
        <v>1316.145874</v>
      </c>
      <c r="H2308">
        <v>1309.2475586</v>
      </c>
      <c r="I2308">
        <v>1356.3350829999999</v>
      </c>
      <c r="J2308">
        <v>1348.3560791</v>
      </c>
      <c r="K2308">
        <v>0</v>
      </c>
      <c r="L2308">
        <v>2400</v>
      </c>
      <c r="M2308">
        <v>2400</v>
      </c>
      <c r="N2308">
        <v>0</v>
      </c>
    </row>
    <row r="2309" spans="1:14" x14ac:dyDescent="0.25">
      <c r="A2309">
        <v>1790.9469300000001</v>
      </c>
      <c r="B2309" s="1">
        <f>DATE(2015,3,26) + TIME(22,43,34)</f>
        <v>42089.946921296294</v>
      </c>
      <c r="C2309">
        <v>80</v>
      </c>
      <c r="D2309">
        <v>72.143264771000005</v>
      </c>
      <c r="E2309">
        <v>50</v>
      </c>
      <c r="F2309">
        <v>49.980293273999997</v>
      </c>
      <c r="G2309">
        <v>1315.9766846</v>
      </c>
      <c r="H2309">
        <v>1309.0073242000001</v>
      </c>
      <c r="I2309">
        <v>1356.3214111</v>
      </c>
      <c r="J2309">
        <v>1348.3468018000001</v>
      </c>
      <c r="K2309">
        <v>0</v>
      </c>
      <c r="L2309">
        <v>2400</v>
      </c>
      <c r="M2309">
        <v>2400</v>
      </c>
      <c r="N2309">
        <v>0</v>
      </c>
    </row>
    <row r="2310" spans="1:14" x14ac:dyDescent="0.25">
      <c r="A2310">
        <v>1795.1811090000001</v>
      </c>
      <c r="B2310" s="1">
        <f>DATE(2015,3,31) + TIME(4,20,47)</f>
        <v>42094.18109953704</v>
      </c>
      <c r="C2310">
        <v>80</v>
      </c>
      <c r="D2310">
        <v>71.889381408999995</v>
      </c>
      <c r="E2310">
        <v>50</v>
      </c>
      <c r="F2310">
        <v>49.980316162000001</v>
      </c>
      <c r="G2310">
        <v>1315.8037108999999</v>
      </c>
      <c r="H2310">
        <v>1308.7612305</v>
      </c>
      <c r="I2310">
        <v>1356.3074951000001</v>
      </c>
      <c r="J2310">
        <v>1348.3371582</v>
      </c>
      <c r="K2310">
        <v>0</v>
      </c>
      <c r="L2310">
        <v>2400</v>
      </c>
      <c r="M2310">
        <v>2400</v>
      </c>
      <c r="N2310">
        <v>0</v>
      </c>
    </row>
    <row r="2311" spans="1:14" x14ac:dyDescent="0.25">
      <c r="A2311">
        <v>1796</v>
      </c>
      <c r="B2311" s="1">
        <f>DATE(2015,4,1) + TIME(0,0,0)</f>
        <v>42095</v>
      </c>
      <c r="C2311">
        <v>80</v>
      </c>
      <c r="D2311">
        <v>71.714599609000004</v>
      </c>
      <c r="E2311">
        <v>50</v>
      </c>
      <c r="F2311">
        <v>49.980316162000001</v>
      </c>
      <c r="G2311">
        <v>1315.6376952999999</v>
      </c>
      <c r="H2311">
        <v>1308.5380858999999</v>
      </c>
      <c r="I2311">
        <v>1356.2926024999999</v>
      </c>
      <c r="J2311">
        <v>1348.3266602000001</v>
      </c>
      <c r="K2311">
        <v>0</v>
      </c>
      <c r="L2311">
        <v>2400</v>
      </c>
      <c r="M2311">
        <v>2400</v>
      </c>
      <c r="N231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2022-06-22T18:45:07Z</dcterms:created>
  <dcterms:modified xsi:type="dcterms:W3CDTF">2022-06-22T18:45:46Z</dcterms:modified>
</cp:coreProperties>
</file>