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torage_V/"/>
    </mc:Choice>
  </mc:AlternateContent>
  <xr:revisionPtr revIDLastSave="0" documentId="8_{818AE346-D2AF-4244-A10D-FBE011EFB134}" xr6:coauthVersionLast="47" xr6:coauthVersionMax="47" xr10:uidLastSave="{00000000-0000-0000-0000-000000000000}"/>
  <bookViews>
    <workbookView xWindow="780" yWindow="780" windowWidth="15375" windowHeight="7875" xr2:uid="{6D2561A9-D3B3-43B9-8669-402B378E16FD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07" i="1" l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<sst xmlns="http://schemas.openxmlformats.org/spreadsheetml/2006/main" count="15" uniqueCount="15">
  <si>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MODEL\SCENARIOS\2022\Storage_V\Storage_1000k.sr3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</si>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</sst>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38344-DA5D-4776-84DF-69F3458AB98E}" name="Table1" displayName="Table1" ref="A3:N2207" totalsRowShown="0">
  <autoFilter ref="A3:N2207" xr:uid="{42F38344-DA5D-4776-84DF-69F3458AB98E}"/>
  <tableColumns count="14">
    <tableColumn id="1" xr3:uid="{FC263D4E-694C-4437-B3C1-7D2FE6A37D98}" name="Time (day)"/>
    <tableColumn id="2" xr3:uid="{66D54D22-0D44-4236-92B2-B77E66E04048}" name="Date" dataDxfId="0"/>
    <tableColumn id="3" xr3:uid="{5C224822-3555-4529-AA57-432C4F7283DF}" name="Hot well INJ-Well bottom hole temperature (C)"/>
    <tableColumn id="4" xr3:uid="{0AC4833E-08F4-4BAF-A1A7-51F59CF66A77}" name="Hot well PROD-Well bottom hole temperature (C)"/>
    <tableColumn id="5" xr3:uid="{B347D0B6-A233-4E53-98BD-115F58EFDEDB}" name="Warm well INJ-Well bottom hole temperature (C)"/>
    <tableColumn id="6" xr3:uid="{116D1680-B1AA-4221-8D81-4F259F95B77B}" name="Warm well PROD-Well bottom hole temperature (C)"/>
    <tableColumn id="7" xr3:uid="{B90981DF-9FE8-42A9-AF3D-1A4600B2A595}" name="Hot well INJ-Well Bottom-hole Pressure (kPa)"/>
    <tableColumn id="8" xr3:uid="{6DB40C7F-F18F-4C9A-825D-E0F7C1A1C49E}" name="Hot well PROD-Well Bottom-hole Pressure (kPa)"/>
    <tableColumn id="9" xr3:uid="{5BEB9BF0-7789-4697-B96F-26B2276B627A}" name="Warm well INJ-Well Bottom-hole Pressure (kPa)"/>
    <tableColumn id="10" xr3:uid="{542C5BAA-166D-4649-BF48-6A5533FBA9BE}" name="Warm well PROD-Well Bottom-hole Pressure (kPa)"/>
    <tableColumn id="11" xr3:uid="{B7803FFE-ABDF-4339-A383-92F908989758}" name="Hot well INJ-Fluid Rate SC (m³/day)"/>
    <tableColumn id="12" xr3:uid="{9E8C3561-C8A5-47EB-BBE3-9A67FEBFF174}" name="Hot well PROD-Fluid Rate SC (m³/day)"/>
    <tableColumn id="13" xr3:uid="{01975D05-7201-4DE8-9AD5-26F7DCC821A4}" name="Warm well INJ-Fluid Rate SC (m³/day)"/>
    <tableColumn id="14" xr3:uid="{934FBFA6-2721-46AE-9CB6-458FD055F4A7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A036-DB25-4838-A57A-140F96343445}">
  <dimension ref="A1:N2207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15.000135422</v>
      </c>
      <c r="E4">
        <v>50</v>
      </c>
      <c r="F4">
        <v>14.999948502000001</v>
      </c>
      <c r="G4">
        <v>1375.0871582</v>
      </c>
      <c r="H4">
        <v>1329.9129639</v>
      </c>
      <c r="I4">
        <v>1328.9085693</v>
      </c>
      <c r="J4">
        <v>1283.7333983999999</v>
      </c>
      <c r="K4">
        <v>2750</v>
      </c>
      <c r="L4">
        <v>0</v>
      </c>
      <c r="M4">
        <v>0</v>
      </c>
      <c r="N4">
        <v>2750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15.000534058</v>
      </c>
      <c r="E5">
        <v>50</v>
      </c>
      <c r="F5">
        <v>14.999802589</v>
      </c>
      <c r="G5">
        <v>1376.5098877</v>
      </c>
      <c r="H5">
        <v>1331.3360596</v>
      </c>
      <c r="I5">
        <v>1327.4916992000001</v>
      </c>
      <c r="J5">
        <v>1282.3162841999999</v>
      </c>
      <c r="K5">
        <v>2750</v>
      </c>
      <c r="L5">
        <v>0</v>
      </c>
      <c r="M5">
        <v>0</v>
      </c>
      <c r="N5">
        <v>2750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15.001665115</v>
      </c>
      <c r="E6">
        <v>50</v>
      </c>
      <c r="F6">
        <v>14.999429703000001</v>
      </c>
      <c r="G6">
        <v>1380.1477050999999</v>
      </c>
      <c r="H6">
        <v>1334.9750977000001</v>
      </c>
      <c r="I6">
        <v>1323.8685303</v>
      </c>
      <c r="J6">
        <v>1278.6925048999999</v>
      </c>
      <c r="K6">
        <v>2750</v>
      </c>
      <c r="L6">
        <v>0</v>
      </c>
      <c r="M6">
        <v>0</v>
      </c>
      <c r="N6">
        <v>2750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15.004706383</v>
      </c>
      <c r="E7">
        <v>50</v>
      </c>
      <c r="F7">
        <v>14.998661041</v>
      </c>
      <c r="G7">
        <v>1387.6601562000001</v>
      </c>
      <c r="H7">
        <v>1342.4910889</v>
      </c>
      <c r="I7">
        <v>1316.3850098</v>
      </c>
      <c r="J7">
        <v>1271.2077637</v>
      </c>
      <c r="K7">
        <v>2750</v>
      </c>
      <c r="L7">
        <v>0</v>
      </c>
      <c r="M7">
        <v>0</v>
      </c>
      <c r="N7">
        <v>2750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15.012673378000001</v>
      </c>
      <c r="E8">
        <v>50</v>
      </c>
      <c r="F8">
        <v>14.997504234000001</v>
      </c>
      <c r="G8">
        <v>1398.9416504000001</v>
      </c>
      <c r="H8">
        <v>1353.7819824000001</v>
      </c>
      <c r="I8">
        <v>1305.1408690999999</v>
      </c>
      <c r="J8">
        <v>1259.9621582</v>
      </c>
      <c r="K8">
        <v>2750</v>
      </c>
      <c r="L8">
        <v>0</v>
      </c>
      <c r="M8">
        <v>0</v>
      </c>
      <c r="N8">
        <v>2750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15.034400939999999</v>
      </c>
      <c r="E9">
        <v>50</v>
      </c>
      <c r="F9">
        <v>14.996193886</v>
      </c>
      <c r="G9">
        <v>1411.7189940999999</v>
      </c>
      <c r="H9">
        <v>1366.5853271000001</v>
      </c>
      <c r="I9">
        <v>1292.3820800999999</v>
      </c>
      <c r="J9">
        <v>1247.2015381000001</v>
      </c>
      <c r="K9">
        <v>2750</v>
      </c>
      <c r="L9">
        <v>0</v>
      </c>
      <c r="M9">
        <v>0</v>
      </c>
      <c r="N9">
        <v>2750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15.096902847000001</v>
      </c>
      <c r="E10">
        <v>50</v>
      </c>
      <c r="F10">
        <v>14.994871140000001</v>
      </c>
      <c r="G10">
        <v>1424.5574951000001</v>
      </c>
      <c r="H10">
        <v>1379.4981689000001</v>
      </c>
      <c r="I10">
        <v>1279.4866943</v>
      </c>
      <c r="J10">
        <v>1234.3044434000001</v>
      </c>
      <c r="K10">
        <v>2750</v>
      </c>
      <c r="L10">
        <v>0</v>
      </c>
      <c r="M10">
        <v>0</v>
      </c>
      <c r="N10">
        <v>2750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15.281237601999999</v>
      </c>
      <c r="E11">
        <v>50</v>
      </c>
      <c r="F11">
        <v>14.993561744999999</v>
      </c>
      <c r="G11">
        <v>1437.1242675999999</v>
      </c>
      <c r="H11">
        <v>1392.2824707</v>
      </c>
      <c r="I11">
        <v>1266.6400146000001</v>
      </c>
      <c r="J11">
        <v>1221.4561768000001</v>
      </c>
      <c r="K11">
        <v>2750</v>
      </c>
      <c r="L11">
        <v>0</v>
      </c>
      <c r="M11">
        <v>0</v>
      </c>
      <c r="N11">
        <v>2750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15.827163696</v>
      </c>
      <c r="E12">
        <v>50</v>
      </c>
      <c r="F12">
        <v>14.992318152999999</v>
      </c>
      <c r="G12">
        <v>1448.6182861</v>
      </c>
      <c r="H12">
        <v>1404.4101562000001</v>
      </c>
      <c r="I12">
        <v>1254.2310791</v>
      </c>
      <c r="J12">
        <v>1209.0456543</v>
      </c>
      <c r="K12">
        <v>2750</v>
      </c>
      <c r="L12">
        <v>0</v>
      </c>
      <c r="M12">
        <v>0</v>
      </c>
      <c r="N12">
        <v>2750</v>
      </c>
    </row>
    <row r="13" spans="1:14" x14ac:dyDescent="0.25">
      <c r="A13">
        <v>2.1859E-2</v>
      </c>
      <c r="B13" s="1">
        <f>DATE(2010,5,1) + TIME(0,31,28)</f>
        <v>40299.021851851852</v>
      </c>
      <c r="C13">
        <v>80</v>
      </c>
      <c r="D13">
        <v>16.812973022000001</v>
      </c>
      <c r="E13">
        <v>50</v>
      </c>
      <c r="F13">
        <v>14.991531372000001</v>
      </c>
      <c r="G13">
        <v>1455.2226562000001</v>
      </c>
      <c r="H13">
        <v>1412.1184082</v>
      </c>
      <c r="I13">
        <v>1246.0814209</v>
      </c>
      <c r="J13">
        <v>1200.8951416</v>
      </c>
      <c r="K13">
        <v>2750</v>
      </c>
      <c r="L13">
        <v>0</v>
      </c>
      <c r="M13">
        <v>0</v>
      </c>
      <c r="N13">
        <v>2750</v>
      </c>
    </row>
    <row r="14" spans="1:14" x14ac:dyDescent="0.25">
      <c r="A14">
        <v>3.4049999999999997E-2</v>
      </c>
      <c r="B14" s="1">
        <f>DATE(2010,5,1) + TIME(0,49,1)</f>
        <v>40299.034039351849</v>
      </c>
      <c r="C14">
        <v>80</v>
      </c>
      <c r="D14">
        <v>17.799020766999998</v>
      </c>
      <c r="E14">
        <v>50</v>
      </c>
      <c r="F14">
        <v>14.991189957</v>
      </c>
      <c r="G14">
        <v>1457.5678711</v>
      </c>
      <c r="H14">
        <v>1415.5153809000001</v>
      </c>
      <c r="I14">
        <v>1242.3215332</v>
      </c>
      <c r="J14">
        <v>1197.1347656</v>
      </c>
      <c r="K14">
        <v>2750</v>
      </c>
      <c r="L14">
        <v>0</v>
      </c>
      <c r="M14">
        <v>0</v>
      </c>
      <c r="N14">
        <v>2750</v>
      </c>
    </row>
    <row r="15" spans="1:14" x14ac:dyDescent="0.25">
      <c r="A15">
        <v>4.6413999999999997E-2</v>
      </c>
      <c r="B15" s="1">
        <f>DATE(2010,5,1) + TIME(1,6,50)</f>
        <v>40299.046412037038</v>
      </c>
      <c r="C15">
        <v>80</v>
      </c>
      <c r="D15">
        <v>18.785427093999999</v>
      </c>
      <c r="E15">
        <v>50</v>
      </c>
      <c r="F15">
        <v>14.991033553999999</v>
      </c>
      <c r="G15">
        <v>1458.1821289</v>
      </c>
      <c r="H15">
        <v>1417.1385498</v>
      </c>
      <c r="I15">
        <v>1240.3988036999999</v>
      </c>
      <c r="J15">
        <v>1195.2117920000001</v>
      </c>
      <c r="K15">
        <v>2750</v>
      </c>
      <c r="L15">
        <v>0</v>
      </c>
      <c r="M15">
        <v>0</v>
      </c>
      <c r="N15">
        <v>2750</v>
      </c>
    </row>
    <row r="16" spans="1:14" x14ac:dyDescent="0.25">
      <c r="A16">
        <v>5.8948E-2</v>
      </c>
      <c r="B16" s="1">
        <f>DATE(2010,5,1) + TIME(1,24,53)</f>
        <v>40299.058946759258</v>
      </c>
      <c r="C16">
        <v>80</v>
      </c>
      <c r="D16">
        <v>19.771663665999998</v>
      </c>
      <c r="E16">
        <v>50</v>
      </c>
      <c r="F16">
        <v>14.990967750999999</v>
      </c>
      <c r="G16">
        <v>1457.9713135</v>
      </c>
      <c r="H16">
        <v>1417.8953856999999</v>
      </c>
      <c r="I16">
        <v>1239.3746338000001</v>
      </c>
      <c r="J16">
        <v>1194.1876221</v>
      </c>
      <c r="K16">
        <v>2750</v>
      </c>
      <c r="L16">
        <v>0</v>
      </c>
      <c r="M16">
        <v>0</v>
      </c>
      <c r="N16">
        <v>2750</v>
      </c>
    </row>
    <row r="17" spans="1:14" x14ac:dyDescent="0.25">
      <c r="A17">
        <v>7.1656999999999998E-2</v>
      </c>
      <c r="B17" s="1">
        <f>DATE(2010,5,1) + TIME(1,43,11)</f>
        <v>40299.071655092594</v>
      </c>
      <c r="C17">
        <v>80</v>
      </c>
      <c r="D17">
        <v>20.758344650000002</v>
      </c>
      <c r="E17">
        <v>50</v>
      </c>
      <c r="F17">
        <v>14.990950584</v>
      </c>
      <c r="G17">
        <v>1457.3338623</v>
      </c>
      <c r="H17">
        <v>1418.1868896000001</v>
      </c>
      <c r="I17">
        <v>1238.8260498</v>
      </c>
      <c r="J17">
        <v>1193.6387939000001</v>
      </c>
      <c r="K17">
        <v>2750</v>
      </c>
      <c r="L17">
        <v>0</v>
      </c>
      <c r="M17">
        <v>0</v>
      </c>
      <c r="N17">
        <v>2750</v>
      </c>
    </row>
    <row r="18" spans="1:14" x14ac:dyDescent="0.25">
      <c r="A18">
        <v>8.4537000000000001E-2</v>
      </c>
      <c r="B18" s="1">
        <f>DATE(2010,5,1) + TIME(2,1,44)</f>
        <v>40299.084537037037</v>
      </c>
      <c r="C18">
        <v>80</v>
      </c>
      <c r="D18">
        <v>21.744323730000001</v>
      </c>
      <c r="E18">
        <v>50</v>
      </c>
      <c r="F18">
        <v>14.990960121000001</v>
      </c>
      <c r="G18">
        <v>1456.4698486</v>
      </c>
      <c r="H18">
        <v>1418.2143555</v>
      </c>
      <c r="I18">
        <v>1238.5380858999999</v>
      </c>
      <c r="J18">
        <v>1193.3509521000001</v>
      </c>
      <c r="K18">
        <v>2750</v>
      </c>
      <c r="L18">
        <v>0</v>
      </c>
      <c r="M18">
        <v>0</v>
      </c>
      <c r="N18">
        <v>2750</v>
      </c>
    </row>
    <row r="19" spans="1:14" x14ac:dyDescent="0.25">
      <c r="A19">
        <v>9.7600999999999993E-2</v>
      </c>
      <c r="B19" s="1">
        <f>DATE(2010,5,1) + TIME(2,20,32)</f>
        <v>40299.097592592596</v>
      </c>
      <c r="C19">
        <v>80</v>
      </c>
      <c r="D19">
        <v>22.729829788</v>
      </c>
      <c r="E19">
        <v>50</v>
      </c>
      <c r="F19">
        <v>14.990983009000001</v>
      </c>
      <c r="G19">
        <v>1455.487793</v>
      </c>
      <c r="H19">
        <v>1418.0881348</v>
      </c>
      <c r="I19">
        <v>1238.3944091999999</v>
      </c>
      <c r="J19">
        <v>1193.2071533000001</v>
      </c>
      <c r="K19">
        <v>2750</v>
      </c>
      <c r="L19">
        <v>0</v>
      </c>
      <c r="M19">
        <v>0</v>
      </c>
      <c r="N19">
        <v>2750</v>
      </c>
    </row>
    <row r="20" spans="1:14" x14ac:dyDescent="0.25">
      <c r="A20">
        <v>0.110857</v>
      </c>
      <c r="B20" s="1">
        <f>DATE(2010,5,1) + TIME(2,39,38)</f>
        <v>40299.110856481479</v>
      </c>
      <c r="C20">
        <v>80</v>
      </c>
      <c r="D20">
        <v>23.715047836</v>
      </c>
      <c r="E20">
        <v>50</v>
      </c>
      <c r="F20">
        <v>14.991014481000001</v>
      </c>
      <c r="G20">
        <v>1454.4493408000001</v>
      </c>
      <c r="H20">
        <v>1417.8720702999999</v>
      </c>
      <c r="I20">
        <v>1238.3294678</v>
      </c>
      <c r="J20">
        <v>1193.1423339999999</v>
      </c>
      <c r="K20">
        <v>2750</v>
      </c>
      <c r="L20">
        <v>0</v>
      </c>
      <c r="M20">
        <v>0</v>
      </c>
      <c r="N20">
        <v>2750</v>
      </c>
    </row>
    <row r="21" spans="1:14" x14ac:dyDescent="0.25">
      <c r="A21">
        <v>0.124311</v>
      </c>
      <c r="B21" s="1">
        <f>DATE(2010,5,1) + TIME(2,59,0)</f>
        <v>40299.124305555553</v>
      </c>
      <c r="C21">
        <v>80</v>
      </c>
      <c r="D21">
        <v>24.699966431</v>
      </c>
      <c r="E21">
        <v>50</v>
      </c>
      <c r="F21">
        <v>14.99105072</v>
      </c>
      <c r="G21">
        <v>1453.3907471</v>
      </c>
      <c r="H21">
        <v>1417.6042480000001</v>
      </c>
      <c r="I21">
        <v>1238.3067627</v>
      </c>
      <c r="J21">
        <v>1193.1196289</v>
      </c>
      <c r="K21">
        <v>2750</v>
      </c>
      <c r="L21">
        <v>0</v>
      </c>
      <c r="M21">
        <v>0</v>
      </c>
      <c r="N21">
        <v>2750</v>
      </c>
    </row>
    <row r="22" spans="1:14" x14ac:dyDescent="0.25">
      <c r="A22">
        <v>0.13797200000000001</v>
      </c>
      <c r="B22" s="1">
        <f>DATE(2010,5,1) + TIME(3,18,40)</f>
        <v>40299.137962962966</v>
      </c>
      <c r="C22">
        <v>80</v>
      </c>
      <c r="D22">
        <v>25.685037612999999</v>
      </c>
      <c r="E22">
        <v>50</v>
      </c>
      <c r="F22">
        <v>14.991088867</v>
      </c>
      <c r="G22">
        <v>1452.333374</v>
      </c>
      <c r="H22">
        <v>1417.3076172000001</v>
      </c>
      <c r="I22">
        <v>1238.3054199000001</v>
      </c>
      <c r="J22">
        <v>1193.1181641000001</v>
      </c>
      <c r="K22">
        <v>2750</v>
      </c>
      <c r="L22">
        <v>0</v>
      </c>
      <c r="M22">
        <v>0</v>
      </c>
      <c r="N22">
        <v>2750</v>
      </c>
    </row>
    <row r="23" spans="1:14" x14ac:dyDescent="0.25">
      <c r="A23">
        <v>0.15184</v>
      </c>
      <c r="B23" s="1">
        <f>DATE(2010,5,1) + TIME(3,38,38)</f>
        <v>40299.151828703703</v>
      </c>
      <c r="C23">
        <v>80</v>
      </c>
      <c r="D23">
        <v>26.669548034999998</v>
      </c>
      <c r="E23">
        <v>50</v>
      </c>
      <c r="F23">
        <v>14.991127968000001</v>
      </c>
      <c r="G23">
        <v>1451.2906493999999</v>
      </c>
      <c r="H23">
        <v>1416.9967041</v>
      </c>
      <c r="I23">
        <v>1238.3138428</v>
      </c>
      <c r="J23">
        <v>1193.1267089999999</v>
      </c>
      <c r="K23">
        <v>2750</v>
      </c>
      <c r="L23">
        <v>0</v>
      </c>
      <c r="M23">
        <v>0</v>
      </c>
      <c r="N23">
        <v>2750</v>
      </c>
    </row>
    <row r="24" spans="1:14" x14ac:dyDescent="0.25">
      <c r="A24">
        <v>0.16592599999999999</v>
      </c>
      <c r="B24" s="1">
        <f>DATE(2010,5,1) + TIME(3,58,55)</f>
        <v>40299.165914351855</v>
      </c>
      <c r="C24">
        <v>80</v>
      </c>
      <c r="D24">
        <v>27.653530120999999</v>
      </c>
      <c r="E24">
        <v>50</v>
      </c>
      <c r="F24">
        <v>14.991167067999999</v>
      </c>
      <c r="G24">
        <v>1450.2696533000001</v>
      </c>
      <c r="H24">
        <v>1416.6800536999999</v>
      </c>
      <c r="I24">
        <v>1238.3260498</v>
      </c>
      <c r="J24">
        <v>1193.1389160000001</v>
      </c>
      <c r="K24">
        <v>2750</v>
      </c>
      <c r="L24">
        <v>0</v>
      </c>
      <c r="M24">
        <v>0</v>
      </c>
      <c r="N24">
        <v>2750</v>
      </c>
    </row>
    <row r="25" spans="1:14" x14ac:dyDescent="0.25">
      <c r="A25">
        <v>0.18024100000000001</v>
      </c>
      <c r="B25" s="1">
        <f>DATE(2010,5,1) + TIME(4,19,32)</f>
        <v>40299.180231481485</v>
      </c>
      <c r="C25">
        <v>80</v>
      </c>
      <c r="D25">
        <v>28.637170791999999</v>
      </c>
      <c r="E25">
        <v>50</v>
      </c>
      <c r="F25">
        <v>14.991207123000001</v>
      </c>
      <c r="G25">
        <v>1449.2746582</v>
      </c>
      <c r="H25">
        <v>1416.3634033000001</v>
      </c>
      <c r="I25">
        <v>1238.3388672000001</v>
      </c>
      <c r="J25">
        <v>1193.1516113</v>
      </c>
      <c r="K25">
        <v>2750</v>
      </c>
      <c r="L25">
        <v>0</v>
      </c>
      <c r="M25">
        <v>0</v>
      </c>
      <c r="N25">
        <v>2750</v>
      </c>
    </row>
    <row r="26" spans="1:14" x14ac:dyDescent="0.25">
      <c r="A26">
        <v>0.19479399999999999</v>
      </c>
      <c r="B26" s="1">
        <f>DATE(2010,5,1) + TIME(4,40,30)</f>
        <v>40299.194791666669</v>
      </c>
      <c r="C26">
        <v>80</v>
      </c>
      <c r="D26">
        <v>29.620456696000002</v>
      </c>
      <c r="E26">
        <v>50</v>
      </c>
      <c r="F26">
        <v>14.991246222999999</v>
      </c>
      <c r="G26">
        <v>1448.3077393000001</v>
      </c>
      <c r="H26">
        <v>1416.0500488</v>
      </c>
      <c r="I26">
        <v>1238.3507079999999</v>
      </c>
      <c r="J26">
        <v>1193.1634521000001</v>
      </c>
      <c r="K26">
        <v>2750</v>
      </c>
      <c r="L26">
        <v>0</v>
      </c>
      <c r="M26">
        <v>0</v>
      </c>
      <c r="N26">
        <v>2750</v>
      </c>
    </row>
    <row r="27" spans="1:14" x14ac:dyDescent="0.25">
      <c r="A27">
        <v>0.209595</v>
      </c>
      <c r="B27" s="1">
        <f>DATE(2010,5,1) + TIME(5,1,48)</f>
        <v>40299.209583333337</v>
      </c>
      <c r="C27">
        <v>80</v>
      </c>
      <c r="D27">
        <v>30.603511810000001</v>
      </c>
      <c r="E27">
        <v>50</v>
      </c>
      <c r="F27">
        <v>14.991285324</v>
      </c>
      <c r="G27">
        <v>1447.369751</v>
      </c>
      <c r="H27">
        <v>1415.7419434000001</v>
      </c>
      <c r="I27">
        <v>1238.3610839999999</v>
      </c>
      <c r="J27">
        <v>1193.1738281</v>
      </c>
      <c r="K27">
        <v>2750</v>
      </c>
      <c r="L27">
        <v>0</v>
      </c>
      <c r="M27">
        <v>0</v>
      </c>
      <c r="N27">
        <v>2750</v>
      </c>
    </row>
    <row r="28" spans="1:14" x14ac:dyDescent="0.25">
      <c r="A28">
        <v>0.22464999999999999</v>
      </c>
      <c r="B28" s="1">
        <f>DATE(2010,5,1) + TIME(5,23,29)</f>
        <v>40299.224641203706</v>
      </c>
      <c r="C28">
        <v>80</v>
      </c>
      <c r="D28">
        <v>31.586141586</v>
      </c>
      <c r="E28">
        <v>50</v>
      </c>
      <c r="F28">
        <v>14.991324425</v>
      </c>
      <c r="G28">
        <v>1446.4606934000001</v>
      </c>
      <c r="H28">
        <v>1415.4404297000001</v>
      </c>
      <c r="I28">
        <v>1238.3699951000001</v>
      </c>
      <c r="J28">
        <v>1193.1827393000001</v>
      </c>
      <c r="K28">
        <v>2750</v>
      </c>
      <c r="L28">
        <v>0</v>
      </c>
      <c r="M28">
        <v>0</v>
      </c>
      <c r="N28">
        <v>2750</v>
      </c>
    </row>
    <row r="29" spans="1:14" x14ac:dyDescent="0.25">
      <c r="A29">
        <v>0.23997199999999999</v>
      </c>
      <c r="B29" s="1">
        <f>DATE(2010,5,1) + TIME(5,45,33)</f>
        <v>40299.239965277775</v>
      </c>
      <c r="C29">
        <v>80</v>
      </c>
      <c r="D29">
        <v>32.568294524999999</v>
      </c>
      <c r="E29">
        <v>50</v>
      </c>
      <c r="F29">
        <v>14.991364479</v>
      </c>
      <c r="G29">
        <v>1445.5804443</v>
      </c>
      <c r="H29">
        <v>1415.1459961</v>
      </c>
      <c r="I29">
        <v>1238.3773193</v>
      </c>
      <c r="J29">
        <v>1193.1900635</v>
      </c>
      <c r="K29">
        <v>2750</v>
      </c>
      <c r="L29">
        <v>0</v>
      </c>
      <c r="M29">
        <v>0</v>
      </c>
      <c r="N29">
        <v>2750</v>
      </c>
    </row>
    <row r="30" spans="1:14" x14ac:dyDescent="0.25">
      <c r="A30">
        <v>0.25557299999999999</v>
      </c>
      <c r="B30" s="1">
        <f>DATE(2010,5,1) + TIME(6,8,1)</f>
        <v>40299.255567129629</v>
      </c>
      <c r="C30">
        <v>80</v>
      </c>
      <c r="D30">
        <v>33.550037383999999</v>
      </c>
      <c r="E30">
        <v>50</v>
      </c>
      <c r="F30">
        <v>14.99140358</v>
      </c>
      <c r="G30">
        <v>1444.7281493999999</v>
      </c>
      <c r="H30">
        <v>1414.8590088000001</v>
      </c>
      <c r="I30">
        <v>1238.3834228999999</v>
      </c>
      <c r="J30">
        <v>1193.1961670000001</v>
      </c>
      <c r="K30">
        <v>2750</v>
      </c>
      <c r="L30">
        <v>0</v>
      </c>
      <c r="M30">
        <v>0</v>
      </c>
      <c r="N30">
        <v>2750</v>
      </c>
    </row>
    <row r="31" spans="1:14" x14ac:dyDescent="0.25">
      <c r="A31">
        <v>0.27146300000000001</v>
      </c>
      <c r="B31" s="1">
        <f>DATE(2010,5,1) + TIME(6,30,54)</f>
        <v>40299.271458333336</v>
      </c>
      <c r="C31">
        <v>80</v>
      </c>
      <c r="D31">
        <v>34.531349182</v>
      </c>
      <c r="E31">
        <v>50</v>
      </c>
      <c r="F31">
        <v>14.99144268</v>
      </c>
      <c r="G31">
        <v>1443.9030762</v>
      </c>
      <c r="H31">
        <v>1414.5797118999999</v>
      </c>
      <c r="I31">
        <v>1238.3885498</v>
      </c>
      <c r="J31">
        <v>1193.2012939000001</v>
      </c>
      <c r="K31">
        <v>2750</v>
      </c>
      <c r="L31">
        <v>0</v>
      </c>
      <c r="M31">
        <v>0</v>
      </c>
      <c r="N31">
        <v>2750</v>
      </c>
    </row>
    <row r="32" spans="1:14" x14ac:dyDescent="0.25">
      <c r="A32">
        <v>0.28765600000000002</v>
      </c>
      <c r="B32" s="1">
        <f>DATE(2010,5,1) + TIME(6,54,13)</f>
        <v>40299.28765046296</v>
      </c>
      <c r="C32">
        <v>80</v>
      </c>
      <c r="D32">
        <v>35.512222289999997</v>
      </c>
      <c r="E32">
        <v>50</v>
      </c>
      <c r="F32">
        <v>14.991481780999999</v>
      </c>
      <c r="G32">
        <v>1443.104126</v>
      </c>
      <c r="H32">
        <v>1414.3077393000001</v>
      </c>
      <c r="I32">
        <v>1238.3928223</v>
      </c>
      <c r="J32">
        <v>1193.2054443</v>
      </c>
      <c r="K32">
        <v>2750</v>
      </c>
      <c r="L32">
        <v>0</v>
      </c>
      <c r="M32">
        <v>0</v>
      </c>
      <c r="N32">
        <v>2750</v>
      </c>
    </row>
    <row r="33" spans="1:14" x14ac:dyDescent="0.25">
      <c r="A33">
        <v>0.30416500000000002</v>
      </c>
      <c r="B33" s="1">
        <f>DATE(2010,5,1) + TIME(7,17,59)</f>
        <v>40299.304155092592</v>
      </c>
      <c r="C33">
        <v>80</v>
      </c>
      <c r="D33">
        <v>36.492630005000002</v>
      </c>
      <c r="E33">
        <v>50</v>
      </c>
      <c r="F33">
        <v>14.991520882</v>
      </c>
      <c r="G33">
        <v>1442.3303223</v>
      </c>
      <c r="H33">
        <v>1414.0430908000001</v>
      </c>
      <c r="I33">
        <v>1238.3963623</v>
      </c>
      <c r="J33">
        <v>1193.2089844</v>
      </c>
      <c r="K33">
        <v>2750</v>
      </c>
      <c r="L33">
        <v>0</v>
      </c>
      <c r="M33">
        <v>0</v>
      </c>
      <c r="N33">
        <v>2750</v>
      </c>
    </row>
    <row r="34" spans="1:14" x14ac:dyDescent="0.25">
      <c r="A34">
        <v>0.32100400000000001</v>
      </c>
      <c r="B34" s="1">
        <f>DATE(2010,5,1) + TIME(7,42,14)</f>
        <v>40299.32099537037</v>
      </c>
      <c r="C34">
        <v>80</v>
      </c>
      <c r="D34">
        <v>37.472557068</v>
      </c>
      <c r="E34">
        <v>50</v>
      </c>
      <c r="F34">
        <v>14.991559982</v>
      </c>
      <c r="G34">
        <v>1441.5808105000001</v>
      </c>
      <c r="H34">
        <v>1413.7855225000001</v>
      </c>
      <c r="I34">
        <v>1238.3994141000001</v>
      </c>
      <c r="J34">
        <v>1193.2120361</v>
      </c>
      <c r="K34">
        <v>2750</v>
      </c>
      <c r="L34">
        <v>0</v>
      </c>
      <c r="M34">
        <v>0</v>
      </c>
      <c r="N34">
        <v>2750</v>
      </c>
    </row>
    <row r="35" spans="1:14" x14ac:dyDescent="0.25">
      <c r="A35">
        <v>0.33818700000000002</v>
      </c>
      <c r="B35" s="1">
        <f>DATE(2010,5,1) + TIME(8,6,59)</f>
        <v>40299.338182870371</v>
      </c>
      <c r="C35">
        <v>80</v>
      </c>
      <c r="D35">
        <v>38.451980591000002</v>
      </c>
      <c r="E35">
        <v>50</v>
      </c>
      <c r="F35">
        <v>14.991599083000001</v>
      </c>
      <c r="G35">
        <v>1440.8543701000001</v>
      </c>
      <c r="H35">
        <v>1413.534668</v>
      </c>
      <c r="I35">
        <v>1238.4020995999999</v>
      </c>
      <c r="J35">
        <v>1193.2145995999999</v>
      </c>
      <c r="K35">
        <v>2750</v>
      </c>
      <c r="L35">
        <v>0</v>
      </c>
      <c r="M35">
        <v>0</v>
      </c>
      <c r="N35">
        <v>2750</v>
      </c>
    </row>
    <row r="36" spans="1:14" x14ac:dyDescent="0.25">
      <c r="A36">
        <v>0.35573199999999999</v>
      </c>
      <c r="B36" s="1">
        <f>DATE(2010,5,1) + TIME(8,32,15)</f>
        <v>40299.355729166666</v>
      </c>
      <c r="C36">
        <v>80</v>
      </c>
      <c r="D36">
        <v>39.430877686000002</v>
      </c>
      <c r="E36">
        <v>50</v>
      </c>
      <c r="F36">
        <v>14.991638183999999</v>
      </c>
      <c r="G36">
        <v>1440.1501464999999</v>
      </c>
      <c r="H36">
        <v>1413.2902832</v>
      </c>
      <c r="I36">
        <v>1238.4042969</v>
      </c>
      <c r="J36">
        <v>1193.2167969</v>
      </c>
      <c r="K36">
        <v>2750</v>
      </c>
      <c r="L36">
        <v>0</v>
      </c>
      <c r="M36">
        <v>0</v>
      </c>
      <c r="N36">
        <v>2750</v>
      </c>
    </row>
    <row r="37" spans="1:14" x14ac:dyDescent="0.25">
      <c r="A37">
        <v>0.37365500000000001</v>
      </c>
      <c r="B37" s="1">
        <f>DATE(2010,5,1) + TIME(8,58,3)</f>
        <v>40299.373645833337</v>
      </c>
      <c r="C37">
        <v>80</v>
      </c>
      <c r="D37">
        <v>40.409320831000002</v>
      </c>
      <c r="E37">
        <v>50</v>
      </c>
      <c r="F37">
        <v>14.991677284</v>
      </c>
      <c r="G37">
        <v>1439.4670410000001</v>
      </c>
      <c r="H37">
        <v>1413.052124</v>
      </c>
      <c r="I37">
        <v>1238.4063721</v>
      </c>
      <c r="J37">
        <v>1193.21875</v>
      </c>
      <c r="K37">
        <v>2750</v>
      </c>
      <c r="L37">
        <v>0</v>
      </c>
      <c r="M37">
        <v>0</v>
      </c>
      <c r="N37">
        <v>2750</v>
      </c>
    </row>
    <row r="38" spans="1:14" x14ac:dyDescent="0.25">
      <c r="A38">
        <v>0.39197300000000002</v>
      </c>
      <c r="B38" s="1">
        <f>DATE(2010,5,1) + TIME(9,24,26)</f>
        <v>40299.391967592594</v>
      </c>
      <c r="C38">
        <v>80</v>
      </c>
      <c r="D38">
        <v>41.387226105000003</v>
      </c>
      <c r="E38">
        <v>50</v>
      </c>
      <c r="F38">
        <v>14.991717338999999</v>
      </c>
      <c r="G38">
        <v>1438.8041992000001</v>
      </c>
      <c r="H38">
        <v>1412.8197021000001</v>
      </c>
      <c r="I38">
        <v>1238.4082031</v>
      </c>
      <c r="J38">
        <v>1193.2205810999999</v>
      </c>
      <c r="K38">
        <v>2750</v>
      </c>
      <c r="L38">
        <v>0</v>
      </c>
      <c r="M38">
        <v>0</v>
      </c>
      <c r="N38">
        <v>2750</v>
      </c>
    </row>
    <row r="39" spans="1:14" x14ac:dyDescent="0.25">
      <c r="A39">
        <v>0.41070400000000001</v>
      </c>
      <c r="B39" s="1">
        <f>DATE(2010,5,1) + TIME(9,51,24)</f>
        <v>40299.410694444443</v>
      </c>
      <c r="C39">
        <v>80</v>
      </c>
      <c r="D39">
        <v>42.364406586000001</v>
      </c>
      <c r="E39">
        <v>50</v>
      </c>
      <c r="F39">
        <v>14.991756439</v>
      </c>
      <c r="G39">
        <v>1438.1606445</v>
      </c>
      <c r="H39">
        <v>1412.5927733999999</v>
      </c>
      <c r="I39">
        <v>1238.4097899999999</v>
      </c>
      <c r="J39">
        <v>1193.222168</v>
      </c>
      <c r="K39">
        <v>2750</v>
      </c>
      <c r="L39">
        <v>0</v>
      </c>
      <c r="M39">
        <v>0</v>
      </c>
      <c r="N39">
        <v>2750</v>
      </c>
    </row>
    <row r="40" spans="1:14" x14ac:dyDescent="0.25">
      <c r="A40">
        <v>0.42987300000000001</v>
      </c>
      <c r="B40" s="1">
        <f>DATE(2010,5,1) + TIME(10,19,1)</f>
        <v>40299.429872685185</v>
      </c>
      <c r="C40">
        <v>80</v>
      </c>
      <c r="D40">
        <v>43.340950012</v>
      </c>
      <c r="E40">
        <v>50</v>
      </c>
      <c r="F40">
        <v>14.991796494000001</v>
      </c>
      <c r="G40">
        <v>1437.5354004000001</v>
      </c>
      <c r="H40">
        <v>1412.3708495999999</v>
      </c>
      <c r="I40">
        <v>1238.4112548999999</v>
      </c>
      <c r="J40">
        <v>1193.2235106999999</v>
      </c>
      <c r="K40">
        <v>2750</v>
      </c>
      <c r="L40">
        <v>0</v>
      </c>
      <c r="M40">
        <v>0</v>
      </c>
      <c r="N40">
        <v>2750</v>
      </c>
    </row>
    <row r="41" spans="1:14" x14ac:dyDescent="0.25">
      <c r="A41">
        <v>0.44950299999999999</v>
      </c>
      <c r="B41" s="1">
        <f>DATE(2010,5,1) + TIME(10,47,17)</f>
        <v>40299.449502314812</v>
      </c>
      <c r="C41">
        <v>80</v>
      </c>
      <c r="D41">
        <v>44.316825866999999</v>
      </c>
      <c r="E41">
        <v>50</v>
      </c>
      <c r="F41">
        <v>14.991836548</v>
      </c>
      <c r="G41">
        <v>1436.9277344</v>
      </c>
      <c r="H41">
        <v>1412.1538086</v>
      </c>
      <c r="I41">
        <v>1238.4125977000001</v>
      </c>
      <c r="J41">
        <v>1193.2248535000001</v>
      </c>
      <c r="K41">
        <v>2750</v>
      </c>
      <c r="L41">
        <v>0</v>
      </c>
      <c r="M41">
        <v>0</v>
      </c>
      <c r="N41">
        <v>2750</v>
      </c>
    </row>
    <row r="42" spans="1:14" x14ac:dyDescent="0.25">
      <c r="A42">
        <v>0.46961799999999998</v>
      </c>
      <c r="B42" s="1">
        <f>DATE(2010,5,1) + TIME(11,16,14)</f>
        <v>40299.469606481478</v>
      </c>
      <c r="C42">
        <v>80</v>
      </c>
      <c r="D42">
        <v>45.291999816999997</v>
      </c>
      <c r="E42">
        <v>50</v>
      </c>
      <c r="F42">
        <v>14.991876602</v>
      </c>
      <c r="G42">
        <v>1436.3367920000001</v>
      </c>
      <c r="H42">
        <v>1411.9411620999999</v>
      </c>
      <c r="I42">
        <v>1238.4138184000001</v>
      </c>
      <c r="J42">
        <v>1193.2260742000001</v>
      </c>
      <c r="K42">
        <v>2750</v>
      </c>
      <c r="L42">
        <v>0</v>
      </c>
      <c r="M42">
        <v>0</v>
      </c>
      <c r="N42">
        <v>2750</v>
      </c>
    </row>
    <row r="43" spans="1:14" x14ac:dyDescent="0.25">
      <c r="A43">
        <v>0.49024499999999999</v>
      </c>
      <c r="B43" s="1">
        <f>DATE(2010,5,1) + TIME(11,45,57)</f>
        <v>40299.490243055552</v>
      </c>
      <c r="C43">
        <v>80</v>
      </c>
      <c r="D43">
        <v>46.266433716000002</v>
      </c>
      <c r="E43">
        <v>50</v>
      </c>
      <c r="F43">
        <v>14.991916656000001</v>
      </c>
      <c r="G43">
        <v>1435.7617187999999</v>
      </c>
      <c r="H43">
        <v>1411.7327881000001</v>
      </c>
      <c r="I43">
        <v>1238.4150391000001</v>
      </c>
      <c r="J43">
        <v>1193.2271728999999</v>
      </c>
      <c r="K43">
        <v>2750</v>
      </c>
      <c r="L43">
        <v>0</v>
      </c>
      <c r="M43">
        <v>0</v>
      </c>
      <c r="N43">
        <v>2750</v>
      </c>
    </row>
    <row r="44" spans="1:14" x14ac:dyDescent="0.25">
      <c r="A44">
        <v>0.51141300000000001</v>
      </c>
      <c r="B44" s="1">
        <f>DATE(2010,5,1) + TIME(12,16,26)</f>
        <v>40299.511412037034</v>
      </c>
      <c r="C44">
        <v>80</v>
      </c>
      <c r="D44">
        <v>47.240085602000001</v>
      </c>
      <c r="E44">
        <v>50</v>
      </c>
      <c r="F44">
        <v>14.991956711</v>
      </c>
      <c r="G44">
        <v>1435.2016602000001</v>
      </c>
      <c r="H44">
        <v>1411.5280762</v>
      </c>
      <c r="I44">
        <v>1238.4161377</v>
      </c>
      <c r="J44">
        <v>1193.2281493999999</v>
      </c>
      <c r="K44">
        <v>2750</v>
      </c>
      <c r="L44">
        <v>0</v>
      </c>
      <c r="M44">
        <v>0</v>
      </c>
      <c r="N44">
        <v>2750</v>
      </c>
    </row>
    <row r="45" spans="1:14" x14ac:dyDescent="0.25">
      <c r="A45">
        <v>0.53315400000000002</v>
      </c>
      <c r="B45" s="1">
        <f>DATE(2010,5,1) + TIME(12,47,44)</f>
        <v>40299.533148148148</v>
      </c>
      <c r="C45">
        <v>80</v>
      </c>
      <c r="D45">
        <v>48.212909697999997</v>
      </c>
      <c r="E45">
        <v>50</v>
      </c>
      <c r="F45">
        <v>14.991997719</v>
      </c>
      <c r="G45">
        <v>1434.6561279</v>
      </c>
      <c r="H45">
        <v>1411.3267822</v>
      </c>
      <c r="I45">
        <v>1238.4171143000001</v>
      </c>
      <c r="J45">
        <v>1193.229126</v>
      </c>
      <c r="K45">
        <v>2750</v>
      </c>
      <c r="L45">
        <v>0</v>
      </c>
      <c r="M45">
        <v>0</v>
      </c>
      <c r="N45">
        <v>2750</v>
      </c>
    </row>
    <row r="46" spans="1:14" x14ac:dyDescent="0.25">
      <c r="A46">
        <v>0.55550200000000005</v>
      </c>
      <c r="B46" s="1">
        <f>DATE(2010,5,1) + TIME(13,19,55)</f>
        <v>40299.555497685185</v>
      </c>
      <c r="C46">
        <v>80</v>
      </c>
      <c r="D46">
        <v>49.184860229000002</v>
      </c>
      <c r="E46">
        <v>50</v>
      </c>
      <c r="F46">
        <v>14.992038727000001</v>
      </c>
      <c r="G46">
        <v>1434.1241454999999</v>
      </c>
      <c r="H46">
        <v>1411.1287841999999</v>
      </c>
      <c r="I46">
        <v>1238.4180908000001</v>
      </c>
      <c r="J46">
        <v>1193.2299805</v>
      </c>
      <c r="K46">
        <v>2750</v>
      </c>
      <c r="L46">
        <v>0</v>
      </c>
      <c r="M46">
        <v>0</v>
      </c>
      <c r="N46">
        <v>2750</v>
      </c>
    </row>
    <row r="47" spans="1:14" x14ac:dyDescent="0.25">
      <c r="A47">
        <v>0.57849499999999998</v>
      </c>
      <c r="B47" s="1">
        <f>DATE(2010,5,1) + TIME(13,53,1)</f>
        <v>40299.578483796293</v>
      </c>
      <c r="C47">
        <v>80</v>
      </c>
      <c r="D47">
        <v>50.155807494999998</v>
      </c>
      <c r="E47">
        <v>50</v>
      </c>
      <c r="F47">
        <v>14.992079735000001</v>
      </c>
      <c r="G47">
        <v>1433.6051024999999</v>
      </c>
      <c r="H47">
        <v>1410.9335937999999</v>
      </c>
      <c r="I47">
        <v>1238.4189452999999</v>
      </c>
      <c r="J47">
        <v>1193.2308350000001</v>
      </c>
      <c r="K47">
        <v>2750</v>
      </c>
      <c r="L47">
        <v>0</v>
      </c>
      <c r="M47">
        <v>0</v>
      </c>
      <c r="N47">
        <v>2750</v>
      </c>
    </row>
    <row r="48" spans="1:14" x14ac:dyDescent="0.25">
      <c r="A48">
        <v>0.60217600000000004</v>
      </c>
      <c r="B48" s="1">
        <f>DATE(2010,5,1) + TIME(14,27,8)</f>
        <v>40299.602175925924</v>
      </c>
      <c r="C48">
        <v>80</v>
      </c>
      <c r="D48">
        <v>51.125450133999998</v>
      </c>
      <c r="E48">
        <v>50</v>
      </c>
      <c r="F48">
        <v>14.992120742999999</v>
      </c>
      <c r="G48">
        <v>1433.0982666</v>
      </c>
      <c r="H48">
        <v>1410.7408447</v>
      </c>
      <c r="I48">
        <v>1238.4197998</v>
      </c>
      <c r="J48">
        <v>1193.2316894999999</v>
      </c>
      <c r="K48">
        <v>2750</v>
      </c>
      <c r="L48">
        <v>0</v>
      </c>
      <c r="M48">
        <v>0</v>
      </c>
      <c r="N48">
        <v>2750</v>
      </c>
    </row>
    <row r="49" spans="1:14" x14ac:dyDescent="0.25">
      <c r="A49">
        <v>0.62659900000000002</v>
      </c>
      <c r="B49" s="1">
        <f>DATE(2010,5,1) + TIME(15,2,18)</f>
        <v>40299.626597222225</v>
      </c>
      <c r="C49">
        <v>80</v>
      </c>
      <c r="D49">
        <v>52.094398499</v>
      </c>
      <c r="E49">
        <v>50</v>
      </c>
      <c r="F49">
        <v>14.992162704</v>
      </c>
      <c r="G49">
        <v>1432.6030272999999</v>
      </c>
      <c r="H49">
        <v>1410.550293</v>
      </c>
      <c r="I49">
        <v>1238.4206543</v>
      </c>
      <c r="J49">
        <v>1193.2324219</v>
      </c>
      <c r="K49">
        <v>2750</v>
      </c>
      <c r="L49">
        <v>0</v>
      </c>
      <c r="M49">
        <v>0</v>
      </c>
      <c r="N49">
        <v>2750</v>
      </c>
    </row>
    <row r="50" spans="1:14" x14ac:dyDescent="0.25">
      <c r="A50">
        <v>0.65180400000000005</v>
      </c>
      <c r="B50" s="1">
        <f>DATE(2010,5,1) + TIME(15,38,35)</f>
        <v>40299.65179398148</v>
      </c>
      <c r="C50">
        <v>80</v>
      </c>
      <c r="D50">
        <v>53.062229156000001</v>
      </c>
      <c r="E50">
        <v>50</v>
      </c>
      <c r="F50">
        <v>14.992204665999999</v>
      </c>
      <c r="G50">
        <v>1432.1186522999999</v>
      </c>
      <c r="H50">
        <v>1410.3616943</v>
      </c>
      <c r="I50">
        <v>1238.4213867000001</v>
      </c>
      <c r="J50">
        <v>1193.2331543</v>
      </c>
      <c r="K50">
        <v>2750</v>
      </c>
      <c r="L50">
        <v>0</v>
      </c>
      <c r="M50">
        <v>0</v>
      </c>
      <c r="N50">
        <v>2750</v>
      </c>
    </row>
    <row r="51" spans="1:14" x14ac:dyDescent="0.25">
      <c r="A51">
        <v>0.67784699999999998</v>
      </c>
      <c r="B51" s="1">
        <f>DATE(2010,5,1) + TIME(16,16,5)</f>
        <v>40299.677835648145</v>
      </c>
      <c r="C51">
        <v>80</v>
      </c>
      <c r="D51">
        <v>54.028861999999997</v>
      </c>
      <c r="E51">
        <v>50</v>
      </c>
      <c r="F51">
        <v>14.992247581000001</v>
      </c>
      <c r="G51">
        <v>1431.6446533000001</v>
      </c>
      <c r="H51">
        <v>1410.1746826000001</v>
      </c>
      <c r="I51">
        <v>1238.4222411999999</v>
      </c>
      <c r="J51">
        <v>1193.2337646000001</v>
      </c>
      <c r="K51">
        <v>2750</v>
      </c>
      <c r="L51">
        <v>0</v>
      </c>
      <c r="M51">
        <v>0</v>
      </c>
      <c r="N51">
        <v>2750</v>
      </c>
    </row>
    <row r="52" spans="1:14" x14ac:dyDescent="0.25">
      <c r="A52">
        <v>0.704789</v>
      </c>
      <c r="B52" s="1">
        <f>DATE(2010,5,1) + TIME(16,54,53)</f>
        <v>40299.704780092594</v>
      </c>
      <c r="C52">
        <v>80</v>
      </c>
      <c r="D52">
        <v>54.994205475000001</v>
      </c>
      <c r="E52">
        <v>50</v>
      </c>
      <c r="F52">
        <v>14.992289543</v>
      </c>
      <c r="G52">
        <v>1431.1802978999999</v>
      </c>
      <c r="H52">
        <v>1409.9888916</v>
      </c>
      <c r="I52">
        <v>1238.4229736</v>
      </c>
      <c r="J52">
        <v>1193.2344971</v>
      </c>
      <c r="K52">
        <v>2750</v>
      </c>
      <c r="L52">
        <v>0</v>
      </c>
      <c r="M52">
        <v>0</v>
      </c>
      <c r="N52">
        <v>2750</v>
      </c>
    </row>
    <row r="53" spans="1:14" x14ac:dyDescent="0.25">
      <c r="A53">
        <v>0.73269799999999996</v>
      </c>
      <c r="B53" s="1">
        <f>DATE(2010,5,1) + TIME(17,35,5)</f>
        <v>40299.73269675926</v>
      </c>
      <c r="C53">
        <v>80</v>
      </c>
      <c r="D53">
        <v>55.958168030000003</v>
      </c>
      <c r="E53">
        <v>50</v>
      </c>
      <c r="F53">
        <v>14.992333412000001</v>
      </c>
      <c r="G53">
        <v>1430.7249756000001</v>
      </c>
      <c r="H53">
        <v>1409.8039550999999</v>
      </c>
      <c r="I53">
        <v>1238.4237060999999</v>
      </c>
      <c r="J53">
        <v>1193.2351074000001</v>
      </c>
      <c r="K53">
        <v>2750</v>
      </c>
      <c r="L53">
        <v>0</v>
      </c>
      <c r="M53">
        <v>0</v>
      </c>
      <c r="N53">
        <v>2750</v>
      </c>
    </row>
    <row r="54" spans="1:14" x14ac:dyDescent="0.25">
      <c r="A54">
        <v>0.76165099999999997</v>
      </c>
      <c r="B54" s="1">
        <f>DATE(2010,5,1) + TIME(18,16,46)</f>
        <v>40299.761643518519</v>
      </c>
      <c r="C54">
        <v>80</v>
      </c>
      <c r="D54">
        <v>56.920646667</v>
      </c>
      <c r="E54">
        <v>50</v>
      </c>
      <c r="F54">
        <v>14.992376328000001</v>
      </c>
      <c r="G54">
        <v>1430.2780762</v>
      </c>
      <c r="H54">
        <v>1409.6196289</v>
      </c>
      <c r="I54">
        <v>1238.4243164</v>
      </c>
      <c r="J54">
        <v>1193.2357178</v>
      </c>
      <c r="K54">
        <v>2750</v>
      </c>
      <c r="L54">
        <v>0</v>
      </c>
      <c r="M54">
        <v>0</v>
      </c>
      <c r="N54">
        <v>2750</v>
      </c>
    </row>
    <row r="55" spans="1:14" x14ac:dyDescent="0.25">
      <c r="A55">
        <v>0.79173199999999999</v>
      </c>
      <c r="B55" s="1">
        <f>DATE(2010,5,1) + TIME(19,0,5)</f>
        <v>40299.791724537034</v>
      </c>
      <c r="C55">
        <v>80</v>
      </c>
      <c r="D55">
        <v>57.881523131999998</v>
      </c>
      <c r="E55">
        <v>50</v>
      </c>
      <c r="F55">
        <v>14.992420197</v>
      </c>
      <c r="G55">
        <v>1429.8391113</v>
      </c>
      <c r="H55">
        <v>1409.4355469</v>
      </c>
      <c r="I55">
        <v>1238.4250488</v>
      </c>
      <c r="J55">
        <v>1193.2363281</v>
      </c>
      <c r="K55">
        <v>2750</v>
      </c>
      <c r="L55">
        <v>0</v>
      </c>
      <c r="M55">
        <v>0</v>
      </c>
      <c r="N55">
        <v>2750</v>
      </c>
    </row>
    <row r="56" spans="1:14" x14ac:dyDescent="0.25">
      <c r="A56">
        <v>0.82303800000000005</v>
      </c>
      <c r="B56" s="1">
        <f>DATE(2010,5,1) + TIME(19,45,10)</f>
        <v>40299.82303240741</v>
      </c>
      <c r="C56">
        <v>80</v>
      </c>
      <c r="D56">
        <v>58.840660094999997</v>
      </c>
      <c r="E56">
        <v>50</v>
      </c>
      <c r="F56">
        <v>14.992465019000001</v>
      </c>
      <c r="G56">
        <v>1429.4072266000001</v>
      </c>
      <c r="H56">
        <v>1409.2512207</v>
      </c>
      <c r="I56">
        <v>1238.4257812000001</v>
      </c>
      <c r="J56">
        <v>1193.2369385</v>
      </c>
      <c r="K56">
        <v>2750</v>
      </c>
      <c r="L56">
        <v>0</v>
      </c>
      <c r="M56">
        <v>0</v>
      </c>
      <c r="N56">
        <v>2750</v>
      </c>
    </row>
    <row r="57" spans="1:14" x14ac:dyDescent="0.25">
      <c r="A57">
        <v>0.85567800000000005</v>
      </c>
      <c r="B57" s="1">
        <f>DATE(2010,5,1) + TIME(20,32,10)</f>
        <v>40299.855671296296</v>
      </c>
      <c r="C57">
        <v>80</v>
      </c>
      <c r="D57">
        <v>59.797916411999999</v>
      </c>
      <c r="E57">
        <v>50</v>
      </c>
      <c r="F57">
        <v>14.992509842</v>
      </c>
      <c r="G57">
        <v>1428.9820557</v>
      </c>
      <c r="H57">
        <v>1409.0664062000001</v>
      </c>
      <c r="I57">
        <v>1238.4265137</v>
      </c>
      <c r="J57">
        <v>1193.2375488</v>
      </c>
      <c r="K57">
        <v>2750</v>
      </c>
      <c r="L57">
        <v>0</v>
      </c>
      <c r="M57">
        <v>0</v>
      </c>
      <c r="N57">
        <v>2750</v>
      </c>
    </row>
    <row r="58" spans="1:14" x14ac:dyDescent="0.25">
      <c r="A58">
        <v>0.88977499999999998</v>
      </c>
      <c r="B58" s="1">
        <f>DATE(2010,5,1) + TIME(21,21,16)</f>
        <v>40299.889768518522</v>
      </c>
      <c r="C58">
        <v>80</v>
      </c>
      <c r="D58">
        <v>60.752567290999998</v>
      </c>
      <c r="E58">
        <v>50</v>
      </c>
      <c r="F58">
        <v>14.992555618000001</v>
      </c>
      <c r="G58">
        <v>1428.5629882999999</v>
      </c>
      <c r="H58">
        <v>1408.8804932</v>
      </c>
      <c r="I58">
        <v>1238.4272461</v>
      </c>
      <c r="J58">
        <v>1193.2381591999999</v>
      </c>
      <c r="K58">
        <v>2750</v>
      </c>
      <c r="L58">
        <v>0</v>
      </c>
      <c r="M58">
        <v>0</v>
      </c>
      <c r="N58">
        <v>2750</v>
      </c>
    </row>
    <row r="59" spans="1:14" x14ac:dyDescent="0.25">
      <c r="A59">
        <v>0.92549199999999998</v>
      </c>
      <c r="B59" s="1">
        <f>DATE(2010,5,1) + TIME(22,12,42)</f>
        <v>40299.925486111111</v>
      </c>
      <c r="C59">
        <v>80</v>
      </c>
      <c r="D59">
        <v>61.705318450999997</v>
      </c>
      <c r="E59">
        <v>50</v>
      </c>
      <c r="F59">
        <v>14.992602348</v>
      </c>
      <c r="G59">
        <v>1428.1489257999999</v>
      </c>
      <c r="H59">
        <v>1408.6931152</v>
      </c>
      <c r="I59">
        <v>1238.4279785000001</v>
      </c>
      <c r="J59">
        <v>1193.2388916</v>
      </c>
      <c r="K59">
        <v>2750</v>
      </c>
      <c r="L59">
        <v>0</v>
      </c>
      <c r="M59">
        <v>0</v>
      </c>
      <c r="N59">
        <v>2750</v>
      </c>
    </row>
    <row r="60" spans="1:14" x14ac:dyDescent="0.25">
      <c r="A60">
        <v>0.96297999999999995</v>
      </c>
      <c r="B60" s="1">
        <f>DATE(2010,5,1) + TIME(23,6,41)</f>
        <v>40299.96297453704</v>
      </c>
      <c r="C60">
        <v>80</v>
      </c>
      <c r="D60">
        <v>62.655735016000001</v>
      </c>
      <c r="E60">
        <v>50</v>
      </c>
      <c r="F60">
        <v>14.992649077999999</v>
      </c>
      <c r="G60">
        <v>1427.739624</v>
      </c>
      <c r="H60">
        <v>1408.5037841999999</v>
      </c>
      <c r="I60">
        <v>1238.4287108999999</v>
      </c>
      <c r="J60">
        <v>1193.2395019999999</v>
      </c>
      <c r="K60">
        <v>2750</v>
      </c>
      <c r="L60">
        <v>0</v>
      </c>
      <c r="M60">
        <v>0</v>
      </c>
      <c r="N60">
        <v>2750</v>
      </c>
    </row>
    <row r="61" spans="1:14" x14ac:dyDescent="0.25">
      <c r="A61">
        <v>1.002424</v>
      </c>
      <c r="B61" s="1">
        <f>DATE(2010,5,2) + TIME(0,3,29)</f>
        <v>40300.002418981479</v>
      </c>
      <c r="C61">
        <v>80</v>
      </c>
      <c r="D61">
        <v>63.603431702000002</v>
      </c>
      <c r="E61">
        <v>50</v>
      </c>
      <c r="F61">
        <v>14.992696762</v>
      </c>
      <c r="G61">
        <v>1427.3342285000001</v>
      </c>
      <c r="H61">
        <v>1408.3120117000001</v>
      </c>
      <c r="I61">
        <v>1238.4295654</v>
      </c>
      <c r="J61">
        <v>1193.2402344</v>
      </c>
      <c r="K61">
        <v>2750</v>
      </c>
      <c r="L61">
        <v>0</v>
      </c>
      <c r="M61">
        <v>0</v>
      </c>
      <c r="N61">
        <v>2750</v>
      </c>
    </row>
    <row r="62" spans="1:14" x14ac:dyDescent="0.25">
      <c r="A62">
        <v>1.044046</v>
      </c>
      <c r="B62" s="1">
        <f>DATE(2010,5,2) + TIME(1,3,25)</f>
        <v>40300.044039351851</v>
      </c>
      <c r="C62">
        <v>80</v>
      </c>
      <c r="D62">
        <v>64.548110961999996</v>
      </c>
      <c r="E62">
        <v>50</v>
      </c>
      <c r="F62">
        <v>14.992745399</v>
      </c>
      <c r="G62">
        <v>1426.9321289</v>
      </c>
      <c r="H62">
        <v>1408.1170654</v>
      </c>
      <c r="I62">
        <v>1238.4304199000001</v>
      </c>
      <c r="J62">
        <v>1193.2409668</v>
      </c>
      <c r="K62">
        <v>2750</v>
      </c>
      <c r="L62">
        <v>0</v>
      </c>
      <c r="M62">
        <v>0</v>
      </c>
      <c r="N62">
        <v>2750</v>
      </c>
    </row>
    <row r="63" spans="1:14" x14ac:dyDescent="0.25">
      <c r="A63">
        <v>1.088104</v>
      </c>
      <c r="B63" s="1">
        <f>DATE(2010,5,2) + TIME(2,6,52)</f>
        <v>40300.088101851848</v>
      </c>
      <c r="C63">
        <v>80</v>
      </c>
      <c r="D63">
        <v>65.489555358999993</v>
      </c>
      <c r="E63">
        <v>50</v>
      </c>
      <c r="F63">
        <v>14.992794991</v>
      </c>
      <c r="G63">
        <v>1426.5322266000001</v>
      </c>
      <c r="H63">
        <v>1407.918457</v>
      </c>
      <c r="I63">
        <v>1238.4312743999999</v>
      </c>
      <c r="J63">
        <v>1193.2416992000001</v>
      </c>
      <c r="K63">
        <v>2750</v>
      </c>
      <c r="L63">
        <v>0</v>
      </c>
      <c r="M63">
        <v>0</v>
      </c>
      <c r="N63">
        <v>2750</v>
      </c>
    </row>
    <row r="64" spans="1:14" x14ac:dyDescent="0.25">
      <c r="A64">
        <v>1.1349020000000001</v>
      </c>
      <c r="B64" s="1">
        <f>DATE(2010,5,2) + TIME(3,14,15)</f>
        <v>40300.134895833333</v>
      </c>
      <c r="C64">
        <v>80</v>
      </c>
      <c r="D64">
        <v>66.427261353000006</v>
      </c>
      <c r="E64">
        <v>50</v>
      </c>
      <c r="F64">
        <v>14.992846489</v>
      </c>
      <c r="G64">
        <v>1426.1340332</v>
      </c>
      <c r="H64">
        <v>1407.715332</v>
      </c>
      <c r="I64">
        <v>1238.432251</v>
      </c>
      <c r="J64">
        <v>1193.2425536999999</v>
      </c>
      <c r="K64">
        <v>2750</v>
      </c>
      <c r="L64">
        <v>0</v>
      </c>
      <c r="M64">
        <v>0</v>
      </c>
      <c r="N64">
        <v>2750</v>
      </c>
    </row>
    <row r="65" spans="1:14" x14ac:dyDescent="0.25">
      <c r="A65">
        <v>1.1597500000000001</v>
      </c>
      <c r="B65" s="1">
        <f>DATE(2010,5,2) + TIME(3,50,2)</f>
        <v>40300.159745370373</v>
      </c>
      <c r="C65">
        <v>80</v>
      </c>
      <c r="D65">
        <v>66.908843993999994</v>
      </c>
      <c r="E65">
        <v>50</v>
      </c>
      <c r="F65">
        <v>14.992873191999999</v>
      </c>
      <c r="G65">
        <v>1425.8983154</v>
      </c>
      <c r="H65">
        <v>1407.5518798999999</v>
      </c>
      <c r="I65">
        <v>1238.4329834</v>
      </c>
      <c r="J65">
        <v>1193.2432861</v>
      </c>
      <c r="K65">
        <v>2750</v>
      </c>
      <c r="L65">
        <v>0</v>
      </c>
      <c r="M65">
        <v>0</v>
      </c>
      <c r="N65">
        <v>2750</v>
      </c>
    </row>
    <row r="66" spans="1:14" x14ac:dyDescent="0.25">
      <c r="A66">
        <v>1.184598</v>
      </c>
      <c r="B66" s="1">
        <f>DATE(2010,5,2) + TIME(4,25,49)</f>
        <v>40300.184594907405</v>
      </c>
      <c r="C66">
        <v>80</v>
      </c>
      <c r="D66">
        <v>67.373870850000003</v>
      </c>
      <c r="E66">
        <v>50</v>
      </c>
      <c r="F66">
        <v>14.992898941</v>
      </c>
      <c r="G66">
        <v>1425.697876</v>
      </c>
      <c r="H66">
        <v>1407.4449463000001</v>
      </c>
      <c r="I66">
        <v>1238.4337158000001</v>
      </c>
      <c r="J66">
        <v>1193.2438964999999</v>
      </c>
      <c r="K66">
        <v>2750</v>
      </c>
      <c r="L66">
        <v>0</v>
      </c>
      <c r="M66">
        <v>0</v>
      </c>
      <c r="N66">
        <v>2750</v>
      </c>
    </row>
    <row r="67" spans="1:14" x14ac:dyDescent="0.25">
      <c r="A67">
        <v>1.209446</v>
      </c>
      <c r="B67" s="1">
        <f>DATE(2010,5,2) + TIME(5,1,36)</f>
        <v>40300.209444444445</v>
      </c>
      <c r="C67">
        <v>80</v>
      </c>
      <c r="D67">
        <v>67.822868346999996</v>
      </c>
      <c r="E67">
        <v>50</v>
      </c>
      <c r="F67">
        <v>14.992924690000001</v>
      </c>
      <c r="G67">
        <v>1425.5046387</v>
      </c>
      <c r="H67">
        <v>1407.3404541</v>
      </c>
      <c r="I67">
        <v>1238.4343262</v>
      </c>
      <c r="J67">
        <v>1193.2445068</v>
      </c>
      <c r="K67">
        <v>2750</v>
      </c>
      <c r="L67">
        <v>0</v>
      </c>
      <c r="M67">
        <v>0</v>
      </c>
      <c r="N67">
        <v>2750</v>
      </c>
    </row>
    <row r="68" spans="1:14" x14ac:dyDescent="0.25">
      <c r="A68">
        <v>1.234294</v>
      </c>
      <c r="B68" s="1">
        <f>DATE(2010,5,2) + TIME(5,37,23)</f>
        <v>40300.234293981484</v>
      </c>
      <c r="C68">
        <v>80</v>
      </c>
      <c r="D68">
        <v>68.256347656000003</v>
      </c>
      <c r="E68">
        <v>50</v>
      </c>
      <c r="F68">
        <v>14.992949486000001</v>
      </c>
      <c r="G68">
        <v>1425.3172606999999</v>
      </c>
      <c r="H68">
        <v>1407.2376709</v>
      </c>
      <c r="I68">
        <v>1238.4349365</v>
      </c>
      <c r="J68">
        <v>1193.2449951000001</v>
      </c>
      <c r="K68">
        <v>2750</v>
      </c>
      <c r="L68">
        <v>0</v>
      </c>
      <c r="M68">
        <v>0</v>
      </c>
      <c r="N68">
        <v>2750</v>
      </c>
    </row>
    <row r="69" spans="1:14" x14ac:dyDescent="0.25">
      <c r="A69">
        <v>1.259142</v>
      </c>
      <c r="B69" s="1">
        <f>DATE(2010,5,2) + TIME(6,13,9)</f>
        <v>40300.259131944447</v>
      </c>
      <c r="C69">
        <v>80</v>
      </c>
      <c r="D69">
        <v>68.674797057999996</v>
      </c>
      <c r="E69">
        <v>50</v>
      </c>
      <c r="F69">
        <v>14.992974281</v>
      </c>
      <c r="G69">
        <v>1425.1354980000001</v>
      </c>
      <c r="H69">
        <v>1407.1364745999999</v>
      </c>
      <c r="I69">
        <v>1238.4354248</v>
      </c>
      <c r="J69">
        <v>1193.2454834</v>
      </c>
      <c r="K69">
        <v>2750</v>
      </c>
      <c r="L69">
        <v>0</v>
      </c>
      <c r="M69">
        <v>0</v>
      </c>
      <c r="N69">
        <v>2750</v>
      </c>
    </row>
    <row r="70" spans="1:14" x14ac:dyDescent="0.25">
      <c r="A70">
        <v>1.28399</v>
      </c>
      <c r="B70" s="1">
        <f>DATE(2010,5,2) + TIME(6,48,56)</f>
        <v>40300.28398148148</v>
      </c>
      <c r="C70">
        <v>80</v>
      </c>
      <c r="D70">
        <v>69.078712463000002</v>
      </c>
      <c r="E70">
        <v>50</v>
      </c>
      <c r="F70">
        <v>14.992999077</v>
      </c>
      <c r="G70">
        <v>1424.9589844</v>
      </c>
      <c r="H70">
        <v>1407.0368652</v>
      </c>
      <c r="I70">
        <v>1238.4360352000001</v>
      </c>
      <c r="J70">
        <v>1193.2459716999999</v>
      </c>
      <c r="K70">
        <v>2750</v>
      </c>
      <c r="L70">
        <v>0</v>
      </c>
      <c r="M70">
        <v>0</v>
      </c>
      <c r="N70">
        <v>2750</v>
      </c>
    </row>
    <row r="71" spans="1:14" x14ac:dyDescent="0.25">
      <c r="A71">
        <v>1.3088379999999999</v>
      </c>
      <c r="B71" s="1">
        <f>DATE(2010,5,2) + TIME(7,24,43)</f>
        <v>40300.308831018519</v>
      </c>
      <c r="C71">
        <v>80</v>
      </c>
      <c r="D71">
        <v>69.468566894999995</v>
      </c>
      <c r="E71">
        <v>50</v>
      </c>
      <c r="F71">
        <v>14.993021965000001</v>
      </c>
      <c r="G71">
        <v>1424.7873535000001</v>
      </c>
      <c r="H71">
        <v>1406.9387207</v>
      </c>
      <c r="I71">
        <v>1238.4365233999999</v>
      </c>
      <c r="J71">
        <v>1193.2464600000001</v>
      </c>
      <c r="K71">
        <v>2750</v>
      </c>
      <c r="L71">
        <v>0</v>
      </c>
      <c r="M71">
        <v>0</v>
      </c>
      <c r="N71">
        <v>2750</v>
      </c>
    </row>
    <row r="72" spans="1:14" x14ac:dyDescent="0.25">
      <c r="A72">
        <v>1.3585339999999999</v>
      </c>
      <c r="B72" s="1">
        <f>DATE(2010,5,2) + TIME(8,36,17)</f>
        <v>40300.358530092592</v>
      </c>
      <c r="C72">
        <v>80</v>
      </c>
      <c r="D72">
        <v>70.194480896000002</v>
      </c>
      <c r="E72">
        <v>50</v>
      </c>
      <c r="F72">
        <v>14.993067741000001</v>
      </c>
      <c r="G72">
        <v>1424.5031738</v>
      </c>
      <c r="H72">
        <v>1406.8111572</v>
      </c>
      <c r="I72">
        <v>1238.4372559000001</v>
      </c>
      <c r="J72">
        <v>1193.2470702999999</v>
      </c>
      <c r="K72">
        <v>2750</v>
      </c>
      <c r="L72">
        <v>0</v>
      </c>
      <c r="M72">
        <v>0</v>
      </c>
      <c r="N72">
        <v>2750</v>
      </c>
    </row>
    <row r="73" spans="1:14" x14ac:dyDescent="0.25">
      <c r="A73">
        <v>1.4082460000000001</v>
      </c>
      <c r="B73" s="1">
        <f>DATE(2010,5,2) + TIME(9,47,52)</f>
        <v>40300.40824074074</v>
      </c>
      <c r="C73">
        <v>80</v>
      </c>
      <c r="D73">
        <v>70.871109008999994</v>
      </c>
      <c r="E73">
        <v>50</v>
      </c>
      <c r="F73">
        <v>14.993110657000001</v>
      </c>
      <c r="G73">
        <v>1424.1945800999999</v>
      </c>
      <c r="H73">
        <v>1406.6242675999999</v>
      </c>
      <c r="I73">
        <v>1238.4382324000001</v>
      </c>
      <c r="J73">
        <v>1193.2479248</v>
      </c>
      <c r="K73">
        <v>2750</v>
      </c>
      <c r="L73">
        <v>0</v>
      </c>
      <c r="M73">
        <v>0</v>
      </c>
      <c r="N73">
        <v>2750</v>
      </c>
    </row>
    <row r="74" spans="1:14" x14ac:dyDescent="0.25">
      <c r="A74">
        <v>1.4582520000000001</v>
      </c>
      <c r="B74" s="1">
        <f>DATE(2010,5,2) + TIME(10,59,52)</f>
        <v>40300.458240740743</v>
      </c>
      <c r="C74">
        <v>80</v>
      </c>
      <c r="D74">
        <v>71.505195618000002</v>
      </c>
      <c r="E74">
        <v>50</v>
      </c>
      <c r="F74">
        <v>14.993153572000001</v>
      </c>
      <c r="G74">
        <v>1423.8992920000001</v>
      </c>
      <c r="H74">
        <v>1406.4410399999999</v>
      </c>
      <c r="I74">
        <v>1238.4393310999999</v>
      </c>
      <c r="J74">
        <v>1193.2490233999999</v>
      </c>
      <c r="K74">
        <v>2750</v>
      </c>
      <c r="L74">
        <v>0</v>
      </c>
      <c r="M74">
        <v>0</v>
      </c>
      <c r="N74">
        <v>2750</v>
      </c>
    </row>
    <row r="75" spans="1:14" x14ac:dyDescent="0.25">
      <c r="A75">
        <v>1.5086200000000001</v>
      </c>
      <c r="B75" s="1">
        <f>DATE(2010,5,2) + TIME(12,12,24)</f>
        <v>40300.508611111109</v>
      </c>
      <c r="C75">
        <v>80</v>
      </c>
      <c r="D75">
        <v>72.099739075000002</v>
      </c>
      <c r="E75">
        <v>50</v>
      </c>
      <c r="F75">
        <v>14.993194580000001</v>
      </c>
      <c r="G75">
        <v>1423.6162108999999</v>
      </c>
      <c r="H75">
        <v>1406.2612305</v>
      </c>
      <c r="I75">
        <v>1238.4404297000001</v>
      </c>
      <c r="J75">
        <v>1193.25</v>
      </c>
      <c r="K75">
        <v>2750</v>
      </c>
      <c r="L75">
        <v>0</v>
      </c>
      <c r="M75">
        <v>0</v>
      </c>
      <c r="N75">
        <v>2750</v>
      </c>
    </row>
    <row r="76" spans="1:14" x14ac:dyDescent="0.25">
      <c r="A76">
        <v>1.559423</v>
      </c>
      <c r="B76" s="1">
        <f>DATE(2010,5,2) + TIME(13,25,34)</f>
        <v>40300.559421296297</v>
      </c>
      <c r="C76">
        <v>80</v>
      </c>
      <c r="D76">
        <v>72.657493591000005</v>
      </c>
      <c r="E76">
        <v>50</v>
      </c>
      <c r="F76">
        <v>14.993234634</v>
      </c>
      <c r="G76">
        <v>1423.3439940999999</v>
      </c>
      <c r="H76">
        <v>1406.0843506000001</v>
      </c>
      <c r="I76">
        <v>1238.4415283000001</v>
      </c>
      <c r="J76">
        <v>1193.2509766000001</v>
      </c>
      <c r="K76">
        <v>2750</v>
      </c>
      <c r="L76">
        <v>0</v>
      </c>
      <c r="M76">
        <v>0</v>
      </c>
      <c r="N76">
        <v>2750</v>
      </c>
    </row>
    <row r="77" spans="1:14" x14ac:dyDescent="0.25">
      <c r="A77">
        <v>1.610733</v>
      </c>
      <c r="B77" s="1">
        <f>DATE(2010,5,2) + TIME(14,39,27)</f>
        <v>40300.610729166663</v>
      </c>
      <c r="C77">
        <v>80</v>
      </c>
      <c r="D77">
        <v>73.180923461999996</v>
      </c>
      <c r="E77">
        <v>50</v>
      </c>
      <c r="F77">
        <v>14.993273735000001</v>
      </c>
      <c r="G77">
        <v>1423.0816649999999</v>
      </c>
      <c r="H77">
        <v>1405.9099120999999</v>
      </c>
      <c r="I77">
        <v>1238.4426269999999</v>
      </c>
      <c r="J77">
        <v>1193.2520752</v>
      </c>
      <c r="K77">
        <v>2750</v>
      </c>
      <c r="L77">
        <v>0</v>
      </c>
      <c r="M77">
        <v>0</v>
      </c>
      <c r="N77">
        <v>2750</v>
      </c>
    </row>
    <row r="78" spans="1:14" x14ac:dyDescent="0.25">
      <c r="A78">
        <v>1.66262</v>
      </c>
      <c r="B78" s="1">
        <f>DATE(2010,5,2) + TIME(15,54,10)</f>
        <v>40300.662615740737</v>
      </c>
      <c r="C78">
        <v>80</v>
      </c>
      <c r="D78">
        <v>73.672264099000003</v>
      </c>
      <c r="E78">
        <v>50</v>
      </c>
      <c r="F78">
        <v>14.993311882</v>
      </c>
      <c r="G78">
        <v>1422.8280029</v>
      </c>
      <c r="H78">
        <v>1405.7375488</v>
      </c>
      <c r="I78">
        <v>1238.4437256000001</v>
      </c>
      <c r="J78">
        <v>1193.2530518000001</v>
      </c>
      <c r="K78">
        <v>2750</v>
      </c>
      <c r="L78">
        <v>0</v>
      </c>
      <c r="M78">
        <v>0</v>
      </c>
      <c r="N78">
        <v>2750</v>
      </c>
    </row>
    <row r="79" spans="1:14" x14ac:dyDescent="0.25">
      <c r="A79">
        <v>1.7151479999999999</v>
      </c>
      <c r="B79" s="1">
        <f>DATE(2010,5,2) + TIME(17,9,48)</f>
        <v>40300.715138888889</v>
      </c>
      <c r="C79">
        <v>80</v>
      </c>
      <c r="D79">
        <v>74.133453368999994</v>
      </c>
      <c r="E79">
        <v>50</v>
      </c>
      <c r="F79">
        <v>14.993349074999999</v>
      </c>
      <c r="G79">
        <v>1422.5822754000001</v>
      </c>
      <c r="H79">
        <v>1405.5668945</v>
      </c>
      <c r="I79">
        <v>1238.4448242000001</v>
      </c>
      <c r="J79">
        <v>1193.2541504000001</v>
      </c>
      <c r="K79">
        <v>2750</v>
      </c>
      <c r="L79">
        <v>0</v>
      </c>
      <c r="M79">
        <v>0</v>
      </c>
      <c r="N79">
        <v>2750</v>
      </c>
    </row>
    <row r="80" spans="1:14" x14ac:dyDescent="0.25">
      <c r="A80">
        <v>1.7684</v>
      </c>
      <c r="B80" s="1">
        <f>DATE(2010,5,2) + TIME(18,26,29)</f>
        <v>40300.768391203703</v>
      </c>
      <c r="C80">
        <v>80</v>
      </c>
      <c r="D80">
        <v>74.566444396999998</v>
      </c>
      <c r="E80">
        <v>50</v>
      </c>
      <c r="F80">
        <v>14.993386269</v>
      </c>
      <c r="G80">
        <v>1422.3435059000001</v>
      </c>
      <c r="H80">
        <v>1405.3978271000001</v>
      </c>
      <c r="I80">
        <v>1238.4460449000001</v>
      </c>
      <c r="J80">
        <v>1193.255249</v>
      </c>
      <c r="K80">
        <v>2750</v>
      </c>
      <c r="L80">
        <v>0</v>
      </c>
      <c r="M80">
        <v>0</v>
      </c>
      <c r="N80">
        <v>2750</v>
      </c>
    </row>
    <row r="81" spans="1:14" x14ac:dyDescent="0.25">
      <c r="A81">
        <v>1.8224530000000001</v>
      </c>
      <c r="B81" s="1">
        <f>DATE(2010,5,2) + TIME(19,44,19)</f>
        <v>40300.822442129633</v>
      </c>
      <c r="C81">
        <v>80</v>
      </c>
      <c r="D81">
        <v>74.972908020000006</v>
      </c>
      <c r="E81">
        <v>50</v>
      </c>
      <c r="F81">
        <v>14.993421554999999</v>
      </c>
      <c r="G81">
        <v>1422.1110839999999</v>
      </c>
      <c r="H81">
        <v>1405.2298584</v>
      </c>
      <c r="I81">
        <v>1238.4471435999999</v>
      </c>
      <c r="J81">
        <v>1193.2563477000001</v>
      </c>
      <c r="K81">
        <v>2750</v>
      </c>
      <c r="L81">
        <v>0</v>
      </c>
      <c r="M81">
        <v>0</v>
      </c>
      <c r="N81">
        <v>2750</v>
      </c>
    </row>
    <row r="82" spans="1:14" x14ac:dyDescent="0.25">
      <c r="A82">
        <v>1.877386</v>
      </c>
      <c r="B82" s="1">
        <f>DATE(2010,5,2) + TIME(21,3,26)</f>
        <v>40300.877384259256</v>
      </c>
      <c r="C82">
        <v>80</v>
      </c>
      <c r="D82">
        <v>75.354133606000005</v>
      </c>
      <c r="E82">
        <v>50</v>
      </c>
      <c r="F82">
        <v>14.993456841</v>
      </c>
      <c r="G82">
        <v>1421.8842772999999</v>
      </c>
      <c r="H82">
        <v>1405.0627440999999</v>
      </c>
      <c r="I82">
        <v>1238.4482422000001</v>
      </c>
      <c r="J82">
        <v>1193.2574463000001</v>
      </c>
      <c r="K82">
        <v>2750</v>
      </c>
      <c r="L82">
        <v>0</v>
      </c>
      <c r="M82">
        <v>0</v>
      </c>
      <c r="N82">
        <v>2750</v>
      </c>
    </row>
    <row r="83" spans="1:14" x14ac:dyDescent="0.25">
      <c r="A83">
        <v>1.933281</v>
      </c>
      <c r="B83" s="1">
        <f>DATE(2010,5,2) + TIME(22,23,55)</f>
        <v>40300.933275462965</v>
      </c>
      <c r="C83">
        <v>80</v>
      </c>
      <c r="D83">
        <v>75.711791992000002</v>
      </c>
      <c r="E83">
        <v>50</v>
      </c>
      <c r="F83">
        <v>14.993492126</v>
      </c>
      <c r="G83">
        <v>1421.6624756000001</v>
      </c>
      <c r="H83">
        <v>1404.8962402</v>
      </c>
      <c r="I83">
        <v>1238.4494629000001</v>
      </c>
      <c r="J83">
        <v>1193.2585449000001</v>
      </c>
      <c r="K83">
        <v>2750</v>
      </c>
      <c r="L83">
        <v>0</v>
      </c>
      <c r="M83">
        <v>0</v>
      </c>
      <c r="N83">
        <v>2750</v>
      </c>
    </row>
    <row r="84" spans="1:14" x14ac:dyDescent="0.25">
      <c r="A84">
        <v>1.9902249999999999</v>
      </c>
      <c r="B84" s="1">
        <f>DATE(2010,5,2) + TIME(23,45,55)</f>
        <v>40300.990219907406</v>
      </c>
      <c r="C84">
        <v>80</v>
      </c>
      <c r="D84">
        <v>76.047210692999997</v>
      </c>
      <c r="E84">
        <v>50</v>
      </c>
      <c r="F84">
        <v>14.993526459</v>
      </c>
      <c r="G84">
        <v>1421.4450684000001</v>
      </c>
      <c r="H84">
        <v>1404.7301024999999</v>
      </c>
      <c r="I84">
        <v>1238.4506836</v>
      </c>
      <c r="J84">
        <v>1193.2596435999999</v>
      </c>
      <c r="K84">
        <v>2750</v>
      </c>
      <c r="L84">
        <v>0</v>
      </c>
      <c r="M84">
        <v>0</v>
      </c>
      <c r="N84">
        <v>2750</v>
      </c>
    </row>
    <row r="85" spans="1:14" x14ac:dyDescent="0.25">
      <c r="A85">
        <v>2.0483099999999999</v>
      </c>
      <c r="B85" s="1">
        <f>DATE(2010,5,3) + TIME(1,9,33)</f>
        <v>40301.048298611109</v>
      </c>
      <c r="C85">
        <v>80</v>
      </c>
      <c r="D85">
        <v>76.361610412999994</v>
      </c>
      <c r="E85">
        <v>50</v>
      </c>
      <c r="F85">
        <v>14.993559836999999</v>
      </c>
      <c r="G85">
        <v>1421.2316894999999</v>
      </c>
      <c r="H85">
        <v>1404.5642089999999</v>
      </c>
      <c r="I85">
        <v>1238.4517822</v>
      </c>
      <c r="J85">
        <v>1193.2607422000001</v>
      </c>
      <c r="K85">
        <v>2750</v>
      </c>
      <c r="L85">
        <v>0</v>
      </c>
      <c r="M85">
        <v>0</v>
      </c>
      <c r="N85">
        <v>2750</v>
      </c>
    </row>
    <row r="86" spans="1:14" x14ac:dyDescent="0.25">
      <c r="A86">
        <v>2.1076329999999999</v>
      </c>
      <c r="B86" s="1">
        <f>DATE(2010,5,3) + TIME(2,34,59)</f>
        <v>40301.107627314814</v>
      </c>
      <c r="C86">
        <v>80</v>
      </c>
      <c r="D86">
        <v>76.656127929999997</v>
      </c>
      <c r="E86">
        <v>50</v>
      </c>
      <c r="F86">
        <v>14.993593216000001</v>
      </c>
      <c r="G86">
        <v>1421.0217285000001</v>
      </c>
      <c r="H86">
        <v>1404.3981934000001</v>
      </c>
      <c r="I86">
        <v>1238.4530029</v>
      </c>
      <c r="J86">
        <v>1193.2618408000001</v>
      </c>
      <c r="K86">
        <v>2750</v>
      </c>
      <c r="L86">
        <v>0</v>
      </c>
      <c r="M86">
        <v>0</v>
      </c>
      <c r="N86">
        <v>2750</v>
      </c>
    </row>
    <row r="87" spans="1:14" x14ac:dyDescent="0.25">
      <c r="A87">
        <v>2.1682990000000002</v>
      </c>
      <c r="B87" s="1">
        <f>DATE(2010,5,3) + TIME(4,2,21)</f>
        <v>40301.168298611112</v>
      </c>
      <c r="C87">
        <v>80</v>
      </c>
      <c r="D87">
        <v>76.931808472</v>
      </c>
      <c r="E87">
        <v>50</v>
      </c>
      <c r="F87">
        <v>14.993626595</v>
      </c>
      <c r="G87">
        <v>1420.8146973</v>
      </c>
      <c r="H87">
        <v>1404.2319336</v>
      </c>
      <c r="I87">
        <v>1238.4542236</v>
      </c>
      <c r="J87">
        <v>1193.2630615</v>
      </c>
      <c r="K87">
        <v>2750</v>
      </c>
      <c r="L87">
        <v>0</v>
      </c>
      <c r="M87">
        <v>0</v>
      </c>
      <c r="N87">
        <v>2750</v>
      </c>
    </row>
    <row r="88" spans="1:14" x14ac:dyDescent="0.25">
      <c r="A88">
        <v>2.2304189999999999</v>
      </c>
      <c r="B88" s="1">
        <f>DATE(2010,5,3) + TIME(5,31,48)</f>
        <v>40301.230416666665</v>
      </c>
      <c r="C88">
        <v>80</v>
      </c>
      <c r="D88">
        <v>77.189643860000004</v>
      </c>
      <c r="E88">
        <v>50</v>
      </c>
      <c r="F88">
        <v>14.993659973</v>
      </c>
      <c r="G88">
        <v>1420.6102295000001</v>
      </c>
      <c r="H88">
        <v>1404.0650635</v>
      </c>
      <c r="I88">
        <v>1238.4554443</v>
      </c>
      <c r="J88">
        <v>1193.2641602000001</v>
      </c>
      <c r="K88">
        <v>2750</v>
      </c>
      <c r="L88">
        <v>0</v>
      </c>
      <c r="M88">
        <v>0</v>
      </c>
      <c r="N88">
        <v>2750</v>
      </c>
    </row>
    <row r="89" spans="1:14" x14ac:dyDescent="0.25">
      <c r="A89">
        <v>2.2941400000000001</v>
      </c>
      <c r="B89" s="1">
        <f>DATE(2010,5,3) + TIME(7,3,33)</f>
        <v>40301.294131944444</v>
      </c>
      <c r="C89">
        <v>80</v>
      </c>
      <c r="D89">
        <v>77.430641174000002</v>
      </c>
      <c r="E89">
        <v>50</v>
      </c>
      <c r="F89">
        <v>14.993692398</v>
      </c>
      <c r="G89">
        <v>1420.4078368999999</v>
      </c>
      <c r="H89">
        <v>1403.8975829999999</v>
      </c>
      <c r="I89">
        <v>1238.4566649999999</v>
      </c>
      <c r="J89">
        <v>1193.2653809000001</v>
      </c>
      <c r="K89">
        <v>2750</v>
      </c>
      <c r="L89">
        <v>0</v>
      </c>
      <c r="M89">
        <v>0</v>
      </c>
      <c r="N89">
        <v>2750</v>
      </c>
    </row>
    <row r="90" spans="1:14" x14ac:dyDescent="0.25">
      <c r="A90">
        <v>2.3595739999999998</v>
      </c>
      <c r="B90" s="1">
        <f>DATE(2010,5,3) + TIME(8,37,47)</f>
        <v>40301.359571759262</v>
      </c>
      <c r="C90">
        <v>80</v>
      </c>
      <c r="D90">
        <v>77.655570983999993</v>
      </c>
      <c r="E90">
        <v>50</v>
      </c>
      <c r="F90">
        <v>14.993724823000001</v>
      </c>
      <c r="G90">
        <v>1420.2071533000001</v>
      </c>
      <c r="H90">
        <v>1403.729126</v>
      </c>
      <c r="I90">
        <v>1238.4578856999999</v>
      </c>
      <c r="J90">
        <v>1193.2666016000001</v>
      </c>
      <c r="K90">
        <v>2750</v>
      </c>
      <c r="L90">
        <v>0</v>
      </c>
      <c r="M90">
        <v>0</v>
      </c>
      <c r="N90">
        <v>2750</v>
      </c>
    </row>
    <row r="91" spans="1:14" x14ac:dyDescent="0.25">
      <c r="A91">
        <v>2.42686</v>
      </c>
      <c r="B91" s="1">
        <f>DATE(2010,5,3) + TIME(10,14,40)</f>
        <v>40301.426851851851</v>
      </c>
      <c r="C91">
        <v>80</v>
      </c>
      <c r="D91">
        <v>77.865249633999994</v>
      </c>
      <c r="E91">
        <v>50</v>
      </c>
      <c r="F91">
        <v>14.993757248</v>
      </c>
      <c r="G91">
        <v>1420.0078125</v>
      </c>
      <c r="H91">
        <v>1403.5594481999999</v>
      </c>
      <c r="I91">
        <v>1238.4592285000001</v>
      </c>
      <c r="J91">
        <v>1193.2678223</v>
      </c>
      <c r="K91">
        <v>2750</v>
      </c>
      <c r="L91">
        <v>0</v>
      </c>
      <c r="M91">
        <v>0</v>
      </c>
      <c r="N91">
        <v>2750</v>
      </c>
    </row>
    <row r="92" spans="1:14" x14ac:dyDescent="0.25">
      <c r="A92">
        <v>2.4961570000000002</v>
      </c>
      <c r="B92" s="1">
        <f>DATE(2010,5,3) + TIME(11,54,27)</f>
        <v>40301.496145833335</v>
      </c>
      <c r="C92">
        <v>80</v>
      </c>
      <c r="D92">
        <v>78.060424804999997</v>
      </c>
      <c r="E92">
        <v>50</v>
      </c>
      <c r="F92">
        <v>14.993788718999999</v>
      </c>
      <c r="G92">
        <v>1419.8094481999999</v>
      </c>
      <c r="H92">
        <v>1403.3885498</v>
      </c>
      <c r="I92">
        <v>1238.4604492000001</v>
      </c>
      <c r="J92">
        <v>1193.269043</v>
      </c>
      <c r="K92">
        <v>2750</v>
      </c>
      <c r="L92">
        <v>0</v>
      </c>
      <c r="M92">
        <v>0</v>
      </c>
      <c r="N92">
        <v>2750</v>
      </c>
    </row>
    <row r="93" spans="1:14" x14ac:dyDescent="0.25">
      <c r="A93">
        <v>2.5676369999999999</v>
      </c>
      <c r="B93" s="1">
        <f>DATE(2010,5,3) + TIME(13,37,23)</f>
        <v>40301.567627314813</v>
      </c>
      <c r="C93">
        <v>80</v>
      </c>
      <c r="D93">
        <v>78.241836547999995</v>
      </c>
      <c r="E93">
        <v>50</v>
      </c>
      <c r="F93">
        <v>14.993821144</v>
      </c>
      <c r="G93">
        <v>1419.6116943</v>
      </c>
      <c r="H93">
        <v>1403.2159423999999</v>
      </c>
      <c r="I93">
        <v>1238.4617920000001</v>
      </c>
      <c r="J93">
        <v>1193.2703856999999</v>
      </c>
      <c r="K93">
        <v>2750</v>
      </c>
      <c r="L93">
        <v>0</v>
      </c>
      <c r="M93">
        <v>0</v>
      </c>
      <c r="N93">
        <v>2750</v>
      </c>
    </row>
    <row r="94" spans="1:14" x14ac:dyDescent="0.25">
      <c r="A94">
        <v>2.641492</v>
      </c>
      <c r="B94" s="1">
        <f>DATE(2010,5,3) + TIME(15,23,44)</f>
        <v>40301.641481481478</v>
      </c>
      <c r="C94">
        <v>80</v>
      </c>
      <c r="D94">
        <v>78.410163878999995</v>
      </c>
      <c r="E94">
        <v>50</v>
      </c>
      <c r="F94">
        <v>14.993853569000001</v>
      </c>
      <c r="G94">
        <v>1419.4141846</v>
      </c>
      <c r="H94">
        <v>1403.041626</v>
      </c>
      <c r="I94">
        <v>1238.4631348</v>
      </c>
      <c r="J94">
        <v>1193.2716064000001</v>
      </c>
      <c r="K94">
        <v>2750</v>
      </c>
      <c r="L94">
        <v>0</v>
      </c>
      <c r="M94">
        <v>0</v>
      </c>
      <c r="N94">
        <v>2750</v>
      </c>
    </row>
    <row r="95" spans="1:14" x14ac:dyDescent="0.25">
      <c r="A95">
        <v>2.7179340000000001</v>
      </c>
      <c r="B95" s="1">
        <f>DATE(2010,5,3) + TIME(17,13,49)</f>
        <v>40301.717928240738</v>
      </c>
      <c r="C95">
        <v>80</v>
      </c>
      <c r="D95">
        <v>78.566055297999995</v>
      </c>
      <c r="E95">
        <v>50</v>
      </c>
      <c r="F95">
        <v>14.993885993999999</v>
      </c>
      <c r="G95">
        <v>1419.2166748</v>
      </c>
      <c r="H95">
        <v>1402.8652344</v>
      </c>
      <c r="I95">
        <v>1238.4644774999999</v>
      </c>
      <c r="J95">
        <v>1193.2729492000001</v>
      </c>
      <c r="K95">
        <v>2750</v>
      </c>
      <c r="L95">
        <v>0</v>
      </c>
      <c r="M95">
        <v>0</v>
      </c>
      <c r="N95">
        <v>2750</v>
      </c>
    </row>
    <row r="96" spans="1:14" x14ac:dyDescent="0.25">
      <c r="A96">
        <v>2.7969909999999998</v>
      </c>
      <c r="B96" s="1">
        <f>DATE(2010,5,3) + TIME(19,7,40)</f>
        <v>40301.796990740739</v>
      </c>
      <c r="C96">
        <v>80</v>
      </c>
      <c r="D96">
        <v>78.709800720000004</v>
      </c>
      <c r="E96">
        <v>50</v>
      </c>
      <c r="F96">
        <v>14.993918419</v>
      </c>
      <c r="G96">
        <v>1419.0185547000001</v>
      </c>
      <c r="H96">
        <v>1402.6865233999999</v>
      </c>
      <c r="I96">
        <v>1238.4659423999999</v>
      </c>
      <c r="J96">
        <v>1193.2744141000001</v>
      </c>
      <c r="K96">
        <v>2750</v>
      </c>
      <c r="L96">
        <v>0</v>
      </c>
      <c r="M96">
        <v>0</v>
      </c>
      <c r="N96">
        <v>2750</v>
      </c>
    </row>
    <row r="97" spans="1:14" x14ac:dyDescent="0.25">
      <c r="A97">
        <v>2.8785249999999998</v>
      </c>
      <c r="B97" s="1">
        <f>DATE(2010,5,3) + TIME(21,5,4)</f>
        <v>40301.878518518519</v>
      </c>
      <c r="C97">
        <v>80</v>
      </c>
      <c r="D97">
        <v>78.841522217000005</v>
      </c>
      <c r="E97">
        <v>50</v>
      </c>
      <c r="F97">
        <v>14.993950844</v>
      </c>
      <c r="G97">
        <v>1418.8203125</v>
      </c>
      <c r="H97">
        <v>1402.5056152</v>
      </c>
      <c r="I97">
        <v>1238.4674072</v>
      </c>
      <c r="J97">
        <v>1193.2757568</v>
      </c>
      <c r="K97">
        <v>2750</v>
      </c>
      <c r="L97">
        <v>0</v>
      </c>
      <c r="M97">
        <v>0</v>
      </c>
      <c r="N97">
        <v>2750</v>
      </c>
    </row>
    <row r="98" spans="1:14" x14ac:dyDescent="0.25">
      <c r="A98">
        <v>2.9627620000000001</v>
      </c>
      <c r="B98" s="1">
        <f>DATE(2010,5,3) + TIME(23,6,22)</f>
        <v>40301.962754629632</v>
      </c>
      <c r="C98">
        <v>80</v>
      </c>
      <c r="D98">
        <v>78.961997986</v>
      </c>
      <c r="E98">
        <v>50</v>
      </c>
      <c r="F98">
        <v>14.993983268999999</v>
      </c>
      <c r="G98">
        <v>1418.6220702999999</v>
      </c>
      <c r="H98">
        <v>1402.3232422000001</v>
      </c>
      <c r="I98">
        <v>1238.4688721</v>
      </c>
      <c r="J98">
        <v>1193.2772216999999</v>
      </c>
      <c r="K98">
        <v>2750</v>
      </c>
      <c r="L98">
        <v>0</v>
      </c>
      <c r="M98">
        <v>0</v>
      </c>
      <c r="N98">
        <v>2750</v>
      </c>
    </row>
    <row r="99" spans="1:14" x14ac:dyDescent="0.25">
      <c r="A99">
        <v>3.049823</v>
      </c>
      <c r="B99" s="1">
        <f>DATE(2010,5,4) + TIME(1,11,44)</f>
        <v>40302.049814814818</v>
      </c>
      <c r="C99">
        <v>80</v>
      </c>
      <c r="D99">
        <v>79.071807860999996</v>
      </c>
      <c r="E99">
        <v>50</v>
      </c>
      <c r="F99">
        <v>14.994014740000001</v>
      </c>
      <c r="G99">
        <v>1418.4235839999999</v>
      </c>
      <c r="H99">
        <v>1402.1389160000001</v>
      </c>
      <c r="I99">
        <v>1238.4703368999999</v>
      </c>
      <c r="J99">
        <v>1193.2786865</v>
      </c>
      <c r="K99">
        <v>2750</v>
      </c>
      <c r="L99">
        <v>0</v>
      </c>
      <c r="M99">
        <v>0</v>
      </c>
      <c r="N99">
        <v>2750</v>
      </c>
    </row>
    <row r="100" spans="1:14" x14ac:dyDescent="0.25">
      <c r="A100">
        <v>3.1399439999999998</v>
      </c>
      <c r="B100" s="1">
        <f>DATE(2010,5,4) + TIME(3,21,31)</f>
        <v>40302.13994212963</v>
      </c>
      <c r="C100">
        <v>80</v>
      </c>
      <c r="D100">
        <v>79.171638489000003</v>
      </c>
      <c r="E100">
        <v>50</v>
      </c>
      <c r="F100">
        <v>14.994048119</v>
      </c>
      <c r="G100">
        <v>1418.2246094</v>
      </c>
      <c r="H100">
        <v>1401.9526367000001</v>
      </c>
      <c r="I100">
        <v>1238.4718018000001</v>
      </c>
      <c r="J100">
        <v>1193.2801514</v>
      </c>
      <c r="K100">
        <v>2750</v>
      </c>
      <c r="L100">
        <v>0</v>
      </c>
      <c r="M100">
        <v>0</v>
      </c>
      <c r="N100">
        <v>2750</v>
      </c>
    </row>
    <row r="101" spans="1:14" x14ac:dyDescent="0.25">
      <c r="A101">
        <v>3.2333989999999999</v>
      </c>
      <c r="B101" s="1">
        <f>DATE(2010,5,4) + TIME(5,36,5)</f>
        <v>40302.233391203707</v>
      </c>
      <c r="C101">
        <v>80</v>
      </c>
      <c r="D101">
        <v>79.262161254999995</v>
      </c>
      <c r="E101">
        <v>50</v>
      </c>
      <c r="F101">
        <v>14.994080543999999</v>
      </c>
      <c r="G101">
        <v>1418.0249022999999</v>
      </c>
      <c r="H101">
        <v>1401.7644043</v>
      </c>
      <c r="I101">
        <v>1238.4733887</v>
      </c>
      <c r="J101">
        <v>1193.2817382999999</v>
      </c>
      <c r="K101">
        <v>2750</v>
      </c>
      <c r="L101">
        <v>0</v>
      </c>
      <c r="M101">
        <v>0</v>
      </c>
      <c r="N101">
        <v>2750</v>
      </c>
    </row>
    <row r="102" spans="1:14" x14ac:dyDescent="0.25">
      <c r="A102">
        <v>3.3304990000000001</v>
      </c>
      <c r="B102" s="1">
        <f>DATE(2010,5,4) + TIME(7,55,55)</f>
        <v>40302.330497685187</v>
      </c>
      <c r="C102">
        <v>80</v>
      </c>
      <c r="D102">
        <v>79.344017029</v>
      </c>
      <c r="E102">
        <v>50</v>
      </c>
      <c r="F102">
        <v>14.994112968</v>
      </c>
      <c r="G102">
        <v>1417.8239745999999</v>
      </c>
      <c r="H102">
        <v>1401.5736084</v>
      </c>
      <c r="I102">
        <v>1238.4750977000001</v>
      </c>
      <c r="J102">
        <v>1193.2833252</v>
      </c>
      <c r="K102">
        <v>2750</v>
      </c>
      <c r="L102">
        <v>0</v>
      </c>
      <c r="M102">
        <v>0</v>
      </c>
      <c r="N102">
        <v>2750</v>
      </c>
    </row>
    <row r="103" spans="1:14" x14ac:dyDescent="0.25">
      <c r="A103">
        <v>3.431495</v>
      </c>
      <c r="B103" s="1">
        <f>DATE(2010,5,4) + TIME(10,21,21)</f>
        <v>40302.431493055556</v>
      </c>
      <c r="C103">
        <v>80</v>
      </c>
      <c r="D103">
        <v>79.417732239000003</v>
      </c>
      <c r="E103">
        <v>50</v>
      </c>
      <c r="F103">
        <v>14.994146346999999</v>
      </c>
      <c r="G103">
        <v>1417.621582</v>
      </c>
      <c r="H103">
        <v>1401.380249</v>
      </c>
      <c r="I103">
        <v>1238.4766846</v>
      </c>
      <c r="J103">
        <v>1193.2849120999999</v>
      </c>
      <c r="K103">
        <v>2750</v>
      </c>
      <c r="L103">
        <v>0</v>
      </c>
      <c r="M103">
        <v>0</v>
      </c>
      <c r="N103">
        <v>2750</v>
      </c>
    </row>
    <row r="104" spans="1:14" x14ac:dyDescent="0.25">
      <c r="A104">
        <v>3.53566</v>
      </c>
      <c r="B104" s="1">
        <f>DATE(2010,5,4) + TIME(12,51,21)</f>
        <v>40302.53565972222</v>
      </c>
      <c r="C104">
        <v>80</v>
      </c>
      <c r="D104">
        <v>79.483314514</v>
      </c>
      <c r="E104">
        <v>50</v>
      </c>
      <c r="F104">
        <v>14.994179726</v>
      </c>
      <c r="G104">
        <v>1417.4174805</v>
      </c>
      <c r="H104">
        <v>1401.1839600000001</v>
      </c>
      <c r="I104">
        <v>1238.4783935999999</v>
      </c>
      <c r="J104">
        <v>1193.2866211</v>
      </c>
      <c r="K104">
        <v>2750</v>
      </c>
      <c r="L104">
        <v>0</v>
      </c>
      <c r="M104">
        <v>0</v>
      </c>
      <c r="N104">
        <v>2750</v>
      </c>
    </row>
    <row r="105" spans="1:14" x14ac:dyDescent="0.25">
      <c r="A105">
        <v>3.6400030000000001</v>
      </c>
      <c r="B105" s="1">
        <f>DATE(2010,5,4) + TIME(15,21,36)</f>
        <v>40302.639999999999</v>
      </c>
      <c r="C105">
        <v>80</v>
      </c>
      <c r="D105">
        <v>79.539970397999994</v>
      </c>
      <c r="E105">
        <v>50</v>
      </c>
      <c r="F105">
        <v>14.994212150999999</v>
      </c>
      <c r="G105">
        <v>1417.2137451000001</v>
      </c>
      <c r="H105">
        <v>1400.9868164</v>
      </c>
      <c r="I105">
        <v>1238.4801024999999</v>
      </c>
      <c r="J105">
        <v>1193.2883300999999</v>
      </c>
      <c r="K105">
        <v>2750</v>
      </c>
      <c r="L105">
        <v>0</v>
      </c>
      <c r="M105">
        <v>0</v>
      </c>
      <c r="N105">
        <v>2750</v>
      </c>
    </row>
    <row r="106" spans="1:14" x14ac:dyDescent="0.25">
      <c r="A106">
        <v>3.7447249999999999</v>
      </c>
      <c r="B106" s="1">
        <f>DATE(2010,5,4) + TIME(17,52,24)</f>
        <v>40302.744722222225</v>
      </c>
      <c r="C106">
        <v>80</v>
      </c>
      <c r="D106">
        <v>79.589004517000006</v>
      </c>
      <c r="E106">
        <v>50</v>
      </c>
      <c r="F106">
        <v>14.994243622000001</v>
      </c>
      <c r="G106">
        <v>1417.0153809000001</v>
      </c>
      <c r="H106">
        <v>1400.7939452999999</v>
      </c>
      <c r="I106">
        <v>1238.4818115</v>
      </c>
      <c r="J106">
        <v>1193.2900391000001</v>
      </c>
      <c r="K106">
        <v>2750</v>
      </c>
      <c r="L106">
        <v>0</v>
      </c>
      <c r="M106">
        <v>0</v>
      </c>
      <c r="N106">
        <v>2750</v>
      </c>
    </row>
    <row r="107" spans="1:14" x14ac:dyDescent="0.25">
      <c r="A107">
        <v>3.850015</v>
      </c>
      <c r="B107" s="1">
        <f>DATE(2010,5,4) + TIME(20,24,1)</f>
        <v>40302.850011574075</v>
      </c>
      <c r="C107">
        <v>80</v>
      </c>
      <c r="D107">
        <v>79.631500243999994</v>
      </c>
      <c r="E107">
        <v>50</v>
      </c>
      <c r="F107">
        <v>14.994275093000001</v>
      </c>
      <c r="G107">
        <v>1416.8217772999999</v>
      </c>
      <c r="H107">
        <v>1400.6052245999999</v>
      </c>
      <c r="I107">
        <v>1238.4835204999999</v>
      </c>
      <c r="J107">
        <v>1193.2917480000001</v>
      </c>
      <c r="K107">
        <v>2750</v>
      </c>
      <c r="L107">
        <v>0</v>
      </c>
      <c r="M107">
        <v>0</v>
      </c>
      <c r="N107">
        <v>2750</v>
      </c>
    </row>
    <row r="108" spans="1:14" x14ac:dyDescent="0.25">
      <c r="A108">
        <v>3.9559980000000001</v>
      </c>
      <c r="B108" s="1">
        <f>DATE(2010,5,4) + TIME(22,56,38)</f>
        <v>40302.955995370372</v>
      </c>
      <c r="C108">
        <v>80</v>
      </c>
      <c r="D108">
        <v>79.668350219999994</v>
      </c>
      <c r="E108">
        <v>50</v>
      </c>
      <c r="F108">
        <v>14.994305611</v>
      </c>
      <c r="G108">
        <v>1416.6324463000001</v>
      </c>
      <c r="H108">
        <v>1400.4199219</v>
      </c>
      <c r="I108">
        <v>1238.4852295000001</v>
      </c>
      <c r="J108">
        <v>1193.2933350000001</v>
      </c>
      <c r="K108">
        <v>2750</v>
      </c>
      <c r="L108">
        <v>0</v>
      </c>
      <c r="M108">
        <v>0</v>
      </c>
      <c r="N108">
        <v>2750</v>
      </c>
    </row>
    <row r="109" spans="1:14" x14ac:dyDescent="0.25">
      <c r="A109">
        <v>4.0625400000000003</v>
      </c>
      <c r="B109" s="1">
        <f>DATE(2010,5,5) + TIME(1,30,3)</f>
        <v>40303.062534722223</v>
      </c>
      <c r="C109">
        <v>80</v>
      </c>
      <c r="D109">
        <v>79.700256347999996</v>
      </c>
      <c r="E109">
        <v>50</v>
      </c>
      <c r="F109">
        <v>14.994335175</v>
      </c>
      <c r="G109">
        <v>1416.4470214999999</v>
      </c>
      <c r="H109">
        <v>1400.2379149999999</v>
      </c>
      <c r="I109">
        <v>1238.4869385</v>
      </c>
      <c r="J109">
        <v>1193.2950439000001</v>
      </c>
      <c r="K109">
        <v>2750</v>
      </c>
      <c r="L109">
        <v>0</v>
      </c>
      <c r="M109">
        <v>0</v>
      </c>
      <c r="N109">
        <v>2750</v>
      </c>
    </row>
    <row r="110" spans="1:14" x14ac:dyDescent="0.25">
      <c r="A110">
        <v>4.1697870000000004</v>
      </c>
      <c r="B110" s="1">
        <f>DATE(2010,5,5) + TIME(4,4,29)</f>
        <v>40303.16978009259</v>
      </c>
      <c r="C110">
        <v>80</v>
      </c>
      <c r="D110">
        <v>79.727905273000005</v>
      </c>
      <c r="E110">
        <v>50</v>
      </c>
      <c r="F110">
        <v>14.994364738</v>
      </c>
      <c r="G110">
        <v>1416.2652588000001</v>
      </c>
      <c r="H110">
        <v>1400.0592041</v>
      </c>
      <c r="I110">
        <v>1238.4886475000001</v>
      </c>
      <c r="J110">
        <v>1193.2967529</v>
      </c>
      <c r="K110">
        <v>2750</v>
      </c>
      <c r="L110">
        <v>0</v>
      </c>
      <c r="M110">
        <v>0</v>
      </c>
      <c r="N110">
        <v>2750</v>
      </c>
    </row>
    <row r="111" spans="1:14" x14ac:dyDescent="0.25">
      <c r="A111">
        <v>4.2778879999999999</v>
      </c>
      <c r="B111" s="1">
        <f>DATE(2010,5,5) + TIME(6,40,9)</f>
        <v>40303.277881944443</v>
      </c>
      <c r="C111">
        <v>80</v>
      </c>
      <c r="D111">
        <v>79.751884459999999</v>
      </c>
      <c r="E111">
        <v>50</v>
      </c>
      <c r="F111">
        <v>14.994394302</v>
      </c>
      <c r="G111">
        <v>1416.0869141000001</v>
      </c>
      <c r="H111">
        <v>1399.8834228999999</v>
      </c>
      <c r="I111">
        <v>1238.4903564000001</v>
      </c>
      <c r="J111">
        <v>1193.2984618999999</v>
      </c>
      <c r="K111">
        <v>2750</v>
      </c>
      <c r="L111">
        <v>0</v>
      </c>
      <c r="M111">
        <v>0</v>
      </c>
      <c r="N111">
        <v>2750</v>
      </c>
    </row>
    <row r="112" spans="1:14" x14ac:dyDescent="0.25">
      <c r="A112">
        <v>4.3870069999999997</v>
      </c>
      <c r="B112" s="1">
        <f>DATE(2010,5,5) + TIME(9,17,17)</f>
        <v>40303.387002314812</v>
      </c>
      <c r="C112">
        <v>80</v>
      </c>
      <c r="D112">
        <v>79.772697449000006</v>
      </c>
      <c r="E112">
        <v>50</v>
      </c>
      <c r="F112">
        <v>14.994422912999999</v>
      </c>
      <c r="G112">
        <v>1415.9116211</v>
      </c>
      <c r="H112">
        <v>1399.7103271000001</v>
      </c>
      <c r="I112">
        <v>1238.4921875</v>
      </c>
      <c r="J112">
        <v>1193.3001709</v>
      </c>
      <c r="K112">
        <v>2750</v>
      </c>
      <c r="L112">
        <v>0</v>
      </c>
      <c r="M112">
        <v>0</v>
      </c>
      <c r="N112">
        <v>2750</v>
      </c>
    </row>
    <row r="113" spans="1:14" x14ac:dyDescent="0.25">
      <c r="A113">
        <v>4.4972969999999997</v>
      </c>
      <c r="B113" s="1">
        <f>DATE(2010,5,5) + TIME(11,56,6)</f>
        <v>40303.497291666667</v>
      </c>
      <c r="C113">
        <v>80</v>
      </c>
      <c r="D113">
        <v>79.790771484000004</v>
      </c>
      <c r="E113">
        <v>50</v>
      </c>
      <c r="F113">
        <v>14.994451523</v>
      </c>
      <c r="G113">
        <v>1415.7388916</v>
      </c>
      <c r="H113">
        <v>1399.5395507999999</v>
      </c>
      <c r="I113">
        <v>1238.4938964999999</v>
      </c>
      <c r="J113">
        <v>1193.3018798999999</v>
      </c>
      <c r="K113">
        <v>2750</v>
      </c>
      <c r="L113">
        <v>0</v>
      </c>
      <c r="M113">
        <v>0</v>
      </c>
      <c r="N113">
        <v>2750</v>
      </c>
    </row>
    <row r="114" spans="1:14" x14ac:dyDescent="0.25">
      <c r="A114">
        <v>4.6089140000000004</v>
      </c>
      <c r="B114" s="1">
        <f>DATE(2010,5,5) + TIME(14,36,50)</f>
        <v>40303.608912037038</v>
      </c>
      <c r="C114">
        <v>80</v>
      </c>
      <c r="D114">
        <v>79.806472778</v>
      </c>
      <c r="E114">
        <v>50</v>
      </c>
      <c r="F114">
        <v>14.994479179000001</v>
      </c>
      <c r="G114">
        <v>1415.5684814000001</v>
      </c>
      <c r="H114">
        <v>1399.3707274999999</v>
      </c>
      <c r="I114">
        <v>1238.4956055</v>
      </c>
      <c r="J114">
        <v>1193.3035889</v>
      </c>
      <c r="K114">
        <v>2750</v>
      </c>
      <c r="L114">
        <v>0</v>
      </c>
      <c r="M114">
        <v>0</v>
      </c>
      <c r="N114">
        <v>2750</v>
      </c>
    </row>
    <row r="115" spans="1:14" x14ac:dyDescent="0.25">
      <c r="A115">
        <v>4.7220170000000001</v>
      </c>
      <c r="B115" s="1">
        <f>DATE(2010,5,5) + TIME(17,19,42)</f>
        <v>40303.722013888888</v>
      </c>
      <c r="C115">
        <v>80</v>
      </c>
      <c r="D115">
        <v>79.820121764999996</v>
      </c>
      <c r="E115">
        <v>50</v>
      </c>
      <c r="F115">
        <v>14.994506835999999</v>
      </c>
      <c r="G115">
        <v>1415.4000243999999</v>
      </c>
      <c r="H115">
        <v>1399.2037353999999</v>
      </c>
      <c r="I115">
        <v>1238.4973144999999</v>
      </c>
      <c r="J115">
        <v>1193.3052978999999</v>
      </c>
      <c r="K115">
        <v>2750</v>
      </c>
      <c r="L115">
        <v>0</v>
      </c>
      <c r="M115">
        <v>0</v>
      </c>
      <c r="N115">
        <v>2750</v>
      </c>
    </row>
    <row r="116" spans="1:14" x14ac:dyDescent="0.25">
      <c r="A116">
        <v>4.8367740000000001</v>
      </c>
      <c r="B116" s="1">
        <f>DATE(2010,5,5) + TIME(20,4,57)</f>
        <v>40303.836770833332</v>
      </c>
      <c r="C116">
        <v>80</v>
      </c>
      <c r="D116">
        <v>79.831985474000007</v>
      </c>
      <c r="E116">
        <v>50</v>
      </c>
      <c r="F116">
        <v>14.994534492</v>
      </c>
      <c r="G116">
        <v>1415.2332764</v>
      </c>
      <c r="H116">
        <v>1399.0383300999999</v>
      </c>
      <c r="I116">
        <v>1238.4991454999999</v>
      </c>
      <c r="J116">
        <v>1193.3070068</v>
      </c>
      <c r="K116">
        <v>2750</v>
      </c>
      <c r="L116">
        <v>0</v>
      </c>
      <c r="M116">
        <v>0</v>
      </c>
      <c r="N116">
        <v>2750</v>
      </c>
    </row>
    <row r="117" spans="1:14" x14ac:dyDescent="0.25">
      <c r="A117">
        <v>4.9533550000000002</v>
      </c>
      <c r="B117" s="1">
        <f>DATE(2010,5,5) + TIME(22,52,49)</f>
        <v>40303.953344907408</v>
      </c>
      <c r="C117">
        <v>80</v>
      </c>
      <c r="D117">
        <v>79.842292786000002</v>
      </c>
      <c r="E117">
        <v>50</v>
      </c>
      <c r="F117">
        <v>14.994562149</v>
      </c>
      <c r="G117">
        <v>1415.0678711</v>
      </c>
      <c r="H117">
        <v>1398.8740233999999</v>
      </c>
      <c r="I117">
        <v>1238.5009766000001</v>
      </c>
      <c r="J117">
        <v>1193.3088379000001</v>
      </c>
      <c r="K117">
        <v>2750</v>
      </c>
      <c r="L117">
        <v>0</v>
      </c>
      <c r="M117">
        <v>0</v>
      </c>
      <c r="N117">
        <v>2750</v>
      </c>
    </row>
    <row r="118" spans="1:14" x14ac:dyDescent="0.25">
      <c r="A118">
        <v>5.0719440000000002</v>
      </c>
      <c r="B118" s="1">
        <f>DATE(2010,5,6) + TIME(1,43,35)</f>
        <v>40304.071932870371</v>
      </c>
      <c r="C118">
        <v>80</v>
      </c>
      <c r="D118">
        <v>79.851257324000002</v>
      </c>
      <c r="E118">
        <v>50</v>
      </c>
      <c r="F118">
        <v>14.994589806</v>
      </c>
      <c r="G118">
        <v>1414.9036865</v>
      </c>
      <c r="H118">
        <v>1398.7108154</v>
      </c>
      <c r="I118">
        <v>1238.5026855000001</v>
      </c>
      <c r="J118">
        <v>1193.3106689000001</v>
      </c>
      <c r="K118">
        <v>2750</v>
      </c>
      <c r="L118">
        <v>0</v>
      </c>
      <c r="M118">
        <v>0</v>
      </c>
      <c r="N118">
        <v>2750</v>
      </c>
    </row>
    <row r="119" spans="1:14" x14ac:dyDescent="0.25">
      <c r="A119">
        <v>5.1927339999999997</v>
      </c>
      <c r="B119" s="1">
        <f>DATE(2010,5,6) + TIME(4,37,32)</f>
        <v>40304.192731481482</v>
      </c>
      <c r="C119">
        <v>80</v>
      </c>
      <c r="D119">
        <v>79.859054564999994</v>
      </c>
      <c r="E119">
        <v>50</v>
      </c>
      <c r="F119">
        <v>14.994616508</v>
      </c>
      <c r="G119">
        <v>1414.7402344</v>
      </c>
      <c r="H119">
        <v>1398.5484618999999</v>
      </c>
      <c r="I119">
        <v>1238.5046387</v>
      </c>
      <c r="J119">
        <v>1193.3125</v>
      </c>
      <c r="K119">
        <v>2750</v>
      </c>
      <c r="L119">
        <v>0</v>
      </c>
      <c r="M119">
        <v>0</v>
      </c>
      <c r="N119">
        <v>2750</v>
      </c>
    </row>
    <row r="120" spans="1:14" x14ac:dyDescent="0.25">
      <c r="A120">
        <v>5.3159470000000004</v>
      </c>
      <c r="B120" s="1">
        <f>DATE(2010,5,6) + TIME(7,34,57)</f>
        <v>40304.315937500003</v>
      </c>
      <c r="C120">
        <v>80</v>
      </c>
      <c r="D120">
        <v>79.865829468000001</v>
      </c>
      <c r="E120">
        <v>50</v>
      </c>
      <c r="F120">
        <v>14.994644165</v>
      </c>
      <c r="G120">
        <v>1414.5775146000001</v>
      </c>
      <c r="H120">
        <v>1398.3867187999999</v>
      </c>
      <c r="I120">
        <v>1238.5064697</v>
      </c>
      <c r="J120">
        <v>1193.3143310999999</v>
      </c>
      <c r="K120">
        <v>2750</v>
      </c>
      <c r="L120">
        <v>0</v>
      </c>
      <c r="M120">
        <v>0</v>
      </c>
      <c r="N120">
        <v>2750</v>
      </c>
    </row>
    <row r="121" spans="1:14" x14ac:dyDescent="0.25">
      <c r="A121">
        <v>5.4418189999999997</v>
      </c>
      <c r="B121" s="1">
        <f>DATE(2010,5,6) + TIME(10,36,13)</f>
        <v>40304.441817129627</v>
      </c>
      <c r="C121">
        <v>80</v>
      </c>
      <c r="D121">
        <v>79.871726989999999</v>
      </c>
      <c r="E121">
        <v>50</v>
      </c>
      <c r="F121">
        <v>14.994670868</v>
      </c>
      <c r="G121">
        <v>1414.4152832</v>
      </c>
      <c r="H121">
        <v>1398.2252197</v>
      </c>
      <c r="I121">
        <v>1238.5084228999999</v>
      </c>
      <c r="J121">
        <v>1193.3161620999999</v>
      </c>
      <c r="K121">
        <v>2750</v>
      </c>
      <c r="L121">
        <v>0</v>
      </c>
      <c r="M121">
        <v>0</v>
      </c>
      <c r="N121">
        <v>2750</v>
      </c>
    </row>
    <row r="122" spans="1:14" x14ac:dyDescent="0.25">
      <c r="A122">
        <v>5.5703250000000004</v>
      </c>
      <c r="B122" s="1">
        <f>DATE(2010,5,6) + TIME(13,41,16)</f>
        <v>40304.570324074077</v>
      </c>
      <c r="C122">
        <v>80</v>
      </c>
      <c r="D122">
        <v>79.876846313000001</v>
      </c>
      <c r="E122">
        <v>50</v>
      </c>
      <c r="F122">
        <v>14.994697571</v>
      </c>
      <c r="G122">
        <v>1414.2530518000001</v>
      </c>
      <c r="H122">
        <v>1398.0638428</v>
      </c>
      <c r="I122">
        <v>1238.5102539</v>
      </c>
      <c r="J122">
        <v>1193.3181152</v>
      </c>
      <c r="K122">
        <v>2750</v>
      </c>
      <c r="L122">
        <v>0</v>
      </c>
      <c r="M122">
        <v>0</v>
      </c>
      <c r="N122">
        <v>2750</v>
      </c>
    </row>
    <row r="123" spans="1:14" x14ac:dyDescent="0.25">
      <c r="A123">
        <v>5.7016730000000004</v>
      </c>
      <c r="B123" s="1">
        <f>DATE(2010,5,6) + TIME(16,50,24)</f>
        <v>40304.701666666668</v>
      </c>
      <c r="C123">
        <v>80</v>
      </c>
      <c r="D123">
        <v>79.881294249999996</v>
      </c>
      <c r="E123">
        <v>50</v>
      </c>
      <c r="F123">
        <v>14.994725227</v>
      </c>
      <c r="G123">
        <v>1414.0910644999999</v>
      </c>
      <c r="H123">
        <v>1397.9027100000001</v>
      </c>
      <c r="I123">
        <v>1238.5123291</v>
      </c>
      <c r="J123">
        <v>1193.3200684000001</v>
      </c>
      <c r="K123">
        <v>2750</v>
      </c>
      <c r="L123">
        <v>0</v>
      </c>
      <c r="M123">
        <v>0</v>
      </c>
      <c r="N123">
        <v>2750</v>
      </c>
    </row>
    <row r="124" spans="1:14" x14ac:dyDescent="0.25">
      <c r="A124">
        <v>5.8361179999999999</v>
      </c>
      <c r="B124" s="1">
        <f>DATE(2010,5,6) + TIME(20,4,0)</f>
        <v>40304.836111111108</v>
      </c>
      <c r="C124">
        <v>80</v>
      </c>
      <c r="D124">
        <v>79.885154724000003</v>
      </c>
      <c r="E124">
        <v>50</v>
      </c>
      <c r="F124">
        <v>14.99475193</v>
      </c>
      <c r="G124">
        <v>1413.9290771000001</v>
      </c>
      <c r="H124">
        <v>1397.7415771000001</v>
      </c>
      <c r="I124">
        <v>1238.5142822</v>
      </c>
      <c r="J124">
        <v>1193.3220214999999</v>
      </c>
      <c r="K124">
        <v>2750</v>
      </c>
      <c r="L124">
        <v>0</v>
      </c>
      <c r="M124">
        <v>0</v>
      </c>
      <c r="N124">
        <v>2750</v>
      </c>
    </row>
    <row r="125" spans="1:14" x14ac:dyDescent="0.25">
      <c r="A125">
        <v>5.9739360000000001</v>
      </c>
      <c r="B125" s="1">
        <f>DATE(2010,5,6) + TIME(23,22,28)</f>
        <v>40304.973935185182</v>
      </c>
      <c r="C125">
        <v>80</v>
      </c>
      <c r="D125">
        <v>79.888519286999994</v>
      </c>
      <c r="E125">
        <v>50</v>
      </c>
      <c r="F125">
        <v>14.994779587</v>
      </c>
      <c r="G125">
        <v>1413.7668457</v>
      </c>
      <c r="H125">
        <v>1397.5803223</v>
      </c>
      <c r="I125">
        <v>1238.5163574000001</v>
      </c>
      <c r="J125">
        <v>1193.3240966999999</v>
      </c>
      <c r="K125">
        <v>2750</v>
      </c>
      <c r="L125">
        <v>0</v>
      </c>
      <c r="M125">
        <v>0</v>
      </c>
      <c r="N125">
        <v>2750</v>
      </c>
    </row>
    <row r="126" spans="1:14" x14ac:dyDescent="0.25">
      <c r="A126">
        <v>6.1154279999999996</v>
      </c>
      <c r="B126" s="1">
        <f>DATE(2010,5,7) + TIME(2,46,13)</f>
        <v>40305.115428240744</v>
      </c>
      <c r="C126">
        <v>80</v>
      </c>
      <c r="D126">
        <v>79.891441345000004</v>
      </c>
      <c r="E126">
        <v>50</v>
      </c>
      <c r="F126">
        <v>14.994807243</v>
      </c>
      <c r="G126">
        <v>1413.6042480000001</v>
      </c>
      <c r="H126">
        <v>1397.4185791</v>
      </c>
      <c r="I126">
        <v>1238.5184326000001</v>
      </c>
      <c r="J126">
        <v>1193.3261719</v>
      </c>
      <c r="K126">
        <v>2750</v>
      </c>
      <c r="L126">
        <v>0</v>
      </c>
      <c r="M126">
        <v>0</v>
      </c>
      <c r="N126">
        <v>2750</v>
      </c>
    </row>
    <row r="127" spans="1:14" x14ac:dyDescent="0.25">
      <c r="A127">
        <v>6.2609320000000004</v>
      </c>
      <c r="B127" s="1">
        <f>DATE(2010,5,7) + TIME(6,15,44)</f>
        <v>40305.260925925926</v>
      </c>
      <c r="C127">
        <v>80</v>
      </c>
      <c r="D127">
        <v>79.893981933999996</v>
      </c>
      <c r="E127">
        <v>50</v>
      </c>
      <c r="F127">
        <v>14.994834900000001</v>
      </c>
      <c r="G127">
        <v>1413.440918</v>
      </c>
      <c r="H127">
        <v>1397.2562256000001</v>
      </c>
      <c r="I127">
        <v>1238.5206298999999</v>
      </c>
      <c r="J127">
        <v>1193.3282471</v>
      </c>
      <c r="K127">
        <v>2750</v>
      </c>
      <c r="L127">
        <v>0</v>
      </c>
      <c r="M127">
        <v>0</v>
      </c>
      <c r="N127">
        <v>2750</v>
      </c>
    </row>
    <row r="128" spans="1:14" x14ac:dyDescent="0.25">
      <c r="A128">
        <v>6.4107779999999996</v>
      </c>
      <c r="B128" s="1">
        <f>DATE(2010,5,7) + TIME(9,51,31)</f>
        <v>40305.410775462966</v>
      </c>
      <c r="C128">
        <v>80</v>
      </c>
      <c r="D128">
        <v>79.896202087000006</v>
      </c>
      <c r="E128">
        <v>50</v>
      </c>
      <c r="F128">
        <v>14.994862555999999</v>
      </c>
      <c r="G128">
        <v>1413.2766113</v>
      </c>
      <c r="H128">
        <v>1397.0928954999999</v>
      </c>
      <c r="I128">
        <v>1238.5228271000001</v>
      </c>
      <c r="J128">
        <v>1193.3304443</v>
      </c>
      <c r="K128">
        <v>2750</v>
      </c>
      <c r="L128">
        <v>0</v>
      </c>
      <c r="M128">
        <v>0</v>
      </c>
      <c r="N128">
        <v>2750</v>
      </c>
    </row>
    <row r="129" spans="1:14" x14ac:dyDescent="0.25">
      <c r="A129">
        <v>6.5651380000000001</v>
      </c>
      <c r="B129" s="1">
        <f>DATE(2010,5,7) + TIME(13,33,47)</f>
        <v>40305.565127314818</v>
      </c>
      <c r="C129">
        <v>80</v>
      </c>
      <c r="D129">
        <v>79.898139954000001</v>
      </c>
      <c r="E129">
        <v>50</v>
      </c>
      <c r="F129">
        <v>14.994890213</v>
      </c>
      <c r="G129">
        <v>1413.1110839999999</v>
      </c>
      <c r="H129">
        <v>1396.9284668</v>
      </c>
      <c r="I129">
        <v>1238.5251464999999</v>
      </c>
      <c r="J129">
        <v>1193.3326416</v>
      </c>
      <c r="K129">
        <v>2750</v>
      </c>
      <c r="L129">
        <v>0</v>
      </c>
      <c r="M129">
        <v>0</v>
      </c>
      <c r="N129">
        <v>2750</v>
      </c>
    </row>
    <row r="130" spans="1:14" x14ac:dyDescent="0.25">
      <c r="A130">
        <v>6.7241900000000001</v>
      </c>
      <c r="B130" s="1">
        <f>DATE(2010,5,7) + TIME(17,22,49)</f>
        <v>40305.724178240744</v>
      </c>
      <c r="C130">
        <v>80</v>
      </c>
      <c r="D130">
        <v>79.899826050000001</v>
      </c>
      <c r="E130">
        <v>50</v>
      </c>
      <c r="F130">
        <v>14.994918823000001</v>
      </c>
      <c r="G130">
        <v>1412.9444579999999</v>
      </c>
      <c r="H130">
        <v>1396.7629394999999</v>
      </c>
      <c r="I130">
        <v>1238.5274658000001</v>
      </c>
      <c r="J130">
        <v>1193.3349608999999</v>
      </c>
      <c r="K130">
        <v>2750</v>
      </c>
      <c r="L130">
        <v>0</v>
      </c>
      <c r="M130">
        <v>0</v>
      </c>
      <c r="N130">
        <v>2750</v>
      </c>
    </row>
    <row r="131" spans="1:14" x14ac:dyDescent="0.25">
      <c r="A131">
        <v>6.8881220000000001</v>
      </c>
      <c r="B131" s="1">
        <f>DATE(2010,5,7) + TIME(21,18,53)</f>
        <v>40305.888113425928</v>
      </c>
      <c r="C131">
        <v>80</v>
      </c>
      <c r="D131">
        <v>79.901298522999994</v>
      </c>
      <c r="E131">
        <v>50</v>
      </c>
      <c r="F131">
        <v>14.994947433</v>
      </c>
      <c r="G131">
        <v>1412.7764893000001</v>
      </c>
      <c r="H131">
        <v>1396.5961914</v>
      </c>
      <c r="I131">
        <v>1238.5297852000001</v>
      </c>
      <c r="J131">
        <v>1193.3372803</v>
      </c>
      <c r="K131">
        <v>2750</v>
      </c>
      <c r="L131">
        <v>0</v>
      </c>
      <c r="M131">
        <v>0</v>
      </c>
      <c r="N131">
        <v>2750</v>
      </c>
    </row>
    <row r="132" spans="1:14" x14ac:dyDescent="0.25">
      <c r="A132">
        <v>6.9716069999999997</v>
      </c>
      <c r="B132" s="1">
        <f>DATE(2010,5,7) + TIME(23,19,6)</f>
        <v>40305.971597222226</v>
      </c>
      <c r="C132">
        <v>80</v>
      </c>
      <c r="D132">
        <v>79.901977539000001</v>
      </c>
      <c r="E132">
        <v>50</v>
      </c>
      <c r="F132">
        <v>14.994962692</v>
      </c>
      <c r="G132">
        <v>1412.6062012</v>
      </c>
      <c r="H132">
        <v>1396.4261475000001</v>
      </c>
      <c r="I132">
        <v>1238.5318603999999</v>
      </c>
      <c r="J132">
        <v>1193.3393555</v>
      </c>
      <c r="K132">
        <v>2750</v>
      </c>
      <c r="L132">
        <v>0</v>
      </c>
      <c r="M132">
        <v>0</v>
      </c>
      <c r="N132">
        <v>2750</v>
      </c>
    </row>
    <row r="133" spans="1:14" x14ac:dyDescent="0.25">
      <c r="A133">
        <v>7.0550930000000003</v>
      </c>
      <c r="B133" s="1">
        <f>DATE(2010,5,8) + TIME(1,19,20)</f>
        <v>40306.055092592593</v>
      </c>
      <c r="C133">
        <v>80</v>
      </c>
      <c r="D133">
        <v>79.902610779</v>
      </c>
      <c r="E133">
        <v>50</v>
      </c>
      <c r="F133">
        <v>14.994977950999999</v>
      </c>
      <c r="G133">
        <v>1412.5200195</v>
      </c>
      <c r="H133">
        <v>1396.3406981999999</v>
      </c>
      <c r="I133">
        <v>1238.5332031</v>
      </c>
      <c r="J133">
        <v>1193.3405762</v>
      </c>
      <c r="K133">
        <v>2750</v>
      </c>
      <c r="L133">
        <v>0</v>
      </c>
      <c r="M133">
        <v>0</v>
      </c>
      <c r="N133">
        <v>2750</v>
      </c>
    </row>
    <row r="134" spans="1:14" x14ac:dyDescent="0.25">
      <c r="A134">
        <v>7.2220649999999997</v>
      </c>
      <c r="B134" s="1">
        <f>DATE(2010,5,8) + TIME(5,19,46)</f>
        <v>40306.222060185188</v>
      </c>
      <c r="C134">
        <v>80</v>
      </c>
      <c r="D134">
        <v>79.903701781999999</v>
      </c>
      <c r="E134">
        <v>50</v>
      </c>
      <c r="F134">
        <v>14.995005608</v>
      </c>
      <c r="G134">
        <v>1412.4379882999999</v>
      </c>
      <c r="H134">
        <v>1396.260376</v>
      </c>
      <c r="I134">
        <v>1238.5347899999999</v>
      </c>
      <c r="J134">
        <v>1193.3421631000001</v>
      </c>
      <c r="K134">
        <v>2750</v>
      </c>
      <c r="L134">
        <v>0</v>
      </c>
      <c r="M134">
        <v>0</v>
      </c>
      <c r="N134">
        <v>2750</v>
      </c>
    </row>
    <row r="135" spans="1:14" x14ac:dyDescent="0.25">
      <c r="A135">
        <v>7.3891429999999998</v>
      </c>
      <c r="B135" s="1">
        <f>DATE(2010,5,8) + TIME(9,20,21)</f>
        <v>40306.389131944445</v>
      </c>
      <c r="C135">
        <v>80</v>
      </c>
      <c r="D135">
        <v>79.904624939000001</v>
      </c>
      <c r="E135">
        <v>50</v>
      </c>
      <c r="F135">
        <v>14.995032309999999</v>
      </c>
      <c r="G135">
        <v>1412.2739257999999</v>
      </c>
      <c r="H135">
        <v>1396.0977783000001</v>
      </c>
      <c r="I135">
        <v>1238.5372314000001</v>
      </c>
      <c r="J135">
        <v>1193.3446045000001</v>
      </c>
      <c r="K135">
        <v>2750</v>
      </c>
      <c r="L135">
        <v>0</v>
      </c>
      <c r="M135">
        <v>0</v>
      </c>
      <c r="N135">
        <v>2750</v>
      </c>
    </row>
    <row r="136" spans="1:14" x14ac:dyDescent="0.25">
      <c r="A136">
        <v>7.5567080000000004</v>
      </c>
      <c r="B136" s="1">
        <f>DATE(2010,5,8) + TIME(13,21,39)</f>
        <v>40306.556701388887</v>
      </c>
      <c r="C136">
        <v>80</v>
      </c>
      <c r="D136">
        <v>79.905426024999997</v>
      </c>
      <c r="E136">
        <v>50</v>
      </c>
      <c r="F136">
        <v>14.995059013000001</v>
      </c>
      <c r="G136">
        <v>1412.1126709</v>
      </c>
      <c r="H136">
        <v>1395.9379882999999</v>
      </c>
      <c r="I136">
        <v>1238.5396728999999</v>
      </c>
      <c r="J136">
        <v>1193.3470459</v>
      </c>
      <c r="K136">
        <v>2750</v>
      </c>
      <c r="L136">
        <v>0</v>
      </c>
      <c r="M136">
        <v>0</v>
      </c>
      <c r="N136">
        <v>2750</v>
      </c>
    </row>
    <row r="137" spans="1:14" x14ac:dyDescent="0.25">
      <c r="A137">
        <v>7.7249850000000002</v>
      </c>
      <c r="B137" s="1">
        <f>DATE(2010,5,8) + TIME(17,23,58)</f>
        <v>40306.724976851852</v>
      </c>
      <c r="C137">
        <v>80</v>
      </c>
      <c r="D137">
        <v>79.906127929999997</v>
      </c>
      <c r="E137">
        <v>50</v>
      </c>
      <c r="F137">
        <v>14.995085716</v>
      </c>
      <c r="G137">
        <v>1411.9542236</v>
      </c>
      <c r="H137">
        <v>1395.7811279</v>
      </c>
      <c r="I137">
        <v>1238.5422363</v>
      </c>
      <c r="J137">
        <v>1193.3494873</v>
      </c>
      <c r="K137">
        <v>2750</v>
      </c>
      <c r="L137">
        <v>0</v>
      </c>
      <c r="M137">
        <v>0</v>
      </c>
      <c r="N137">
        <v>2750</v>
      </c>
    </row>
    <row r="138" spans="1:14" x14ac:dyDescent="0.25">
      <c r="A138">
        <v>7.8942600000000001</v>
      </c>
      <c r="B138" s="1">
        <f>DATE(2010,5,8) + TIME(21,27,44)</f>
        <v>40306.894259259258</v>
      </c>
      <c r="C138">
        <v>80</v>
      </c>
      <c r="D138">
        <v>79.906738281000003</v>
      </c>
      <c r="E138">
        <v>50</v>
      </c>
      <c r="F138">
        <v>14.995111465000001</v>
      </c>
      <c r="G138">
        <v>1411.7984618999999</v>
      </c>
      <c r="H138">
        <v>1395.6269531</v>
      </c>
      <c r="I138">
        <v>1238.5446777</v>
      </c>
      <c r="J138">
        <v>1193.3519286999999</v>
      </c>
      <c r="K138">
        <v>2750</v>
      </c>
      <c r="L138">
        <v>0</v>
      </c>
      <c r="M138">
        <v>0</v>
      </c>
      <c r="N138">
        <v>2750</v>
      </c>
    </row>
    <row r="139" spans="1:14" x14ac:dyDescent="0.25">
      <c r="A139">
        <v>8.0647880000000001</v>
      </c>
      <c r="B139" s="1">
        <f>DATE(2010,5,9) + TIME(1,33,17)</f>
        <v>40307.064780092594</v>
      </c>
      <c r="C139">
        <v>80</v>
      </c>
      <c r="D139">
        <v>79.907279967999997</v>
      </c>
      <c r="E139">
        <v>50</v>
      </c>
      <c r="F139">
        <v>14.995137215</v>
      </c>
      <c r="G139">
        <v>1411.6450195</v>
      </c>
      <c r="H139">
        <v>1395.4752197</v>
      </c>
      <c r="I139">
        <v>1238.5472411999999</v>
      </c>
      <c r="J139">
        <v>1193.3543701000001</v>
      </c>
      <c r="K139">
        <v>2750</v>
      </c>
      <c r="L139">
        <v>0</v>
      </c>
      <c r="M139">
        <v>0</v>
      </c>
      <c r="N139">
        <v>2750</v>
      </c>
    </row>
    <row r="140" spans="1:14" x14ac:dyDescent="0.25">
      <c r="A140">
        <v>8.2368220000000001</v>
      </c>
      <c r="B140" s="1">
        <f>DATE(2010,5,9) + TIME(5,41,1)</f>
        <v>40307.236817129633</v>
      </c>
      <c r="C140">
        <v>80</v>
      </c>
      <c r="D140">
        <v>79.907760620000005</v>
      </c>
      <c r="E140">
        <v>50</v>
      </c>
      <c r="F140">
        <v>14.995162964</v>
      </c>
      <c r="G140">
        <v>1411.4935303</v>
      </c>
      <c r="H140">
        <v>1395.3254394999999</v>
      </c>
      <c r="I140">
        <v>1238.5496826000001</v>
      </c>
      <c r="J140">
        <v>1193.3569336</v>
      </c>
      <c r="K140">
        <v>2750</v>
      </c>
      <c r="L140">
        <v>0</v>
      </c>
      <c r="M140">
        <v>0</v>
      </c>
      <c r="N140">
        <v>2750</v>
      </c>
    </row>
    <row r="141" spans="1:14" x14ac:dyDescent="0.25">
      <c r="A141">
        <v>8.4106190000000005</v>
      </c>
      <c r="B141" s="1">
        <f>DATE(2010,5,9) + TIME(9,51,17)</f>
        <v>40307.410613425927</v>
      </c>
      <c r="C141">
        <v>80</v>
      </c>
      <c r="D141">
        <v>79.908187866000006</v>
      </c>
      <c r="E141">
        <v>50</v>
      </c>
      <c r="F141">
        <v>14.995188712999999</v>
      </c>
      <c r="G141">
        <v>1411.3438721</v>
      </c>
      <c r="H141">
        <v>1395.1776123</v>
      </c>
      <c r="I141">
        <v>1238.5522461</v>
      </c>
      <c r="J141">
        <v>1193.359375</v>
      </c>
      <c r="K141">
        <v>2750</v>
      </c>
      <c r="L141">
        <v>0</v>
      </c>
      <c r="M141">
        <v>0</v>
      </c>
      <c r="N141">
        <v>2750</v>
      </c>
    </row>
    <row r="142" spans="1:14" x14ac:dyDescent="0.25">
      <c r="A142">
        <v>8.5864399999999996</v>
      </c>
      <c r="B142" s="1">
        <f>DATE(2010,5,9) + TIME(14,4,28)</f>
        <v>40307.586435185185</v>
      </c>
      <c r="C142">
        <v>80</v>
      </c>
      <c r="D142">
        <v>79.908569335999999</v>
      </c>
      <c r="E142">
        <v>50</v>
      </c>
      <c r="F142">
        <v>14.995213508999999</v>
      </c>
      <c r="G142">
        <v>1411.1955565999999</v>
      </c>
      <c r="H142">
        <v>1395.0311279</v>
      </c>
      <c r="I142">
        <v>1238.5548096</v>
      </c>
      <c r="J142">
        <v>1193.3619385</v>
      </c>
      <c r="K142">
        <v>2750</v>
      </c>
      <c r="L142">
        <v>0</v>
      </c>
      <c r="M142">
        <v>0</v>
      </c>
      <c r="N142">
        <v>2750</v>
      </c>
    </row>
    <row r="143" spans="1:14" x14ac:dyDescent="0.25">
      <c r="A143">
        <v>8.7645560000000007</v>
      </c>
      <c r="B143" s="1">
        <f>DATE(2010,5,9) + TIME(18,20,57)</f>
        <v>40307.764548611114</v>
      </c>
      <c r="C143">
        <v>80</v>
      </c>
      <c r="D143">
        <v>79.908920288000004</v>
      </c>
      <c r="E143">
        <v>50</v>
      </c>
      <c r="F143">
        <v>14.995239258</v>
      </c>
      <c r="G143">
        <v>1411.0484618999999</v>
      </c>
      <c r="H143">
        <v>1394.8861084</v>
      </c>
      <c r="I143">
        <v>1238.5573730000001</v>
      </c>
      <c r="J143">
        <v>1193.3645019999999</v>
      </c>
      <c r="K143">
        <v>2750</v>
      </c>
      <c r="L143">
        <v>0</v>
      </c>
      <c r="M143">
        <v>0</v>
      </c>
      <c r="N143">
        <v>2750</v>
      </c>
    </row>
    <row r="144" spans="1:14" x14ac:dyDescent="0.25">
      <c r="A144">
        <v>8.9452479999999994</v>
      </c>
      <c r="B144" s="1">
        <f>DATE(2010,5,9) + TIME(22,41,9)</f>
        <v>40307.945243055554</v>
      </c>
      <c r="C144">
        <v>80</v>
      </c>
      <c r="D144">
        <v>79.909233092999997</v>
      </c>
      <c r="E144">
        <v>50</v>
      </c>
      <c r="F144">
        <v>14.995264053</v>
      </c>
      <c r="G144">
        <v>1410.9024658000001</v>
      </c>
      <c r="H144">
        <v>1394.7419434000001</v>
      </c>
      <c r="I144">
        <v>1238.5600586</v>
      </c>
      <c r="J144">
        <v>1193.3670654</v>
      </c>
      <c r="K144">
        <v>2750</v>
      </c>
      <c r="L144">
        <v>0</v>
      </c>
      <c r="M144">
        <v>0</v>
      </c>
      <c r="N144">
        <v>2750</v>
      </c>
    </row>
    <row r="145" spans="1:14" x14ac:dyDescent="0.25">
      <c r="A145">
        <v>9.1287079999999996</v>
      </c>
      <c r="B145" s="1">
        <f>DATE(2010,5,10) + TIME(3,5,20)</f>
        <v>40308.128703703704</v>
      </c>
      <c r="C145">
        <v>80</v>
      </c>
      <c r="D145">
        <v>79.909515381000006</v>
      </c>
      <c r="E145">
        <v>50</v>
      </c>
      <c r="F145">
        <v>14.995288849</v>
      </c>
      <c r="G145">
        <v>1410.7570800999999</v>
      </c>
      <c r="H145">
        <v>1394.5987548999999</v>
      </c>
      <c r="I145">
        <v>1238.5627440999999</v>
      </c>
      <c r="J145">
        <v>1193.3696289</v>
      </c>
      <c r="K145">
        <v>2750</v>
      </c>
      <c r="L145">
        <v>0</v>
      </c>
      <c r="M145">
        <v>0</v>
      </c>
      <c r="N145">
        <v>2750</v>
      </c>
    </row>
    <row r="146" spans="1:14" x14ac:dyDescent="0.25">
      <c r="A146">
        <v>9.3148280000000003</v>
      </c>
      <c r="B146" s="1">
        <f>DATE(2010,5,10) + TIME(7,33,21)</f>
        <v>40308.314826388887</v>
      </c>
      <c r="C146">
        <v>80</v>
      </c>
      <c r="D146">
        <v>79.909767150999997</v>
      </c>
      <c r="E146">
        <v>50</v>
      </c>
      <c r="F146">
        <v>14.995313643999999</v>
      </c>
      <c r="G146">
        <v>1410.6124268000001</v>
      </c>
      <c r="H146">
        <v>1394.4561768000001</v>
      </c>
      <c r="I146">
        <v>1238.5654297000001</v>
      </c>
      <c r="J146">
        <v>1193.3723144999999</v>
      </c>
      <c r="K146">
        <v>2750</v>
      </c>
      <c r="L146">
        <v>0</v>
      </c>
      <c r="M146">
        <v>0</v>
      </c>
      <c r="N146">
        <v>2750</v>
      </c>
    </row>
    <row r="147" spans="1:14" x14ac:dyDescent="0.25">
      <c r="A147">
        <v>9.5039049999999996</v>
      </c>
      <c r="B147" s="1">
        <f>DATE(2010,5,10) + TIME(12,5,37)</f>
        <v>40308.503900462965</v>
      </c>
      <c r="C147">
        <v>80</v>
      </c>
      <c r="D147">
        <v>79.910003661999994</v>
      </c>
      <c r="E147">
        <v>50</v>
      </c>
      <c r="F147">
        <v>14.995338439999999</v>
      </c>
      <c r="G147">
        <v>1410.4683838000001</v>
      </c>
      <c r="H147">
        <v>1394.3144531</v>
      </c>
      <c r="I147">
        <v>1238.5681152</v>
      </c>
      <c r="J147">
        <v>1193.375</v>
      </c>
      <c r="K147">
        <v>2750</v>
      </c>
      <c r="L147">
        <v>0</v>
      </c>
      <c r="M147">
        <v>0</v>
      </c>
      <c r="N147">
        <v>2750</v>
      </c>
    </row>
    <row r="148" spans="1:14" x14ac:dyDescent="0.25">
      <c r="A148">
        <v>9.6963190000000008</v>
      </c>
      <c r="B148" s="1">
        <f>DATE(2010,5,10) + TIME(16,42,41)</f>
        <v>40308.69630787037</v>
      </c>
      <c r="C148">
        <v>80</v>
      </c>
      <c r="D148">
        <v>79.910217285000002</v>
      </c>
      <c r="E148">
        <v>50</v>
      </c>
      <c r="F148">
        <v>14.995363234999999</v>
      </c>
      <c r="G148">
        <v>1410.3249512</v>
      </c>
      <c r="H148">
        <v>1394.1732178</v>
      </c>
      <c r="I148">
        <v>1238.5709228999999</v>
      </c>
      <c r="J148">
        <v>1193.3776855000001</v>
      </c>
      <c r="K148">
        <v>2750</v>
      </c>
      <c r="L148">
        <v>0</v>
      </c>
      <c r="M148">
        <v>0</v>
      </c>
      <c r="N148">
        <v>2750</v>
      </c>
    </row>
    <row r="149" spans="1:14" x14ac:dyDescent="0.25">
      <c r="A149">
        <v>9.8923590000000008</v>
      </c>
      <c r="B149" s="1">
        <f>DATE(2010,5,10) + TIME(21,24,59)</f>
        <v>40308.89234953704</v>
      </c>
      <c r="C149">
        <v>80</v>
      </c>
      <c r="D149">
        <v>79.910408020000006</v>
      </c>
      <c r="E149">
        <v>50</v>
      </c>
      <c r="F149">
        <v>14.995388030999999</v>
      </c>
      <c r="G149">
        <v>1410.1816406</v>
      </c>
      <c r="H149">
        <v>1394.0323486</v>
      </c>
      <c r="I149">
        <v>1238.5737305</v>
      </c>
      <c r="J149">
        <v>1193.3804932</v>
      </c>
      <c r="K149">
        <v>2750</v>
      </c>
      <c r="L149">
        <v>0</v>
      </c>
      <c r="M149">
        <v>0</v>
      </c>
      <c r="N149">
        <v>2750</v>
      </c>
    </row>
    <row r="150" spans="1:14" x14ac:dyDescent="0.25">
      <c r="A150">
        <v>10.092364999999999</v>
      </c>
      <c r="B150" s="1">
        <f>DATE(2010,5,11) + TIME(2,13,0)</f>
        <v>40309.092361111114</v>
      </c>
      <c r="C150">
        <v>80</v>
      </c>
      <c r="D150">
        <v>79.910591124999996</v>
      </c>
      <c r="E150">
        <v>50</v>
      </c>
      <c r="F150">
        <v>14.995411873</v>
      </c>
      <c r="G150">
        <v>1410.0384521000001</v>
      </c>
      <c r="H150">
        <v>1393.8916016000001</v>
      </c>
      <c r="I150">
        <v>1238.5766602000001</v>
      </c>
      <c r="J150">
        <v>1193.3833007999999</v>
      </c>
      <c r="K150">
        <v>2750</v>
      </c>
      <c r="L150">
        <v>0</v>
      </c>
      <c r="M150">
        <v>0</v>
      </c>
      <c r="N150">
        <v>2750</v>
      </c>
    </row>
    <row r="151" spans="1:14" x14ac:dyDescent="0.25">
      <c r="A151">
        <v>10.296716999999999</v>
      </c>
      <c r="B151" s="1">
        <f>DATE(2010,5,11) + TIME(7,7,16)</f>
        <v>40309.296712962961</v>
      </c>
      <c r="C151">
        <v>80</v>
      </c>
      <c r="D151">
        <v>79.910758971999996</v>
      </c>
      <c r="E151">
        <v>50</v>
      </c>
      <c r="F151">
        <v>14.995436668</v>
      </c>
      <c r="G151">
        <v>1409.8951416</v>
      </c>
      <c r="H151">
        <v>1393.7507324000001</v>
      </c>
      <c r="I151">
        <v>1238.5795897999999</v>
      </c>
      <c r="J151">
        <v>1193.3862305</v>
      </c>
      <c r="K151">
        <v>2750</v>
      </c>
      <c r="L151">
        <v>0</v>
      </c>
      <c r="M151">
        <v>0</v>
      </c>
      <c r="N151">
        <v>2750</v>
      </c>
    </row>
    <row r="152" spans="1:14" x14ac:dyDescent="0.25">
      <c r="A152">
        <v>10.505839</v>
      </c>
      <c r="B152" s="1">
        <f>DATE(2010,5,11) + TIME(12,8,24)</f>
        <v>40309.505833333336</v>
      </c>
      <c r="C152">
        <v>80</v>
      </c>
      <c r="D152">
        <v>79.910911560000002</v>
      </c>
      <c r="E152">
        <v>50</v>
      </c>
      <c r="F152">
        <v>14.995461464</v>
      </c>
      <c r="G152">
        <v>1409.7514647999999</v>
      </c>
      <c r="H152">
        <v>1393.6097411999999</v>
      </c>
      <c r="I152">
        <v>1238.5826416</v>
      </c>
      <c r="J152">
        <v>1193.3891602000001</v>
      </c>
      <c r="K152">
        <v>2750</v>
      </c>
      <c r="L152">
        <v>0</v>
      </c>
      <c r="M152">
        <v>0</v>
      </c>
      <c r="N152">
        <v>2750</v>
      </c>
    </row>
    <row r="153" spans="1:14" x14ac:dyDescent="0.25">
      <c r="A153">
        <v>10.720083000000001</v>
      </c>
      <c r="B153" s="1">
        <f>DATE(2010,5,11) + TIME(17,16,55)</f>
        <v>40309.720081018517</v>
      </c>
      <c r="C153">
        <v>80</v>
      </c>
      <c r="D153">
        <v>79.911048889</v>
      </c>
      <c r="E153">
        <v>50</v>
      </c>
      <c r="F153">
        <v>14.995486259</v>
      </c>
      <c r="G153">
        <v>1409.6072998</v>
      </c>
      <c r="H153">
        <v>1393.4682617000001</v>
      </c>
      <c r="I153">
        <v>1238.5856934000001</v>
      </c>
      <c r="J153">
        <v>1193.3922118999999</v>
      </c>
      <c r="K153">
        <v>2750</v>
      </c>
      <c r="L153">
        <v>0</v>
      </c>
      <c r="M153">
        <v>0</v>
      </c>
      <c r="N153">
        <v>2750</v>
      </c>
    </row>
    <row r="154" spans="1:14" x14ac:dyDescent="0.25">
      <c r="A154">
        <v>10.939515999999999</v>
      </c>
      <c r="B154" s="1">
        <f>DATE(2010,5,11) + TIME(22,32,54)</f>
        <v>40309.939513888887</v>
      </c>
      <c r="C154">
        <v>80</v>
      </c>
      <c r="D154">
        <v>79.911178589000002</v>
      </c>
      <c r="E154">
        <v>50</v>
      </c>
      <c r="F154">
        <v>14.995512009</v>
      </c>
      <c r="G154">
        <v>1409.4624022999999</v>
      </c>
      <c r="H154">
        <v>1393.3261719</v>
      </c>
      <c r="I154">
        <v>1238.5888672000001</v>
      </c>
      <c r="J154">
        <v>1193.3952637</v>
      </c>
      <c r="K154">
        <v>2750</v>
      </c>
      <c r="L154">
        <v>0</v>
      </c>
      <c r="M154">
        <v>0</v>
      </c>
      <c r="N154">
        <v>2750</v>
      </c>
    </row>
    <row r="155" spans="1:14" x14ac:dyDescent="0.25">
      <c r="A155">
        <v>11.164277</v>
      </c>
      <c r="B155" s="1">
        <f>DATE(2010,5,12) + TIME(3,56,33)</f>
        <v>40310.164270833331</v>
      </c>
      <c r="C155">
        <v>80</v>
      </c>
      <c r="D155">
        <v>79.911300659000005</v>
      </c>
      <c r="E155">
        <v>50</v>
      </c>
      <c r="F155">
        <v>14.995536804</v>
      </c>
      <c r="G155">
        <v>1409.3167725000001</v>
      </c>
      <c r="H155">
        <v>1393.1834716999999</v>
      </c>
      <c r="I155">
        <v>1238.5920410000001</v>
      </c>
      <c r="J155">
        <v>1193.3984375</v>
      </c>
      <c r="K155">
        <v>2750</v>
      </c>
      <c r="L155">
        <v>0</v>
      </c>
      <c r="M155">
        <v>0</v>
      </c>
      <c r="N155">
        <v>2750</v>
      </c>
    </row>
    <row r="156" spans="1:14" x14ac:dyDescent="0.25">
      <c r="A156">
        <v>11.39452</v>
      </c>
      <c r="B156" s="1">
        <f>DATE(2010,5,12) + TIME(9,28,6)</f>
        <v>40310.394513888888</v>
      </c>
      <c r="C156">
        <v>80</v>
      </c>
      <c r="D156">
        <v>79.911415099999999</v>
      </c>
      <c r="E156">
        <v>50</v>
      </c>
      <c r="F156">
        <v>14.995562552999999</v>
      </c>
      <c r="G156">
        <v>1409.1706543</v>
      </c>
      <c r="H156">
        <v>1393.0402832</v>
      </c>
      <c r="I156">
        <v>1238.5953368999999</v>
      </c>
      <c r="J156">
        <v>1193.4016113</v>
      </c>
      <c r="K156">
        <v>2750</v>
      </c>
      <c r="L156">
        <v>0</v>
      </c>
      <c r="M156">
        <v>0</v>
      </c>
      <c r="N156">
        <v>2750</v>
      </c>
    </row>
    <row r="157" spans="1:14" x14ac:dyDescent="0.25">
      <c r="A157">
        <v>11.625548</v>
      </c>
      <c r="B157" s="1">
        <f>DATE(2010,5,12) + TIME(15,0,47)</f>
        <v>40310.625543981485</v>
      </c>
      <c r="C157">
        <v>80</v>
      </c>
      <c r="D157">
        <v>79.911514281999999</v>
      </c>
      <c r="E157">
        <v>50</v>
      </c>
      <c r="F157">
        <v>14.995587348999999</v>
      </c>
      <c r="G157">
        <v>1409.0236815999999</v>
      </c>
      <c r="H157">
        <v>1392.8963623</v>
      </c>
      <c r="I157">
        <v>1238.5987548999999</v>
      </c>
      <c r="J157">
        <v>1193.4049072</v>
      </c>
      <c r="K157">
        <v>2750</v>
      </c>
      <c r="L157">
        <v>0</v>
      </c>
      <c r="M157">
        <v>0</v>
      </c>
      <c r="N157">
        <v>2750</v>
      </c>
    </row>
    <row r="158" spans="1:14" x14ac:dyDescent="0.25">
      <c r="A158">
        <v>11.856935</v>
      </c>
      <c r="B158" s="1">
        <f>DATE(2010,5,12) + TIME(20,33,59)</f>
        <v>40310.856932870367</v>
      </c>
      <c r="C158">
        <v>80</v>
      </c>
      <c r="D158">
        <v>79.911605835000003</v>
      </c>
      <c r="E158">
        <v>50</v>
      </c>
      <c r="F158">
        <v>14.995612144000001</v>
      </c>
      <c r="G158">
        <v>1408.8790283000001</v>
      </c>
      <c r="H158">
        <v>1392.7548827999999</v>
      </c>
      <c r="I158">
        <v>1238.6020507999999</v>
      </c>
      <c r="J158">
        <v>1193.4082031</v>
      </c>
      <c r="K158">
        <v>2750</v>
      </c>
      <c r="L158">
        <v>0</v>
      </c>
      <c r="M158">
        <v>0</v>
      </c>
      <c r="N158">
        <v>2750</v>
      </c>
    </row>
    <row r="159" spans="1:14" x14ac:dyDescent="0.25">
      <c r="A159">
        <v>12.089043999999999</v>
      </c>
      <c r="B159" s="1">
        <f>DATE(2010,5,13) + TIME(2,8,13)</f>
        <v>40311.089039351849</v>
      </c>
      <c r="C159">
        <v>80</v>
      </c>
      <c r="D159">
        <v>79.911689757999994</v>
      </c>
      <c r="E159">
        <v>50</v>
      </c>
      <c r="F159">
        <v>14.995635986</v>
      </c>
      <c r="G159">
        <v>1408.7368164</v>
      </c>
      <c r="H159">
        <v>1392.6158447</v>
      </c>
      <c r="I159">
        <v>1238.6054687999999</v>
      </c>
      <c r="J159">
        <v>1193.411499</v>
      </c>
      <c r="K159">
        <v>2750</v>
      </c>
      <c r="L159">
        <v>0</v>
      </c>
      <c r="M159">
        <v>0</v>
      </c>
      <c r="N159">
        <v>2750</v>
      </c>
    </row>
    <row r="160" spans="1:14" x14ac:dyDescent="0.25">
      <c r="A160">
        <v>12.32227</v>
      </c>
      <c r="B160" s="1">
        <f>DATE(2010,5,13) + TIME(7,44,4)</f>
        <v>40311.322268518517</v>
      </c>
      <c r="C160">
        <v>80</v>
      </c>
      <c r="D160">
        <v>79.911766052000004</v>
      </c>
      <c r="E160">
        <v>50</v>
      </c>
      <c r="F160">
        <v>14.995660782</v>
      </c>
      <c r="G160">
        <v>1408.5969238</v>
      </c>
      <c r="H160">
        <v>1392.479126</v>
      </c>
      <c r="I160">
        <v>1238.6088867000001</v>
      </c>
      <c r="J160">
        <v>1193.4147949000001</v>
      </c>
      <c r="K160">
        <v>2750</v>
      </c>
      <c r="L160">
        <v>0</v>
      </c>
      <c r="M160">
        <v>0</v>
      </c>
      <c r="N160">
        <v>2750</v>
      </c>
    </row>
    <row r="161" spans="1:14" x14ac:dyDescent="0.25">
      <c r="A161">
        <v>12.556977</v>
      </c>
      <c r="B161" s="1">
        <f>DATE(2010,5,13) + TIME(13,22,2)</f>
        <v>40311.556967592594</v>
      </c>
      <c r="C161">
        <v>80</v>
      </c>
      <c r="D161">
        <v>79.911842346</v>
      </c>
      <c r="E161">
        <v>50</v>
      </c>
      <c r="F161">
        <v>14.995684624000001</v>
      </c>
      <c r="G161">
        <v>1408.4588623</v>
      </c>
      <c r="H161">
        <v>1392.3442382999999</v>
      </c>
      <c r="I161">
        <v>1238.6123047000001</v>
      </c>
      <c r="J161">
        <v>1193.4182129000001</v>
      </c>
      <c r="K161">
        <v>2750</v>
      </c>
      <c r="L161">
        <v>0</v>
      </c>
      <c r="M161">
        <v>0</v>
      </c>
      <c r="N161">
        <v>2750</v>
      </c>
    </row>
    <row r="162" spans="1:14" x14ac:dyDescent="0.25">
      <c r="A162">
        <v>12.793528999999999</v>
      </c>
      <c r="B162" s="1">
        <f>DATE(2010,5,13) + TIME(19,2,40)</f>
        <v>40311.79351851852</v>
      </c>
      <c r="C162">
        <v>80</v>
      </c>
      <c r="D162">
        <v>79.911903381000002</v>
      </c>
      <c r="E162">
        <v>50</v>
      </c>
      <c r="F162">
        <v>14.995707511999999</v>
      </c>
      <c r="G162">
        <v>1408.3225098</v>
      </c>
      <c r="H162">
        <v>1392.2110596</v>
      </c>
      <c r="I162">
        <v>1238.6157227000001</v>
      </c>
      <c r="J162">
        <v>1193.4215088000001</v>
      </c>
      <c r="K162">
        <v>2750</v>
      </c>
      <c r="L162">
        <v>0</v>
      </c>
      <c r="M162">
        <v>0</v>
      </c>
      <c r="N162">
        <v>2750</v>
      </c>
    </row>
    <row r="163" spans="1:14" x14ac:dyDescent="0.25">
      <c r="A163">
        <v>13.032294</v>
      </c>
      <c r="B163" s="1">
        <f>DATE(2010,5,14) + TIME(0,46,30)</f>
        <v>40312.03229166667</v>
      </c>
      <c r="C163">
        <v>80</v>
      </c>
      <c r="D163">
        <v>79.911964416999993</v>
      </c>
      <c r="E163">
        <v>50</v>
      </c>
      <c r="F163">
        <v>14.995731354</v>
      </c>
      <c r="G163">
        <v>1408.1875</v>
      </c>
      <c r="H163">
        <v>1392.0793457</v>
      </c>
      <c r="I163">
        <v>1238.6191406</v>
      </c>
      <c r="J163">
        <v>1193.4249268000001</v>
      </c>
      <c r="K163">
        <v>2750</v>
      </c>
      <c r="L163">
        <v>0</v>
      </c>
      <c r="M163">
        <v>0</v>
      </c>
      <c r="N163">
        <v>2750</v>
      </c>
    </row>
    <row r="164" spans="1:14" x14ac:dyDescent="0.25">
      <c r="A164">
        <v>13.273647</v>
      </c>
      <c r="B164" s="1">
        <f>DATE(2010,5,14) + TIME(6,34,3)</f>
        <v>40312.273645833331</v>
      </c>
      <c r="C164">
        <v>80</v>
      </c>
      <c r="D164">
        <v>79.912025451999995</v>
      </c>
      <c r="E164">
        <v>50</v>
      </c>
      <c r="F164">
        <v>14.995754242</v>
      </c>
      <c r="G164">
        <v>1408.0537108999999</v>
      </c>
      <c r="H164">
        <v>1391.9488524999999</v>
      </c>
      <c r="I164">
        <v>1238.6226807</v>
      </c>
      <c r="J164">
        <v>1193.4283447</v>
      </c>
      <c r="K164">
        <v>2750</v>
      </c>
      <c r="L164">
        <v>0</v>
      </c>
      <c r="M164">
        <v>0</v>
      </c>
      <c r="N164">
        <v>2750</v>
      </c>
    </row>
    <row r="165" spans="1:14" x14ac:dyDescent="0.25">
      <c r="A165">
        <v>13.517593</v>
      </c>
      <c r="B165" s="1">
        <f>DATE(2010,5,14) + TIME(12,25,20)</f>
        <v>40312.517592592594</v>
      </c>
      <c r="C165">
        <v>80</v>
      </c>
      <c r="D165">
        <v>79.912078856999997</v>
      </c>
      <c r="E165">
        <v>50</v>
      </c>
      <c r="F165">
        <v>14.99577713</v>
      </c>
      <c r="G165">
        <v>1407.9207764</v>
      </c>
      <c r="H165">
        <v>1391.8193358999999</v>
      </c>
      <c r="I165">
        <v>1238.6262207</v>
      </c>
      <c r="J165">
        <v>1193.4317627</v>
      </c>
      <c r="K165">
        <v>2750</v>
      </c>
      <c r="L165">
        <v>0</v>
      </c>
      <c r="M165">
        <v>0</v>
      </c>
      <c r="N165">
        <v>2750</v>
      </c>
    </row>
    <row r="166" spans="1:14" x14ac:dyDescent="0.25">
      <c r="A166">
        <v>13.764018999999999</v>
      </c>
      <c r="B166" s="1">
        <f>DATE(2010,5,14) + TIME(18,20,11)</f>
        <v>40312.764016203706</v>
      </c>
      <c r="C166">
        <v>80</v>
      </c>
      <c r="D166">
        <v>79.912132263000004</v>
      </c>
      <c r="E166">
        <v>50</v>
      </c>
      <c r="F166">
        <v>14.995800972</v>
      </c>
      <c r="G166">
        <v>1407.7888184000001</v>
      </c>
      <c r="H166">
        <v>1391.6907959</v>
      </c>
      <c r="I166">
        <v>1238.6297606999999</v>
      </c>
      <c r="J166">
        <v>1193.4353027</v>
      </c>
      <c r="K166">
        <v>2750</v>
      </c>
      <c r="L166">
        <v>0</v>
      </c>
      <c r="M166">
        <v>0</v>
      </c>
      <c r="N166">
        <v>2750</v>
      </c>
    </row>
    <row r="167" spans="1:14" x14ac:dyDescent="0.25">
      <c r="A167">
        <v>14.013298000000001</v>
      </c>
      <c r="B167" s="1">
        <f>DATE(2010,5,15) + TIME(0,19,8)</f>
        <v>40313.013287037036</v>
      </c>
      <c r="C167">
        <v>80</v>
      </c>
      <c r="D167">
        <v>79.912178040000001</v>
      </c>
      <c r="E167">
        <v>50</v>
      </c>
      <c r="F167">
        <v>14.99582386</v>
      </c>
      <c r="G167">
        <v>1407.6578368999999</v>
      </c>
      <c r="H167">
        <v>1391.5632324000001</v>
      </c>
      <c r="I167">
        <v>1238.6334228999999</v>
      </c>
      <c r="J167">
        <v>1193.4388428</v>
      </c>
      <c r="K167">
        <v>2750</v>
      </c>
      <c r="L167">
        <v>0</v>
      </c>
      <c r="M167">
        <v>0</v>
      </c>
      <c r="N167">
        <v>2750</v>
      </c>
    </row>
    <row r="168" spans="1:14" x14ac:dyDescent="0.25">
      <c r="A168">
        <v>14.26581</v>
      </c>
      <c r="B168" s="1">
        <f>DATE(2010,5,15) + TIME(6,22,46)</f>
        <v>40313.265810185185</v>
      </c>
      <c r="C168">
        <v>80</v>
      </c>
      <c r="D168">
        <v>79.912223815999994</v>
      </c>
      <c r="E168">
        <v>50</v>
      </c>
      <c r="F168">
        <v>14.995845794999999</v>
      </c>
      <c r="G168">
        <v>1407.5275879000001</v>
      </c>
      <c r="H168">
        <v>1391.4364014</v>
      </c>
      <c r="I168">
        <v>1238.6370850000001</v>
      </c>
      <c r="J168">
        <v>1193.4423827999999</v>
      </c>
      <c r="K168">
        <v>2750</v>
      </c>
      <c r="L168">
        <v>0</v>
      </c>
      <c r="M168">
        <v>0</v>
      </c>
      <c r="N168">
        <v>2750</v>
      </c>
    </row>
    <row r="169" spans="1:14" x14ac:dyDescent="0.25">
      <c r="A169">
        <v>14.521958</v>
      </c>
      <c r="B169" s="1">
        <f>DATE(2010,5,15) + TIME(12,31,37)</f>
        <v>40313.521956018521</v>
      </c>
      <c r="C169">
        <v>80</v>
      </c>
      <c r="D169">
        <v>79.912261963000006</v>
      </c>
      <c r="E169">
        <v>50</v>
      </c>
      <c r="F169">
        <v>14.995868682999999</v>
      </c>
      <c r="G169">
        <v>1407.3978271000001</v>
      </c>
      <c r="H169">
        <v>1391.3103027</v>
      </c>
      <c r="I169">
        <v>1238.6407471</v>
      </c>
      <c r="J169">
        <v>1193.4460449000001</v>
      </c>
      <c r="K169">
        <v>2750</v>
      </c>
      <c r="L169">
        <v>0</v>
      </c>
      <c r="M169">
        <v>0</v>
      </c>
      <c r="N169">
        <v>2750</v>
      </c>
    </row>
    <row r="170" spans="1:14" x14ac:dyDescent="0.25">
      <c r="A170">
        <v>14.782275</v>
      </c>
      <c r="B170" s="1">
        <f>DATE(2010,5,15) + TIME(18,46,28)</f>
        <v>40313.782268518517</v>
      </c>
      <c r="C170">
        <v>80</v>
      </c>
      <c r="D170">
        <v>79.912307738999999</v>
      </c>
      <c r="E170">
        <v>50</v>
      </c>
      <c r="F170">
        <v>14.995891571</v>
      </c>
      <c r="G170">
        <v>1407.2685547000001</v>
      </c>
      <c r="H170">
        <v>1391.1845702999999</v>
      </c>
      <c r="I170">
        <v>1238.6445312000001</v>
      </c>
      <c r="J170">
        <v>1193.449707</v>
      </c>
      <c r="K170">
        <v>2750</v>
      </c>
      <c r="L170">
        <v>0</v>
      </c>
      <c r="M170">
        <v>0</v>
      </c>
      <c r="N170">
        <v>2750</v>
      </c>
    </row>
    <row r="171" spans="1:14" x14ac:dyDescent="0.25">
      <c r="A171">
        <v>15.047103</v>
      </c>
      <c r="B171" s="1">
        <f>DATE(2010,5,16) + TIME(1,7,49)</f>
        <v>40314.047094907408</v>
      </c>
      <c r="C171">
        <v>80</v>
      </c>
      <c r="D171">
        <v>79.912345885999997</v>
      </c>
      <c r="E171">
        <v>50</v>
      </c>
      <c r="F171">
        <v>14.995914459</v>
      </c>
      <c r="G171">
        <v>1407.1394043</v>
      </c>
      <c r="H171">
        <v>1391.059082</v>
      </c>
      <c r="I171">
        <v>1238.6484375</v>
      </c>
      <c r="J171">
        <v>1193.4534911999999</v>
      </c>
      <c r="K171">
        <v>2750</v>
      </c>
      <c r="L171">
        <v>0</v>
      </c>
      <c r="M171">
        <v>0</v>
      </c>
      <c r="N171">
        <v>2750</v>
      </c>
    </row>
    <row r="172" spans="1:14" x14ac:dyDescent="0.25">
      <c r="A172">
        <v>15.316913</v>
      </c>
      <c r="B172" s="1">
        <f>DATE(2010,5,16) + TIME(7,36,21)</f>
        <v>40314.31690972222</v>
      </c>
      <c r="C172">
        <v>80</v>
      </c>
      <c r="D172">
        <v>79.912384032999995</v>
      </c>
      <c r="E172">
        <v>50</v>
      </c>
      <c r="F172">
        <v>14.995936393999999</v>
      </c>
      <c r="G172">
        <v>1407.0101318</v>
      </c>
      <c r="H172">
        <v>1390.9335937999999</v>
      </c>
      <c r="I172">
        <v>1238.6523437999999</v>
      </c>
      <c r="J172">
        <v>1193.4572754000001</v>
      </c>
      <c r="K172">
        <v>2750</v>
      </c>
      <c r="L172">
        <v>0</v>
      </c>
      <c r="M172">
        <v>0</v>
      </c>
      <c r="N172">
        <v>2750</v>
      </c>
    </row>
    <row r="173" spans="1:14" x14ac:dyDescent="0.25">
      <c r="A173">
        <v>15.592231</v>
      </c>
      <c r="B173" s="1">
        <f>DATE(2010,5,16) + TIME(14,12,48)</f>
        <v>40314.592222222222</v>
      </c>
      <c r="C173">
        <v>80</v>
      </c>
      <c r="D173">
        <v>79.912422179999993</v>
      </c>
      <c r="E173">
        <v>50</v>
      </c>
      <c r="F173">
        <v>14.995959281999999</v>
      </c>
      <c r="G173">
        <v>1406.8807373</v>
      </c>
      <c r="H173">
        <v>1390.8079834</v>
      </c>
      <c r="I173">
        <v>1238.65625</v>
      </c>
      <c r="J173">
        <v>1193.4611815999999</v>
      </c>
      <c r="K173">
        <v>2750</v>
      </c>
      <c r="L173">
        <v>0</v>
      </c>
      <c r="M173">
        <v>0</v>
      </c>
      <c r="N173">
        <v>2750</v>
      </c>
    </row>
    <row r="174" spans="1:14" x14ac:dyDescent="0.25">
      <c r="A174">
        <v>15.873619</v>
      </c>
      <c r="B174" s="1">
        <f>DATE(2010,5,16) + TIME(20,58,0)</f>
        <v>40314.873611111114</v>
      </c>
      <c r="C174">
        <v>80</v>
      </c>
      <c r="D174">
        <v>79.912460327000005</v>
      </c>
      <c r="E174">
        <v>50</v>
      </c>
      <c r="F174">
        <v>14.99598217</v>
      </c>
      <c r="G174">
        <v>1406.7509766000001</v>
      </c>
      <c r="H174">
        <v>1390.6821289</v>
      </c>
      <c r="I174">
        <v>1238.6604004000001</v>
      </c>
      <c r="J174">
        <v>1193.4652100000001</v>
      </c>
      <c r="K174">
        <v>2750</v>
      </c>
      <c r="L174">
        <v>0</v>
      </c>
      <c r="M174">
        <v>0</v>
      </c>
      <c r="N174">
        <v>2750</v>
      </c>
    </row>
    <row r="175" spans="1:14" x14ac:dyDescent="0.25">
      <c r="A175">
        <v>16.161014000000002</v>
      </c>
      <c r="B175" s="1">
        <f>DATE(2010,5,17) + TIME(3,51,51)</f>
        <v>40315.161006944443</v>
      </c>
      <c r="C175">
        <v>80</v>
      </c>
      <c r="D175">
        <v>79.912490844999994</v>
      </c>
      <c r="E175">
        <v>50</v>
      </c>
      <c r="F175">
        <v>14.996005058</v>
      </c>
      <c r="G175">
        <v>1406.6206055</v>
      </c>
      <c r="H175">
        <v>1390.5556641000001</v>
      </c>
      <c r="I175">
        <v>1238.6645507999999</v>
      </c>
      <c r="J175">
        <v>1193.4692382999999</v>
      </c>
      <c r="K175">
        <v>2750</v>
      </c>
      <c r="L175">
        <v>0</v>
      </c>
      <c r="M175">
        <v>0</v>
      </c>
      <c r="N175">
        <v>2750</v>
      </c>
    </row>
    <row r="176" spans="1:14" x14ac:dyDescent="0.25">
      <c r="A176">
        <v>16.454433999999999</v>
      </c>
      <c r="B176" s="1">
        <f>DATE(2010,5,17) + TIME(10,54,23)</f>
        <v>40315.454432870371</v>
      </c>
      <c r="C176">
        <v>80</v>
      </c>
      <c r="D176">
        <v>79.912528992000006</v>
      </c>
      <c r="E176">
        <v>50</v>
      </c>
      <c r="F176">
        <v>14.996027946</v>
      </c>
      <c r="G176">
        <v>1406.4897461</v>
      </c>
      <c r="H176">
        <v>1390.4288329999999</v>
      </c>
      <c r="I176">
        <v>1238.6688231999999</v>
      </c>
      <c r="J176">
        <v>1193.4733887</v>
      </c>
      <c r="K176">
        <v>2750</v>
      </c>
      <c r="L176">
        <v>0</v>
      </c>
      <c r="M176">
        <v>0</v>
      </c>
      <c r="N176">
        <v>2750</v>
      </c>
    </row>
    <row r="177" spans="1:14" x14ac:dyDescent="0.25">
      <c r="A177">
        <v>16.753813999999998</v>
      </c>
      <c r="B177" s="1">
        <f>DATE(2010,5,17) + TIME(18,5,29)</f>
        <v>40315.753807870373</v>
      </c>
      <c r="C177">
        <v>80</v>
      </c>
      <c r="D177">
        <v>79.912559509000005</v>
      </c>
      <c r="E177">
        <v>50</v>
      </c>
      <c r="F177">
        <v>14.996050835</v>
      </c>
      <c r="G177">
        <v>1406.3583983999999</v>
      </c>
      <c r="H177">
        <v>1390.3016356999999</v>
      </c>
      <c r="I177">
        <v>1238.6730957</v>
      </c>
      <c r="J177">
        <v>1193.4776611</v>
      </c>
      <c r="K177">
        <v>2750</v>
      </c>
      <c r="L177">
        <v>0</v>
      </c>
      <c r="M177">
        <v>0</v>
      </c>
      <c r="N177">
        <v>2750</v>
      </c>
    </row>
    <row r="178" spans="1:14" x14ac:dyDescent="0.25">
      <c r="A178">
        <v>17.0534</v>
      </c>
      <c r="B178" s="1">
        <f>DATE(2010,5,18) + TIME(1,16,53)</f>
        <v>40316.053391203706</v>
      </c>
      <c r="C178">
        <v>80</v>
      </c>
      <c r="D178">
        <v>79.912597656000003</v>
      </c>
      <c r="E178">
        <v>50</v>
      </c>
      <c r="F178">
        <v>14.996073723</v>
      </c>
      <c r="G178">
        <v>1406.2265625</v>
      </c>
      <c r="H178">
        <v>1390.1740723</v>
      </c>
      <c r="I178">
        <v>1238.6774902</v>
      </c>
      <c r="J178">
        <v>1193.4819336</v>
      </c>
      <c r="K178">
        <v>2750</v>
      </c>
      <c r="L178">
        <v>0</v>
      </c>
      <c r="M178">
        <v>0</v>
      </c>
      <c r="N178">
        <v>2750</v>
      </c>
    </row>
    <row r="179" spans="1:14" x14ac:dyDescent="0.25">
      <c r="A179">
        <v>17.353705000000001</v>
      </c>
      <c r="B179" s="1">
        <f>DATE(2010,5,18) + TIME(8,29,20)</f>
        <v>40316.353703703702</v>
      </c>
      <c r="C179">
        <v>80</v>
      </c>
      <c r="D179">
        <v>79.912628174000005</v>
      </c>
      <c r="E179">
        <v>50</v>
      </c>
      <c r="F179">
        <v>14.996096611</v>
      </c>
      <c r="G179">
        <v>1406.0969238</v>
      </c>
      <c r="H179">
        <v>1390.0487060999999</v>
      </c>
      <c r="I179">
        <v>1238.6820068</v>
      </c>
      <c r="J179">
        <v>1193.4862060999999</v>
      </c>
      <c r="K179">
        <v>2750</v>
      </c>
      <c r="L179">
        <v>0</v>
      </c>
      <c r="M179">
        <v>0</v>
      </c>
      <c r="N179">
        <v>2750</v>
      </c>
    </row>
    <row r="180" spans="1:14" x14ac:dyDescent="0.25">
      <c r="A180">
        <v>17.655244</v>
      </c>
      <c r="B180" s="1">
        <f>DATE(2010,5,18) + TIME(15,43,33)</f>
        <v>40316.655243055553</v>
      </c>
      <c r="C180">
        <v>80</v>
      </c>
      <c r="D180">
        <v>79.912658691000004</v>
      </c>
      <c r="E180">
        <v>50</v>
      </c>
      <c r="F180">
        <v>14.996118546</v>
      </c>
      <c r="G180">
        <v>1405.9692382999999</v>
      </c>
      <c r="H180">
        <v>1389.9250488</v>
      </c>
      <c r="I180">
        <v>1238.6864014</v>
      </c>
      <c r="J180">
        <v>1193.4906006000001</v>
      </c>
      <c r="K180">
        <v>2750</v>
      </c>
      <c r="L180">
        <v>0</v>
      </c>
      <c r="M180">
        <v>0</v>
      </c>
      <c r="N180">
        <v>2750</v>
      </c>
    </row>
    <row r="181" spans="1:14" x14ac:dyDescent="0.25">
      <c r="A181">
        <v>17.958507000000001</v>
      </c>
      <c r="B181" s="1">
        <f>DATE(2010,5,18) + TIME(23,0,14)</f>
        <v>40316.958495370367</v>
      </c>
      <c r="C181">
        <v>80</v>
      </c>
      <c r="D181">
        <v>79.912689209000007</v>
      </c>
      <c r="E181">
        <v>50</v>
      </c>
      <c r="F181">
        <v>14.996141434</v>
      </c>
      <c r="G181">
        <v>1405.8431396000001</v>
      </c>
      <c r="H181">
        <v>1389.8032227000001</v>
      </c>
      <c r="I181">
        <v>1238.690918</v>
      </c>
      <c r="J181">
        <v>1193.4949951000001</v>
      </c>
      <c r="K181">
        <v>2750</v>
      </c>
      <c r="L181">
        <v>0</v>
      </c>
      <c r="M181">
        <v>0</v>
      </c>
      <c r="N181">
        <v>2750</v>
      </c>
    </row>
    <row r="182" spans="1:14" x14ac:dyDescent="0.25">
      <c r="A182">
        <v>18.263978000000002</v>
      </c>
      <c r="B182" s="1">
        <f>DATE(2010,5,19) + TIME(6,20,7)</f>
        <v>40317.263969907406</v>
      </c>
      <c r="C182">
        <v>80</v>
      </c>
      <c r="D182">
        <v>79.912719726999995</v>
      </c>
      <c r="E182">
        <v>50</v>
      </c>
      <c r="F182">
        <v>14.996163367999999</v>
      </c>
      <c r="G182">
        <v>1405.7182617000001</v>
      </c>
      <c r="H182">
        <v>1389.6826172000001</v>
      </c>
      <c r="I182">
        <v>1238.6954346</v>
      </c>
      <c r="J182">
        <v>1193.4993896000001</v>
      </c>
      <c r="K182">
        <v>2750</v>
      </c>
      <c r="L182">
        <v>0</v>
      </c>
      <c r="M182">
        <v>0</v>
      </c>
      <c r="N182">
        <v>2750</v>
      </c>
    </row>
    <row r="183" spans="1:14" x14ac:dyDescent="0.25">
      <c r="A183">
        <v>18.571925</v>
      </c>
      <c r="B183" s="1">
        <f>DATE(2010,5,19) + TIME(13,43,34)</f>
        <v>40317.571921296294</v>
      </c>
      <c r="C183">
        <v>80</v>
      </c>
      <c r="D183">
        <v>79.912750243999994</v>
      </c>
      <c r="E183">
        <v>50</v>
      </c>
      <c r="F183">
        <v>14.996184349</v>
      </c>
      <c r="G183">
        <v>1405.5946045000001</v>
      </c>
      <c r="H183">
        <v>1389.5632324000001</v>
      </c>
      <c r="I183">
        <v>1238.6999512</v>
      </c>
      <c r="J183">
        <v>1193.5037841999999</v>
      </c>
      <c r="K183">
        <v>2750</v>
      </c>
      <c r="L183">
        <v>0</v>
      </c>
      <c r="M183">
        <v>0</v>
      </c>
      <c r="N183">
        <v>2750</v>
      </c>
    </row>
    <row r="184" spans="1:14" x14ac:dyDescent="0.25">
      <c r="A184">
        <v>18.881710000000002</v>
      </c>
      <c r="B184" s="1">
        <f>DATE(2010,5,19) + TIME(21,9,39)</f>
        <v>40317.881701388891</v>
      </c>
      <c r="C184">
        <v>80</v>
      </c>
      <c r="D184">
        <v>79.912780761999997</v>
      </c>
      <c r="E184">
        <v>50</v>
      </c>
      <c r="F184">
        <v>14.996206283999999</v>
      </c>
      <c r="G184">
        <v>1405.4720459</v>
      </c>
      <c r="H184">
        <v>1389.4448242000001</v>
      </c>
      <c r="I184">
        <v>1238.7045897999999</v>
      </c>
      <c r="J184">
        <v>1193.5081786999999</v>
      </c>
      <c r="K184">
        <v>2750</v>
      </c>
      <c r="L184">
        <v>0</v>
      </c>
      <c r="M184">
        <v>0</v>
      </c>
      <c r="N184">
        <v>2750</v>
      </c>
    </row>
    <row r="185" spans="1:14" x14ac:dyDescent="0.25">
      <c r="A185">
        <v>19.193794</v>
      </c>
      <c r="B185" s="1">
        <f>DATE(2010,5,20) + TIME(4,39,3)</f>
        <v>40318.193784722222</v>
      </c>
      <c r="C185">
        <v>80</v>
      </c>
      <c r="D185">
        <v>79.912811278999996</v>
      </c>
      <c r="E185">
        <v>50</v>
      </c>
      <c r="F185">
        <v>14.996228218000001</v>
      </c>
      <c r="G185">
        <v>1405.3505858999999</v>
      </c>
      <c r="H185">
        <v>1389.3276367000001</v>
      </c>
      <c r="I185">
        <v>1238.7092285000001</v>
      </c>
      <c r="J185">
        <v>1193.5126952999999</v>
      </c>
      <c r="K185">
        <v>2750</v>
      </c>
      <c r="L185">
        <v>0</v>
      </c>
      <c r="M185">
        <v>0</v>
      </c>
      <c r="N185">
        <v>2750</v>
      </c>
    </row>
    <row r="186" spans="1:14" x14ac:dyDescent="0.25">
      <c r="A186">
        <v>19.508641000000001</v>
      </c>
      <c r="B186" s="1">
        <f>DATE(2010,5,20) + TIME(12,12,26)</f>
        <v>40318.508634259262</v>
      </c>
      <c r="C186">
        <v>80</v>
      </c>
      <c r="D186">
        <v>79.912841796999999</v>
      </c>
      <c r="E186">
        <v>50</v>
      </c>
      <c r="F186">
        <v>14.996249198999999</v>
      </c>
      <c r="G186">
        <v>1405.2302245999999</v>
      </c>
      <c r="H186">
        <v>1389.2115478999999</v>
      </c>
      <c r="I186">
        <v>1238.7138672000001</v>
      </c>
      <c r="J186">
        <v>1193.5173339999999</v>
      </c>
      <c r="K186">
        <v>2750</v>
      </c>
      <c r="L186">
        <v>0</v>
      </c>
      <c r="M186">
        <v>0</v>
      </c>
      <c r="N186">
        <v>2750</v>
      </c>
    </row>
    <row r="187" spans="1:14" x14ac:dyDescent="0.25">
      <c r="A187">
        <v>19.826723000000001</v>
      </c>
      <c r="B187" s="1">
        <f>DATE(2010,5,20) + TIME(19,50,28)</f>
        <v>40318.82671296296</v>
      </c>
      <c r="C187">
        <v>80</v>
      </c>
      <c r="D187">
        <v>79.912872313999998</v>
      </c>
      <c r="E187">
        <v>50</v>
      </c>
      <c r="F187">
        <v>14.99627018</v>
      </c>
      <c r="G187">
        <v>1405.1105957</v>
      </c>
      <c r="H187">
        <v>1389.0963135</v>
      </c>
      <c r="I187">
        <v>1238.7186279</v>
      </c>
      <c r="J187">
        <v>1193.5218506000001</v>
      </c>
      <c r="K187">
        <v>2750</v>
      </c>
      <c r="L187">
        <v>0</v>
      </c>
      <c r="M187">
        <v>0</v>
      </c>
      <c r="N187">
        <v>2750</v>
      </c>
    </row>
    <row r="188" spans="1:14" x14ac:dyDescent="0.25">
      <c r="A188">
        <v>20.148529</v>
      </c>
      <c r="B188" s="1">
        <f>DATE(2010,5,21) + TIME(3,33,52)</f>
        <v>40319.148518518516</v>
      </c>
      <c r="C188">
        <v>80</v>
      </c>
      <c r="D188">
        <v>79.912902832</v>
      </c>
      <c r="E188">
        <v>50</v>
      </c>
      <c r="F188">
        <v>14.996291161</v>
      </c>
      <c r="G188">
        <v>1404.9916992000001</v>
      </c>
      <c r="H188">
        <v>1388.9816894999999</v>
      </c>
      <c r="I188">
        <v>1238.7233887</v>
      </c>
      <c r="J188">
        <v>1193.5264893000001</v>
      </c>
      <c r="K188">
        <v>2750</v>
      </c>
      <c r="L188">
        <v>0</v>
      </c>
      <c r="M188">
        <v>0</v>
      </c>
      <c r="N188">
        <v>2750</v>
      </c>
    </row>
    <row r="189" spans="1:14" x14ac:dyDescent="0.25">
      <c r="A189">
        <v>20.47457</v>
      </c>
      <c r="B189" s="1">
        <f>DATE(2010,5,21) + TIME(11,23,22)</f>
        <v>40319.474560185183</v>
      </c>
      <c r="C189">
        <v>80</v>
      </c>
      <c r="D189">
        <v>79.912933350000003</v>
      </c>
      <c r="E189">
        <v>50</v>
      </c>
      <c r="F189">
        <v>14.996312141000001</v>
      </c>
      <c r="G189">
        <v>1404.8732910000001</v>
      </c>
      <c r="H189">
        <v>1388.8676757999999</v>
      </c>
      <c r="I189">
        <v>1238.7281493999999</v>
      </c>
      <c r="J189">
        <v>1193.53125</v>
      </c>
      <c r="K189">
        <v>2750</v>
      </c>
      <c r="L189">
        <v>0</v>
      </c>
      <c r="M189">
        <v>0</v>
      </c>
      <c r="N189">
        <v>2750</v>
      </c>
    </row>
    <row r="190" spans="1:14" x14ac:dyDescent="0.25">
      <c r="A190">
        <v>20.805527999999999</v>
      </c>
      <c r="B190" s="1">
        <f>DATE(2010,5,21) + TIME(19,19,57)</f>
        <v>40319.805520833332</v>
      </c>
      <c r="C190">
        <v>80</v>
      </c>
      <c r="D190">
        <v>79.912963867000002</v>
      </c>
      <c r="E190">
        <v>50</v>
      </c>
      <c r="F190">
        <v>14.996333121999999</v>
      </c>
      <c r="G190">
        <v>1404.7551269999999</v>
      </c>
      <c r="H190">
        <v>1388.7539062000001</v>
      </c>
      <c r="I190">
        <v>1238.7331543</v>
      </c>
      <c r="J190">
        <v>1193.5360106999999</v>
      </c>
      <c r="K190">
        <v>2750</v>
      </c>
      <c r="L190">
        <v>0</v>
      </c>
      <c r="M190">
        <v>0</v>
      </c>
      <c r="N190">
        <v>2750</v>
      </c>
    </row>
    <row r="191" spans="1:14" x14ac:dyDescent="0.25">
      <c r="A191">
        <v>21.141831</v>
      </c>
      <c r="B191" s="1">
        <f>DATE(2010,5,22) + TIME(3,24,14)</f>
        <v>40320.141828703701</v>
      </c>
      <c r="C191">
        <v>80</v>
      </c>
      <c r="D191">
        <v>79.912994385000005</v>
      </c>
      <c r="E191">
        <v>50</v>
      </c>
      <c r="F191">
        <v>14.996354103</v>
      </c>
      <c r="G191">
        <v>1404.6370850000001</v>
      </c>
      <c r="H191">
        <v>1388.6402588000001</v>
      </c>
      <c r="I191">
        <v>1238.7381591999999</v>
      </c>
      <c r="J191">
        <v>1193.5408935999999</v>
      </c>
      <c r="K191">
        <v>2750</v>
      </c>
      <c r="L191">
        <v>0</v>
      </c>
      <c r="M191">
        <v>0</v>
      </c>
      <c r="N191">
        <v>2750</v>
      </c>
    </row>
    <row r="192" spans="1:14" x14ac:dyDescent="0.25">
      <c r="A192">
        <v>21.484069999999999</v>
      </c>
      <c r="B192" s="1">
        <f>DATE(2010,5,22) + TIME(11,37,3)</f>
        <v>40320.4840625</v>
      </c>
      <c r="C192">
        <v>80</v>
      </c>
      <c r="D192">
        <v>79.913032532000003</v>
      </c>
      <c r="E192">
        <v>50</v>
      </c>
      <c r="F192">
        <v>14.996376037999999</v>
      </c>
      <c r="G192">
        <v>1404.5189209</v>
      </c>
      <c r="H192">
        <v>1388.5266113</v>
      </c>
      <c r="I192">
        <v>1238.7431641000001</v>
      </c>
      <c r="J192">
        <v>1193.5457764</v>
      </c>
      <c r="K192">
        <v>2750</v>
      </c>
      <c r="L192">
        <v>0</v>
      </c>
      <c r="M192">
        <v>0</v>
      </c>
      <c r="N192">
        <v>2750</v>
      </c>
    </row>
    <row r="193" spans="1:14" x14ac:dyDescent="0.25">
      <c r="A193">
        <v>21.832920999999999</v>
      </c>
      <c r="B193" s="1">
        <f>DATE(2010,5,22) + TIME(19,59,24)</f>
        <v>40320.832916666666</v>
      </c>
      <c r="C193">
        <v>80</v>
      </c>
      <c r="D193">
        <v>79.913063049000002</v>
      </c>
      <c r="E193">
        <v>50</v>
      </c>
      <c r="F193">
        <v>14.996397018</v>
      </c>
      <c r="G193">
        <v>1404.4005127</v>
      </c>
      <c r="H193">
        <v>1388.4128418</v>
      </c>
      <c r="I193">
        <v>1238.7482910000001</v>
      </c>
      <c r="J193">
        <v>1193.5507812000001</v>
      </c>
      <c r="K193">
        <v>2750</v>
      </c>
      <c r="L193">
        <v>0</v>
      </c>
      <c r="M193">
        <v>0</v>
      </c>
      <c r="N193">
        <v>2750</v>
      </c>
    </row>
    <row r="194" spans="1:14" x14ac:dyDescent="0.25">
      <c r="A194">
        <v>22.188877999999999</v>
      </c>
      <c r="B194" s="1">
        <f>DATE(2010,5,23) + TIME(4,31,59)</f>
        <v>40321.188877314817</v>
      </c>
      <c r="C194">
        <v>80</v>
      </c>
      <c r="D194">
        <v>79.913093567000004</v>
      </c>
      <c r="E194">
        <v>50</v>
      </c>
      <c r="F194">
        <v>14.996417999</v>
      </c>
      <c r="G194">
        <v>1404.2816161999999</v>
      </c>
      <c r="H194">
        <v>1388.2987060999999</v>
      </c>
      <c r="I194">
        <v>1238.7536620999999</v>
      </c>
      <c r="J194">
        <v>1193.5559082</v>
      </c>
      <c r="K194">
        <v>2750</v>
      </c>
      <c r="L194">
        <v>0</v>
      </c>
      <c r="M194">
        <v>0</v>
      </c>
      <c r="N194">
        <v>2750</v>
      </c>
    </row>
    <row r="195" spans="1:14" x14ac:dyDescent="0.25">
      <c r="A195">
        <v>22.551708000000001</v>
      </c>
      <c r="B195" s="1">
        <f>DATE(2010,5,23) + TIME(13,14,27)</f>
        <v>40321.551701388889</v>
      </c>
      <c r="C195">
        <v>80</v>
      </c>
      <c r="D195">
        <v>79.913131714000002</v>
      </c>
      <c r="E195">
        <v>50</v>
      </c>
      <c r="F195">
        <v>14.996438980000001</v>
      </c>
      <c r="G195">
        <v>1404.1622314000001</v>
      </c>
      <c r="H195">
        <v>1388.184082</v>
      </c>
      <c r="I195">
        <v>1238.7590332</v>
      </c>
      <c r="J195">
        <v>1193.5611572</v>
      </c>
      <c r="K195">
        <v>2750</v>
      </c>
      <c r="L195">
        <v>0</v>
      </c>
      <c r="M195">
        <v>0</v>
      </c>
      <c r="N195">
        <v>2750</v>
      </c>
    </row>
    <row r="196" spans="1:14" x14ac:dyDescent="0.25">
      <c r="A196">
        <v>22.921348999999999</v>
      </c>
      <c r="B196" s="1">
        <f>DATE(2010,5,23) + TIME(22,6,44)</f>
        <v>40321.921342592592</v>
      </c>
      <c r="C196">
        <v>80</v>
      </c>
      <c r="D196">
        <v>79.913162231000001</v>
      </c>
      <c r="E196">
        <v>50</v>
      </c>
      <c r="F196">
        <v>14.996460915</v>
      </c>
      <c r="G196">
        <v>1404.0424805</v>
      </c>
      <c r="H196">
        <v>1388.0690918</v>
      </c>
      <c r="I196">
        <v>1238.7645264</v>
      </c>
      <c r="J196">
        <v>1193.5665283000001</v>
      </c>
      <c r="K196">
        <v>2750</v>
      </c>
      <c r="L196">
        <v>0</v>
      </c>
      <c r="M196">
        <v>0</v>
      </c>
      <c r="N196">
        <v>2750</v>
      </c>
    </row>
    <row r="197" spans="1:14" x14ac:dyDescent="0.25">
      <c r="A197">
        <v>23.296489000000001</v>
      </c>
      <c r="B197" s="1">
        <f>DATE(2010,5,24) + TIME(7,6,56)</f>
        <v>40322.296481481484</v>
      </c>
      <c r="C197">
        <v>80</v>
      </c>
      <c r="D197">
        <v>79.913200377999999</v>
      </c>
      <c r="E197">
        <v>50</v>
      </c>
      <c r="F197">
        <v>14.996481895000001</v>
      </c>
      <c r="G197">
        <v>1403.9223632999999</v>
      </c>
      <c r="H197">
        <v>1387.9537353999999</v>
      </c>
      <c r="I197">
        <v>1238.7701416</v>
      </c>
      <c r="J197">
        <v>1193.5720214999999</v>
      </c>
      <c r="K197">
        <v>2750</v>
      </c>
      <c r="L197">
        <v>0</v>
      </c>
      <c r="M197">
        <v>0</v>
      </c>
      <c r="N197">
        <v>2750</v>
      </c>
    </row>
    <row r="198" spans="1:14" x14ac:dyDescent="0.25">
      <c r="A198">
        <v>23.672630000000002</v>
      </c>
      <c r="B198" s="1">
        <f>DATE(2010,5,24) + TIME(16,8,35)</f>
        <v>40322.672627314816</v>
      </c>
      <c r="C198">
        <v>80</v>
      </c>
      <c r="D198">
        <v>79.913230896000002</v>
      </c>
      <c r="E198">
        <v>50</v>
      </c>
      <c r="F198">
        <v>14.996502875999999</v>
      </c>
      <c r="G198">
        <v>1403.8022461</v>
      </c>
      <c r="H198">
        <v>1387.8386230000001</v>
      </c>
      <c r="I198">
        <v>1238.7758789</v>
      </c>
      <c r="J198">
        <v>1193.5775146000001</v>
      </c>
      <c r="K198">
        <v>2750</v>
      </c>
      <c r="L198">
        <v>0</v>
      </c>
      <c r="M198">
        <v>0</v>
      </c>
      <c r="N198">
        <v>2750</v>
      </c>
    </row>
    <row r="199" spans="1:14" x14ac:dyDescent="0.25">
      <c r="A199">
        <v>24.050422999999999</v>
      </c>
      <c r="B199" s="1">
        <f>DATE(2010,5,25) + TIME(1,12,36)</f>
        <v>40323.050416666665</v>
      </c>
      <c r="C199">
        <v>80</v>
      </c>
      <c r="D199">
        <v>79.913269043</v>
      </c>
      <c r="E199">
        <v>50</v>
      </c>
      <c r="F199">
        <v>14.996523857</v>
      </c>
      <c r="G199">
        <v>1403.6837158000001</v>
      </c>
      <c r="H199">
        <v>1387.7249756000001</v>
      </c>
      <c r="I199">
        <v>1238.7816161999999</v>
      </c>
      <c r="J199">
        <v>1193.5831298999999</v>
      </c>
      <c r="K199">
        <v>2750</v>
      </c>
      <c r="L199">
        <v>0</v>
      </c>
      <c r="M199">
        <v>0</v>
      </c>
      <c r="N199">
        <v>2750</v>
      </c>
    </row>
    <row r="200" spans="1:14" x14ac:dyDescent="0.25">
      <c r="A200">
        <v>24.430145</v>
      </c>
      <c r="B200" s="1">
        <f>DATE(2010,5,25) + TIME(10,19,24)</f>
        <v>40323.430138888885</v>
      </c>
      <c r="C200">
        <v>80</v>
      </c>
      <c r="D200">
        <v>79.913299561000002</v>
      </c>
      <c r="E200">
        <v>50</v>
      </c>
      <c r="F200">
        <v>14.996544838</v>
      </c>
      <c r="G200">
        <v>1403.5665283000001</v>
      </c>
      <c r="H200">
        <v>1387.6125488</v>
      </c>
      <c r="I200">
        <v>1238.7873535000001</v>
      </c>
      <c r="J200">
        <v>1193.5887451000001</v>
      </c>
      <c r="K200">
        <v>2750</v>
      </c>
      <c r="L200">
        <v>0</v>
      </c>
      <c r="M200">
        <v>0</v>
      </c>
      <c r="N200">
        <v>2750</v>
      </c>
    </row>
    <row r="201" spans="1:14" x14ac:dyDescent="0.25">
      <c r="A201">
        <v>24.810817</v>
      </c>
      <c r="B201" s="1">
        <f>DATE(2010,5,25) + TIME(19,27,34)</f>
        <v>40323.810810185183</v>
      </c>
      <c r="C201">
        <v>80</v>
      </c>
      <c r="D201">
        <v>79.913337708</v>
      </c>
      <c r="E201">
        <v>50</v>
      </c>
      <c r="F201">
        <v>14.996565819000001</v>
      </c>
      <c r="G201">
        <v>1403.4504394999999</v>
      </c>
      <c r="H201">
        <v>1387.5014647999999</v>
      </c>
      <c r="I201">
        <v>1238.7932129000001</v>
      </c>
      <c r="J201">
        <v>1193.5943603999999</v>
      </c>
      <c r="K201">
        <v>2750</v>
      </c>
      <c r="L201">
        <v>0</v>
      </c>
      <c r="M201">
        <v>0</v>
      </c>
      <c r="N201">
        <v>2750</v>
      </c>
    </row>
    <row r="202" spans="1:14" x14ac:dyDescent="0.25">
      <c r="A202">
        <v>25.193019</v>
      </c>
      <c r="B202" s="1">
        <f>DATE(2010,5,26) + TIME(4,37,56)</f>
        <v>40324.193009259259</v>
      </c>
      <c r="C202">
        <v>80</v>
      </c>
      <c r="D202">
        <v>79.913375853999995</v>
      </c>
      <c r="E202">
        <v>50</v>
      </c>
      <c r="F202">
        <v>14.996585846</v>
      </c>
      <c r="G202">
        <v>1403.3359375</v>
      </c>
      <c r="H202">
        <v>1387.3917236</v>
      </c>
      <c r="I202">
        <v>1238.7990723</v>
      </c>
      <c r="J202">
        <v>1193.6000977000001</v>
      </c>
      <c r="K202">
        <v>2750</v>
      </c>
      <c r="L202">
        <v>0</v>
      </c>
      <c r="M202">
        <v>0</v>
      </c>
      <c r="N202">
        <v>2750</v>
      </c>
    </row>
    <row r="203" spans="1:14" x14ac:dyDescent="0.25">
      <c r="A203">
        <v>25.577324000000001</v>
      </c>
      <c r="B203" s="1">
        <f>DATE(2010,5,26) + TIME(13,51,20)</f>
        <v>40324.577314814815</v>
      </c>
      <c r="C203">
        <v>80</v>
      </c>
      <c r="D203">
        <v>79.913406371999997</v>
      </c>
      <c r="E203">
        <v>50</v>
      </c>
      <c r="F203">
        <v>14.996606827000001</v>
      </c>
      <c r="G203">
        <v>1403.2225341999999</v>
      </c>
      <c r="H203">
        <v>1387.2830810999999</v>
      </c>
      <c r="I203">
        <v>1238.8049315999999</v>
      </c>
      <c r="J203">
        <v>1193.6057129000001</v>
      </c>
      <c r="K203">
        <v>2750</v>
      </c>
      <c r="L203">
        <v>0</v>
      </c>
      <c r="M203">
        <v>0</v>
      </c>
      <c r="N203">
        <v>2750</v>
      </c>
    </row>
    <row r="204" spans="1:14" x14ac:dyDescent="0.25">
      <c r="A204">
        <v>25.964306000000001</v>
      </c>
      <c r="B204" s="1">
        <f>DATE(2010,5,26) + TIME(23,8,36)</f>
        <v>40324.964305555557</v>
      </c>
      <c r="C204">
        <v>80</v>
      </c>
      <c r="D204">
        <v>79.913444518999995</v>
      </c>
      <c r="E204">
        <v>50</v>
      </c>
      <c r="F204">
        <v>14.996626854000001</v>
      </c>
      <c r="G204">
        <v>1403.1102295000001</v>
      </c>
      <c r="H204">
        <v>1387.1756591999999</v>
      </c>
      <c r="I204">
        <v>1238.8109131000001</v>
      </c>
      <c r="J204">
        <v>1193.6115723</v>
      </c>
      <c r="K204">
        <v>2750</v>
      </c>
      <c r="L204">
        <v>0</v>
      </c>
      <c r="M204">
        <v>0</v>
      </c>
      <c r="N204">
        <v>2750</v>
      </c>
    </row>
    <row r="205" spans="1:14" x14ac:dyDescent="0.25">
      <c r="A205">
        <v>26.354545000000002</v>
      </c>
      <c r="B205" s="1">
        <f>DATE(2010,5,27) + TIME(8,30,32)</f>
        <v>40325.354537037034</v>
      </c>
      <c r="C205">
        <v>80</v>
      </c>
      <c r="D205">
        <v>79.913482665999993</v>
      </c>
      <c r="E205">
        <v>50</v>
      </c>
      <c r="F205">
        <v>14.996646881</v>
      </c>
      <c r="G205">
        <v>1402.9986572</v>
      </c>
      <c r="H205">
        <v>1387.0689697</v>
      </c>
      <c r="I205">
        <v>1238.8168945</v>
      </c>
      <c r="J205">
        <v>1193.6173096</v>
      </c>
      <c r="K205">
        <v>2750</v>
      </c>
      <c r="L205">
        <v>0</v>
      </c>
      <c r="M205">
        <v>0</v>
      </c>
      <c r="N205">
        <v>2750</v>
      </c>
    </row>
    <row r="206" spans="1:14" x14ac:dyDescent="0.25">
      <c r="A206">
        <v>26.748635</v>
      </c>
      <c r="B206" s="1">
        <f>DATE(2010,5,27) + TIME(17,58,2)</f>
        <v>40325.74863425926</v>
      </c>
      <c r="C206">
        <v>80</v>
      </c>
      <c r="D206">
        <v>79.913520813000005</v>
      </c>
      <c r="E206">
        <v>50</v>
      </c>
      <c r="F206">
        <v>14.996666908</v>
      </c>
      <c r="G206">
        <v>1402.8879394999999</v>
      </c>
      <c r="H206">
        <v>1386.9630127</v>
      </c>
      <c r="I206">
        <v>1238.8229980000001</v>
      </c>
      <c r="J206">
        <v>1193.6231689000001</v>
      </c>
      <c r="K206">
        <v>2750</v>
      </c>
      <c r="L206">
        <v>0</v>
      </c>
      <c r="M206">
        <v>0</v>
      </c>
      <c r="N206">
        <v>2750</v>
      </c>
    </row>
    <row r="207" spans="1:14" x14ac:dyDescent="0.25">
      <c r="A207">
        <v>27.147190999999999</v>
      </c>
      <c r="B207" s="1">
        <f>DATE(2010,5,28) + TIME(3,31,57)</f>
        <v>40326.147187499999</v>
      </c>
      <c r="C207">
        <v>80</v>
      </c>
      <c r="D207">
        <v>79.913558960000003</v>
      </c>
      <c r="E207">
        <v>50</v>
      </c>
      <c r="F207">
        <v>14.996686935</v>
      </c>
      <c r="G207">
        <v>1402.7775879000001</v>
      </c>
      <c r="H207">
        <v>1386.8576660000001</v>
      </c>
      <c r="I207">
        <v>1238.8291016000001</v>
      </c>
      <c r="J207">
        <v>1193.6291504000001</v>
      </c>
      <c r="K207">
        <v>2750</v>
      </c>
      <c r="L207">
        <v>0</v>
      </c>
      <c r="M207">
        <v>0</v>
      </c>
      <c r="N207">
        <v>2750</v>
      </c>
    </row>
    <row r="208" spans="1:14" x14ac:dyDescent="0.25">
      <c r="A208">
        <v>27.550885000000001</v>
      </c>
      <c r="B208" s="1">
        <f>DATE(2010,5,28) + TIME(13,13,16)</f>
        <v>40326.550879629627</v>
      </c>
      <c r="C208">
        <v>80</v>
      </c>
      <c r="D208">
        <v>79.913597107000001</v>
      </c>
      <c r="E208">
        <v>50</v>
      </c>
      <c r="F208">
        <v>14.996706962999999</v>
      </c>
      <c r="G208">
        <v>1402.6676024999999</v>
      </c>
      <c r="H208">
        <v>1386.7525635</v>
      </c>
      <c r="I208">
        <v>1238.8353271000001</v>
      </c>
      <c r="J208">
        <v>1193.6351318</v>
      </c>
      <c r="K208">
        <v>2750</v>
      </c>
      <c r="L208">
        <v>0</v>
      </c>
      <c r="M208">
        <v>0</v>
      </c>
      <c r="N208">
        <v>2750</v>
      </c>
    </row>
    <row r="209" spans="1:14" x14ac:dyDescent="0.25">
      <c r="A209">
        <v>27.960507</v>
      </c>
      <c r="B209" s="1">
        <f>DATE(2010,5,28) + TIME(23,3,7)</f>
        <v>40326.960497685184</v>
      </c>
      <c r="C209">
        <v>80</v>
      </c>
      <c r="D209">
        <v>79.913635253999999</v>
      </c>
      <c r="E209">
        <v>50</v>
      </c>
      <c r="F209">
        <v>14.996726036</v>
      </c>
      <c r="G209">
        <v>1402.5578613</v>
      </c>
      <c r="H209">
        <v>1386.6477050999999</v>
      </c>
      <c r="I209">
        <v>1238.8416748</v>
      </c>
      <c r="J209">
        <v>1193.6412353999999</v>
      </c>
      <c r="K209">
        <v>2750</v>
      </c>
      <c r="L209">
        <v>0</v>
      </c>
      <c r="M209">
        <v>0</v>
      </c>
      <c r="N209">
        <v>2750</v>
      </c>
    </row>
    <row r="210" spans="1:14" x14ac:dyDescent="0.25">
      <c r="A210">
        <v>28.376617</v>
      </c>
      <c r="B210" s="1">
        <f>DATE(2010,5,29) + TIME(9,2,19)</f>
        <v>40327.376608796294</v>
      </c>
      <c r="C210">
        <v>80</v>
      </c>
      <c r="D210">
        <v>79.913673400999997</v>
      </c>
      <c r="E210">
        <v>50</v>
      </c>
      <c r="F210">
        <v>14.996746063</v>
      </c>
      <c r="G210">
        <v>1402.4479980000001</v>
      </c>
      <c r="H210">
        <v>1386.5428466999999</v>
      </c>
      <c r="I210">
        <v>1238.8480225000001</v>
      </c>
      <c r="J210">
        <v>1193.6474608999999</v>
      </c>
      <c r="K210">
        <v>2750</v>
      </c>
      <c r="L210">
        <v>0</v>
      </c>
      <c r="M210">
        <v>0</v>
      </c>
      <c r="N210">
        <v>2750</v>
      </c>
    </row>
    <row r="211" spans="1:14" x14ac:dyDescent="0.25">
      <c r="A211">
        <v>28.799972</v>
      </c>
      <c r="B211" s="1">
        <f>DATE(2010,5,29) + TIME(19,11,57)</f>
        <v>40327.79996527778</v>
      </c>
      <c r="C211">
        <v>80</v>
      </c>
      <c r="D211">
        <v>79.913711547999995</v>
      </c>
      <c r="E211">
        <v>50</v>
      </c>
      <c r="F211">
        <v>14.996766089999999</v>
      </c>
      <c r="G211">
        <v>1402.3380127</v>
      </c>
      <c r="H211">
        <v>1386.4378661999999</v>
      </c>
      <c r="I211">
        <v>1238.8546143000001</v>
      </c>
      <c r="J211">
        <v>1193.6538086</v>
      </c>
      <c r="K211">
        <v>2750</v>
      </c>
      <c r="L211">
        <v>0</v>
      </c>
      <c r="M211">
        <v>0</v>
      </c>
      <c r="N211">
        <v>2750</v>
      </c>
    </row>
    <row r="212" spans="1:14" x14ac:dyDescent="0.25">
      <c r="A212">
        <v>29.231421999999998</v>
      </c>
      <c r="B212" s="1">
        <f>DATE(2010,5,30) + TIME(5,33,14)</f>
        <v>40328.231412037036</v>
      </c>
      <c r="C212">
        <v>80</v>
      </c>
      <c r="D212">
        <v>79.913757324000002</v>
      </c>
      <c r="E212">
        <v>50</v>
      </c>
      <c r="F212">
        <v>14.996786117999999</v>
      </c>
      <c r="G212">
        <v>1402.2277832</v>
      </c>
      <c r="H212">
        <v>1386.3326416</v>
      </c>
      <c r="I212">
        <v>1238.8613281</v>
      </c>
      <c r="J212">
        <v>1193.6602783000001</v>
      </c>
      <c r="K212">
        <v>2750</v>
      </c>
      <c r="L212">
        <v>0</v>
      </c>
      <c r="M212">
        <v>0</v>
      </c>
      <c r="N212">
        <v>2750</v>
      </c>
    </row>
    <row r="213" spans="1:14" x14ac:dyDescent="0.25">
      <c r="A213">
        <v>29.670891999999998</v>
      </c>
      <c r="B213" s="1">
        <f>DATE(2010,5,30) + TIME(16,6,5)</f>
        <v>40328.670891203707</v>
      </c>
      <c r="C213">
        <v>80</v>
      </c>
      <c r="D213">
        <v>79.913795471</v>
      </c>
      <c r="E213">
        <v>50</v>
      </c>
      <c r="F213">
        <v>14.996806145000001</v>
      </c>
      <c r="G213">
        <v>1402.1169434000001</v>
      </c>
      <c r="H213">
        <v>1386.2269286999999</v>
      </c>
      <c r="I213">
        <v>1238.8681641000001</v>
      </c>
      <c r="J213">
        <v>1193.6668701000001</v>
      </c>
      <c r="K213">
        <v>2750</v>
      </c>
      <c r="L213">
        <v>0</v>
      </c>
      <c r="M213">
        <v>0</v>
      </c>
      <c r="N213">
        <v>2750</v>
      </c>
    </row>
    <row r="214" spans="1:14" x14ac:dyDescent="0.25">
      <c r="A214">
        <v>30.118338999999999</v>
      </c>
      <c r="B214" s="1">
        <f>DATE(2010,5,31) + TIME(2,50,24)</f>
        <v>40329.118333333332</v>
      </c>
      <c r="C214">
        <v>80</v>
      </c>
      <c r="D214">
        <v>79.913841247999997</v>
      </c>
      <c r="E214">
        <v>50</v>
      </c>
      <c r="F214">
        <v>14.996826172</v>
      </c>
      <c r="G214">
        <v>1402.0057373</v>
      </c>
      <c r="H214">
        <v>1386.1208495999999</v>
      </c>
      <c r="I214">
        <v>1238.8751221</v>
      </c>
      <c r="J214">
        <v>1193.6737060999999</v>
      </c>
      <c r="K214">
        <v>2750</v>
      </c>
      <c r="L214">
        <v>0</v>
      </c>
      <c r="M214">
        <v>0</v>
      </c>
      <c r="N214">
        <v>2750</v>
      </c>
    </row>
    <row r="215" spans="1:14" x14ac:dyDescent="0.25">
      <c r="A215">
        <v>30.567952999999999</v>
      </c>
      <c r="B215" s="1">
        <f>DATE(2010,5,31) + TIME(13,37,51)</f>
        <v>40329.56795138889</v>
      </c>
      <c r="C215">
        <v>80</v>
      </c>
      <c r="D215">
        <v>79.913887024000005</v>
      </c>
      <c r="E215">
        <v>50</v>
      </c>
      <c r="F215">
        <v>14.996846199</v>
      </c>
      <c r="G215">
        <v>1401.894043</v>
      </c>
      <c r="H215">
        <v>1386.0145264</v>
      </c>
      <c r="I215">
        <v>1238.8822021000001</v>
      </c>
      <c r="J215">
        <v>1193.6805420000001</v>
      </c>
      <c r="K215">
        <v>2750</v>
      </c>
      <c r="L215">
        <v>0</v>
      </c>
      <c r="M215">
        <v>0</v>
      </c>
      <c r="N215">
        <v>2750</v>
      </c>
    </row>
    <row r="216" spans="1:14" x14ac:dyDescent="0.25">
      <c r="A216">
        <v>31</v>
      </c>
      <c r="B216" s="1">
        <f>DATE(2010,6,1) + TIME(0,0,0)</f>
        <v>40330</v>
      </c>
      <c r="C216">
        <v>80</v>
      </c>
      <c r="D216">
        <v>79.913925171000002</v>
      </c>
      <c r="E216">
        <v>50</v>
      </c>
      <c r="F216">
        <v>14.996866226</v>
      </c>
      <c r="G216">
        <v>1401.7833252</v>
      </c>
      <c r="H216">
        <v>1385.9090576000001</v>
      </c>
      <c r="I216">
        <v>1238.8894043</v>
      </c>
      <c r="J216">
        <v>1193.6875</v>
      </c>
      <c r="K216">
        <v>2750</v>
      </c>
      <c r="L216">
        <v>0</v>
      </c>
      <c r="M216">
        <v>0</v>
      </c>
      <c r="N216">
        <v>2750</v>
      </c>
    </row>
    <row r="217" spans="1:14" x14ac:dyDescent="0.25">
      <c r="A217">
        <v>31.450332</v>
      </c>
      <c r="B217" s="1">
        <f>DATE(2010,6,1) + TIME(10,48,28)</f>
        <v>40330.450324074074</v>
      </c>
      <c r="C217">
        <v>80</v>
      </c>
      <c r="D217">
        <v>79.913970946999996</v>
      </c>
      <c r="E217">
        <v>50</v>
      </c>
      <c r="F217">
        <v>14.996885300000001</v>
      </c>
      <c r="G217">
        <v>1401.6784668</v>
      </c>
      <c r="H217">
        <v>1385.8092041</v>
      </c>
      <c r="I217">
        <v>1238.8963623</v>
      </c>
      <c r="J217">
        <v>1193.6942139</v>
      </c>
      <c r="K217">
        <v>2750</v>
      </c>
      <c r="L217">
        <v>0</v>
      </c>
      <c r="M217">
        <v>0</v>
      </c>
      <c r="N217">
        <v>2750</v>
      </c>
    </row>
    <row r="218" spans="1:14" x14ac:dyDescent="0.25">
      <c r="A218">
        <v>31.901619</v>
      </c>
      <c r="B218" s="1">
        <f>DATE(2010,6,1) + TIME(21,38,19)</f>
        <v>40330.901608796295</v>
      </c>
      <c r="C218">
        <v>80</v>
      </c>
      <c r="D218">
        <v>79.914016724000007</v>
      </c>
      <c r="E218">
        <v>50</v>
      </c>
      <c r="F218">
        <v>14.996905327</v>
      </c>
      <c r="G218">
        <v>1401.5708007999999</v>
      </c>
      <c r="H218">
        <v>1385.706543</v>
      </c>
      <c r="I218">
        <v>1238.9035644999999</v>
      </c>
      <c r="J218">
        <v>1193.7011719</v>
      </c>
      <c r="K218">
        <v>2750</v>
      </c>
      <c r="L218">
        <v>0</v>
      </c>
      <c r="M218">
        <v>0</v>
      </c>
      <c r="N218">
        <v>2750</v>
      </c>
    </row>
    <row r="219" spans="1:14" x14ac:dyDescent="0.25">
      <c r="A219">
        <v>32.354416999999998</v>
      </c>
      <c r="B219" s="1">
        <f>DATE(2010,6,2) + TIME(8,30,21)</f>
        <v>40331.354409722226</v>
      </c>
      <c r="C219">
        <v>80</v>
      </c>
      <c r="D219">
        <v>79.914054871000005</v>
      </c>
      <c r="E219">
        <v>50</v>
      </c>
      <c r="F219">
        <v>14.996924399999999</v>
      </c>
      <c r="G219">
        <v>1401.4642334</v>
      </c>
      <c r="H219">
        <v>1385.6052245999999</v>
      </c>
      <c r="I219">
        <v>1238.9108887</v>
      </c>
      <c r="J219">
        <v>1193.7082519999999</v>
      </c>
      <c r="K219">
        <v>2750</v>
      </c>
      <c r="L219">
        <v>0</v>
      </c>
      <c r="M219">
        <v>0</v>
      </c>
      <c r="N219">
        <v>2750</v>
      </c>
    </row>
    <row r="220" spans="1:14" x14ac:dyDescent="0.25">
      <c r="A220">
        <v>32.809398000000002</v>
      </c>
      <c r="B220" s="1">
        <f>DATE(2010,6,2) + TIME(19,25,31)</f>
        <v>40331.809386574074</v>
      </c>
      <c r="C220">
        <v>80</v>
      </c>
      <c r="D220">
        <v>79.914100646999998</v>
      </c>
      <c r="E220">
        <v>50</v>
      </c>
      <c r="F220">
        <v>14.996943474</v>
      </c>
      <c r="G220">
        <v>1401.3587646000001</v>
      </c>
      <c r="H220">
        <v>1385.5048827999999</v>
      </c>
      <c r="I220">
        <v>1238.9182129000001</v>
      </c>
      <c r="J220">
        <v>1193.715332</v>
      </c>
      <c r="K220">
        <v>2750</v>
      </c>
      <c r="L220">
        <v>0</v>
      </c>
      <c r="M220">
        <v>0</v>
      </c>
      <c r="N220">
        <v>2750</v>
      </c>
    </row>
    <row r="221" spans="1:14" x14ac:dyDescent="0.25">
      <c r="A221">
        <v>33.267246</v>
      </c>
      <c r="B221" s="1">
        <f>DATE(2010,6,3) + TIME(6,24,50)</f>
        <v>40332.267245370371</v>
      </c>
      <c r="C221">
        <v>80</v>
      </c>
      <c r="D221">
        <v>79.914146423000005</v>
      </c>
      <c r="E221">
        <v>50</v>
      </c>
      <c r="F221">
        <v>14.996962547000001</v>
      </c>
      <c r="G221">
        <v>1401.2542725000001</v>
      </c>
      <c r="H221">
        <v>1385.4053954999999</v>
      </c>
      <c r="I221">
        <v>1238.9255370999999</v>
      </c>
      <c r="J221">
        <v>1193.7224120999999</v>
      </c>
      <c r="K221">
        <v>2750</v>
      </c>
      <c r="L221">
        <v>0</v>
      </c>
      <c r="M221">
        <v>0</v>
      </c>
      <c r="N221">
        <v>2750</v>
      </c>
    </row>
    <row r="222" spans="1:14" x14ac:dyDescent="0.25">
      <c r="A222">
        <v>33.728653999999999</v>
      </c>
      <c r="B222" s="1">
        <f>DATE(2010,6,3) + TIME(17,29,15)</f>
        <v>40332.728645833333</v>
      </c>
      <c r="C222">
        <v>80</v>
      </c>
      <c r="D222">
        <v>79.914192200000002</v>
      </c>
      <c r="E222">
        <v>50</v>
      </c>
      <c r="F222">
        <v>14.996981621</v>
      </c>
      <c r="G222">
        <v>1401.1505127</v>
      </c>
      <c r="H222">
        <v>1385.3067627</v>
      </c>
      <c r="I222">
        <v>1238.9329834</v>
      </c>
      <c r="J222">
        <v>1193.7296143000001</v>
      </c>
      <c r="K222">
        <v>2750</v>
      </c>
      <c r="L222">
        <v>0</v>
      </c>
      <c r="M222">
        <v>0</v>
      </c>
      <c r="N222">
        <v>2750</v>
      </c>
    </row>
    <row r="223" spans="1:14" x14ac:dyDescent="0.25">
      <c r="A223">
        <v>34.194330000000001</v>
      </c>
      <c r="B223" s="1">
        <f>DATE(2010,6,4) + TIME(4,39,50)</f>
        <v>40333.194328703707</v>
      </c>
      <c r="C223">
        <v>80</v>
      </c>
      <c r="D223">
        <v>79.914237975999995</v>
      </c>
      <c r="E223">
        <v>50</v>
      </c>
      <c r="F223">
        <v>14.997000694</v>
      </c>
      <c r="G223">
        <v>1401.0473632999999</v>
      </c>
      <c r="H223">
        <v>1385.2086182</v>
      </c>
      <c r="I223">
        <v>1238.9405518000001</v>
      </c>
      <c r="J223">
        <v>1193.7368164</v>
      </c>
      <c r="K223">
        <v>2750</v>
      </c>
      <c r="L223">
        <v>0</v>
      </c>
      <c r="M223">
        <v>0</v>
      </c>
      <c r="N223">
        <v>2750</v>
      </c>
    </row>
    <row r="224" spans="1:14" x14ac:dyDescent="0.25">
      <c r="A224">
        <v>34.665002999999999</v>
      </c>
      <c r="B224" s="1">
        <f>DATE(2010,6,4) + TIME(15,57,36)</f>
        <v>40333.665000000001</v>
      </c>
      <c r="C224">
        <v>80</v>
      </c>
      <c r="D224">
        <v>79.914283752000003</v>
      </c>
      <c r="E224">
        <v>50</v>
      </c>
      <c r="F224">
        <v>14.997018814</v>
      </c>
      <c r="G224">
        <v>1400.9445800999999</v>
      </c>
      <c r="H224">
        <v>1385.1109618999999</v>
      </c>
      <c r="I224">
        <v>1238.9481201000001</v>
      </c>
      <c r="J224">
        <v>1193.7442627</v>
      </c>
      <c r="K224">
        <v>2750</v>
      </c>
      <c r="L224">
        <v>0</v>
      </c>
      <c r="M224">
        <v>0</v>
      </c>
      <c r="N224">
        <v>2750</v>
      </c>
    </row>
    <row r="225" spans="1:14" x14ac:dyDescent="0.25">
      <c r="A225">
        <v>35.141534</v>
      </c>
      <c r="B225" s="1">
        <f>DATE(2010,6,5) + TIME(3,23,48)</f>
        <v>40334.141527777778</v>
      </c>
      <c r="C225">
        <v>80</v>
      </c>
      <c r="D225">
        <v>79.914329529</v>
      </c>
      <c r="E225">
        <v>50</v>
      </c>
      <c r="F225">
        <v>14.997037887999999</v>
      </c>
      <c r="G225">
        <v>1400.8420410000001</v>
      </c>
      <c r="H225">
        <v>1385.0135498</v>
      </c>
      <c r="I225">
        <v>1238.9559326000001</v>
      </c>
      <c r="J225">
        <v>1193.7517089999999</v>
      </c>
      <c r="K225">
        <v>2750</v>
      </c>
      <c r="L225">
        <v>0</v>
      </c>
      <c r="M225">
        <v>0</v>
      </c>
      <c r="N225">
        <v>2750</v>
      </c>
    </row>
    <row r="226" spans="1:14" x14ac:dyDescent="0.25">
      <c r="A226">
        <v>35.624743000000002</v>
      </c>
      <c r="B226" s="1">
        <f>DATE(2010,6,5) + TIME(14,59,37)</f>
        <v>40334.6247337963</v>
      </c>
      <c r="C226">
        <v>80</v>
      </c>
      <c r="D226">
        <v>79.914382935000006</v>
      </c>
      <c r="E226">
        <v>50</v>
      </c>
      <c r="F226">
        <v>14.997056961</v>
      </c>
      <c r="G226">
        <v>1400.739624</v>
      </c>
      <c r="H226">
        <v>1384.9162598</v>
      </c>
      <c r="I226">
        <v>1238.9637451000001</v>
      </c>
      <c r="J226">
        <v>1193.7592772999999</v>
      </c>
      <c r="K226">
        <v>2750</v>
      </c>
      <c r="L226">
        <v>0</v>
      </c>
      <c r="M226">
        <v>0</v>
      </c>
      <c r="N226">
        <v>2750</v>
      </c>
    </row>
    <row r="227" spans="1:14" x14ac:dyDescent="0.25">
      <c r="A227">
        <v>36.115358999999998</v>
      </c>
      <c r="B227" s="1">
        <f>DATE(2010,6,6) + TIME(2,46,7)</f>
        <v>40335.115358796298</v>
      </c>
      <c r="C227">
        <v>80</v>
      </c>
      <c r="D227">
        <v>79.914428710999999</v>
      </c>
      <c r="E227">
        <v>50</v>
      </c>
      <c r="F227">
        <v>14.997076034999999</v>
      </c>
      <c r="G227">
        <v>1400.637207</v>
      </c>
      <c r="H227">
        <v>1384.8189697</v>
      </c>
      <c r="I227">
        <v>1238.9718018000001</v>
      </c>
      <c r="J227">
        <v>1193.7669678</v>
      </c>
      <c r="K227">
        <v>2750</v>
      </c>
      <c r="L227">
        <v>0</v>
      </c>
      <c r="M227">
        <v>0</v>
      </c>
      <c r="N227">
        <v>2750</v>
      </c>
    </row>
    <row r="228" spans="1:14" x14ac:dyDescent="0.25">
      <c r="A228">
        <v>36.614246000000001</v>
      </c>
      <c r="B228" s="1">
        <f>DATE(2010,6,6) + TIME(14,44,30)</f>
        <v>40335.614236111112</v>
      </c>
      <c r="C228">
        <v>80</v>
      </c>
      <c r="D228">
        <v>79.914482117000006</v>
      </c>
      <c r="E228">
        <v>50</v>
      </c>
      <c r="F228">
        <v>14.997094153999999</v>
      </c>
      <c r="G228">
        <v>1400.5344238</v>
      </c>
      <c r="H228">
        <v>1384.7214355000001</v>
      </c>
      <c r="I228">
        <v>1238.9799805</v>
      </c>
      <c r="J228">
        <v>1193.7749022999999</v>
      </c>
      <c r="K228">
        <v>2750</v>
      </c>
      <c r="L228">
        <v>0</v>
      </c>
      <c r="M228">
        <v>0</v>
      </c>
      <c r="N228">
        <v>2750</v>
      </c>
    </row>
    <row r="229" spans="1:14" x14ac:dyDescent="0.25">
      <c r="A229">
        <v>37.122464999999998</v>
      </c>
      <c r="B229" s="1">
        <f>DATE(2010,6,7) + TIME(2,56,20)</f>
        <v>40336.122453703705</v>
      </c>
      <c r="C229">
        <v>80</v>
      </c>
      <c r="D229">
        <v>79.914527892999999</v>
      </c>
      <c r="E229">
        <v>50</v>
      </c>
      <c r="F229">
        <v>14.997113228</v>
      </c>
      <c r="G229">
        <v>1400.4313964999999</v>
      </c>
      <c r="H229">
        <v>1384.6236572</v>
      </c>
      <c r="I229">
        <v>1238.9882812000001</v>
      </c>
      <c r="J229">
        <v>1193.7829589999999</v>
      </c>
      <c r="K229">
        <v>2750</v>
      </c>
      <c r="L229">
        <v>0</v>
      </c>
      <c r="M229">
        <v>0</v>
      </c>
      <c r="N229">
        <v>2750</v>
      </c>
    </row>
    <row r="230" spans="1:14" x14ac:dyDescent="0.25">
      <c r="A230">
        <v>37.639273000000003</v>
      </c>
      <c r="B230" s="1">
        <f>DATE(2010,6,7) + TIME(15,20,33)</f>
        <v>40336.639270833337</v>
      </c>
      <c r="C230">
        <v>80</v>
      </c>
      <c r="D230">
        <v>79.914581299000005</v>
      </c>
      <c r="E230">
        <v>50</v>
      </c>
      <c r="F230">
        <v>14.997132301000001</v>
      </c>
      <c r="G230">
        <v>1400.3277588000001</v>
      </c>
      <c r="H230">
        <v>1384.5253906</v>
      </c>
      <c r="I230">
        <v>1238.9968262</v>
      </c>
      <c r="J230">
        <v>1193.7911377</v>
      </c>
      <c r="K230">
        <v>2750</v>
      </c>
      <c r="L230">
        <v>0</v>
      </c>
      <c r="M230">
        <v>0</v>
      </c>
      <c r="N230">
        <v>2750</v>
      </c>
    </row>
    <row r="231" spans="1:14" x14ac:dyDescent="0.25">
      <c r="A231">
        <v>37.902113</v>
      </c>
      <c r="B231" s="1">
        <f>DATE(2010,6,7) + TIME(21,39,2)</f>
        <v>40336.902106481481</v>
      </c>
      <c r="C231">
        <v>80</v>
      </c>
      <c r="D231">
        <v>79.914596558</v>
      </c>
      <c r="E231">
        <v>50</v>
      </c>
      <c r="F231">
        <v>14.997144699</v>
      </c>
      <c r="G231">
        <v>1400.2233887</v>
      </c>
      <c r="H231">
        <v>1384.4261475000001</v>
      </c>
      <c r="I231">
        <v>1239.0050048999999</v>
      </c>
      <c r="J231">
        <v>1193.7989502</v>
      </c>
      <c r="K231">
        <v>2750</v>
      </c>
      <c r="L231">
        <v>0</v>
      </c>
      <c r="M231">
        <v>0</v>
      </c>
      <c r="N231">
        <v>2750</v>
      </c>
    </row>
    <row r="232" spans="1:14" x14ac:dyDescent="0.25">
      <c r="A232">
        <v>38.164954000000002</v>
      </c>
      <c r="B232" s="1">
        <f>DATE(2010,6,8) + TIME(3,57,31)</f>
        <v>40337.164942129632</v>
      </c>
      <c r="C232">
        <v>80</v>
      </c>
      <c r="D232">
        <v>79.914627074999999</v>
      </c>
      <c r="E232">
        <v>50</v>
      </c>
      <c r="F232">
        <v>14.997156143</v>
      </c>
      <c r="G232">
        <v>1400.1700439000001</v>
      </c>
      <c r="H232">
        <v>1384.3754882999999</v>
      </c>
      <c r="I232">
        <v>1239.0095214999999</v>
      </c>
      <c r="J232">
        <v>1193.8033447</v>
      </c>
      <c r="K232">
        <v>2750</v>
      </c>
      <c r="L232">
        <v>0</v>
      </c>
      <c r="M232">
        <v>0</v>
      </c>
      <c r="N232">
        <v>2750</v>
      </c>
    </row>
    <row r="233" spans="1:14" x14ac:dyDescent="0.25">
      <c r="A233">
        <v>38.427793999999999</v>
      </c>
      <c r="B233" s="1">
        <f>DATE(2010,6,8) + TIME(10,16,1)</f>
        <v>40337.427789351852</v>
      </c>
      <c r="C233">
        <v>80</v>
      </c>
      <c r="D233">
        <v>79.914649963000002</v>
      </c>
      <c r="E233">
        <v>50</v>
      </c>
      <c r="F233">
        <v>14.997166633999999</v>
      </c>
      <c r="G233">
        <v>1400.1179199000001</v>
      </c>
      <c r="H233">
        <v>1384.3260498</v>
      </c>
      <c r="I233">
        <v>1239.0139160000001</v>
      </c>
      <c r="J233">
        <v>1193.8076172000001</v>
      </c>
      <c r="K233">
        <v>2750</v>
      </c>
      <c r="L233">
        <v>0</v>
      </c>
      <c r="M233">
        <v>0</v>
      </c>
      <c r="N233">
        <v>2750</v>
      </c>
    </row>
    <row r="234" spans="1:14" x14ac:dyDescent="0.25">
      <c r="A234">
        <v>38.690634000000003</v>
      </c>
      <c r="B234" s="1">
        <f>DATE(2010,6,8) + TIME(16,34,30)</f>
        <v>40337.690625000003</v>
      </c>
      <c r="C234">
        <v>80</v>
      </c>
      <c r="D234">
        <v>79.914672851999995</v>
      </c>
      <c r="E234">
        <v>50</v>
      </c>
      <c r="F234">
        <v>14.997177124</v>
      </c>
      <c r="G234">
        <v>1400.0661620999999</v>
      </c>
      <c r="H234">
        <v>1384.2769774999999</v>
      </c>
      <c r="I234">
        <v>1239.0184326000001</v>
      </c>
      <c r="J234">
        <v>1193.8120117000001</v>
      </c>
      <c r="K234">
        <v>2750</v>
      </c>
      <c r="L234">
        <v>0</v>
      </c>
      <c r="M234">
        <v>0</v>
      </c>
      <c r="N234">
        <v>2750</v>
      </c>
    </row>
    <row r="235" spans="1:14" x14ac:dyDescent="0.25">
      <c r="A235">
        <v>38.953474999999997</v>
      </c>
      <c r="B235" s="1">
        <f>DATE(2010,6,8) + TIME(22,53,0)</f>
        <v>40337.953472222223</v>
      </c>
      <c r="C235">
        <v>80</v>
      </c>
      <c r="D235">
        <v>79.914703368999994</v>
      </c>
      <c r="E235">
        <v>50</v>
      </c>
      <c r="F235">
        <v>14.997187614</v>
      </c>
      <c r="G235">
        <v>1400.0147704999999</v>
      </c>
      <c r="H235">
        <v>1384.2282714999999</v>
      </c>
      <c r="I235">
        <v>1239.0229492000001</v>
      </c>
      <c r="J235">
        <v>1193.8162841999999</v>
      </c>
      <c r="K235">
        <v>2750</v>
      </c>
      <c r="L235">
        <v>0</v>
      </c>
      <c r="M235">
        <v>0</v>
      </c>
      <c r="N235">
        <v>2750</v>
      </c>
    </row>
    <row r="236" spans="1:14" x14ac:dyDescent="0.25">
      <c r="A236">
        <v>39.216315000000002</v>
      </c>
      <c r="B236" s="1">
        <f>DATE(2010,6,9) + TIME(5,11,29)</f>
        <v>40338.216307870367</v>
      </c>
      <c r="C236">
        <v>80</v>
      </c>
      <c r="D236">
        <v>79.914726256999998</v>
      </c>
      <c r="E236">
        <v>50</v>
      </c>
      <c r="F236">
        <v>14.997198105000001</v>
      </c>
      <c r="G236">
        <v>1399.9637451000001</v>
      </c>
      <c r="H236">
        <v>1384.1798096</v>
      </c>
      <c r="I236">
        <v>1239.0273437999999</v>
      </c>
      <c r="J236">
        <v>1193.8205565999999</v>
      </c>
      <c r="K236">
        <v>2750</v>
      </c>
      <c r="L236">
        <v>0</v>
      </c>
      <c r="M236">
        <v>0</v>
      </c>
      <c r="N236">
        <v>2750</v>
      </c>
    </row>
    <row r="237" spans="1:14" x14ac:dyDescent="0.25">
      <c r="A237">
        <v>39.479156000000003</v>
      </c>
      <c r="B237" s="1">
        <f>DATE(2010,6,9) + TIME(11,29,59)</f>
        <v>40338.479155092595</v>
      </c>
      <c r="C237">
        <v>80</v>
      </c>
      <c r="D237">
        <v>79.914756775000001</v>
      </c>
      <c r="E237">
        <v>50</v>
      </c>
      <c r="F237">
        <v>14.997207641999999</v>
      </c>
      <c r="G237">
        <v>1399.9130858999999</v>
      </c>
      <c r="H237">
        <v>1384.1318358999999</v>
      </c>
      <c r="I237">
        <v>1239.0318603999999</v>
      </c>
      <c r="J237">
        <v>1193.8249512</v>
      </c>
      <c r="K237">
        <v>2750</v>
      </c>
      <c r="L237">
        <v>0</v>
      </c>
      <c r="M237">
        <v>0</v>
      </c>
      <c r="N237">
        <v>2750</v>
      </c>
    </row>
    <row r="238" spans="1:14" x14ac:dyDescent="0.25">
      <c r="A238">
        <v>39.741996</v>
      </c>
      <c r="B238" s="1">
        <f>DATE(2010,6,9) + TIME(17,48,28)</f>
        <v>40338.741990740738</v>
      </c>
      <c r="C238">
        <v>80</v>
      </c>
      <c r="D238">
        <v>79.914779663000004</v>
      </c>
      <c r="E238">
        <v>50</v>
      </c>
      <c r="F238">
        <v>14.997217178</v>
      </c>
      <c r="G238">
        <v>1399.8626709</v>
      </c>
      <c r="H238">
        <v>1384.0839844</v>
      </c>
      <c r="I238">
        <v>1239.0363769999999</v>
      </c>
      <c r="J238">
        <v>1193.8292236</v>
      </c>
      <c r="K238">
        <v>2750</v>
      </c>
      <c r="L238">
        <v>0</v>
      </c>
      <c r="M238">
        <v>0</v>
      </c>
      <c r="N238">
        <v>2750</v>
      </c>
    </row>
    <row r="239" spans="1:14" x14ac:dyDescent="0.25">
      <c r="A239">
        <v>40.004835999999997</v>
      </c>
      <c r="B239" s="1">
        <f>DATE(2010,6,10) + TIME(0,6,57)</f>
        <v>40339.004826388889</v>
      </c>
      <c r="C239">
        <v>80</v>
      </c>
      <c r="D239">
        <v>79.914810181000007</v>
      </c>
      <c r="E239">
        <v>50</v>
      </c>
      <c r="F239">
        <v>14.997226715</v>
      </c>
      <c r="G239">
        <v>1399.8127440999999</v>
      </c>
      <c r="H239">
        <v>1384.036499</v>
      </c>
      <c r="I239">
        <v>1239.0408935999999</v>
      </c>
      <c r="J239">
        <v>1193.8336182</v>
      </c>
      <c r="K239">
        <v>2750</v>
      </c>
      <c r="L239">
        <v>0</v>
      </c>
      <c r="M239">
        <v>0</v>
      </c>
      <c r="N239">
        <v>2750</v>
      </c>
    </row>
    <row r="240" spans="1:14" x14ac:dyDescent="0.25">
      <c r="A240">
        <v>40.530517000000003</v>
      </c>
      <c r="B240" s="1">
        <f>DATE(2010,6,10) + TIME(12,43,56)</f>
        <v>40339.530509259261</v>
      </c>
      <c r="C240">
        <v>80</v>
      </c>
      <c r="D240">
        <v>79.914871215999995</v>
      </c>
      <c r="E240">
        <v>50</v>
      </c>
      <c r="F240">
        <v>14.997241020000001</v>
      </c>
      <c r="G240">
        <v>1399.7639160000001</v>
      </c>
      <c r="H240">
        <v>1383.9903564000001</v>
      </c>
      <c r="I240">
        <v>1239.0458983999999</v>
      </c>
      <c r="J240">
        <v>1193.8383789</v>
      </c>
      <c r="K240">
        <v>2750</v>
      </c>
      <c r="L240">
        <v>0</v>
      </c>
      <c r="M240">
        <v>0</v>
      </c>
      <c r="N240">
        <v>2750</v>
      </c>
    </row>
    <row r="241" spans="1:14" x14ac:dyDescent="0.25">
      <c r="A241">
        <v>41.057071999999998</v>
      </c>
      <c r="B241" s="1">
        <f>DATE(2010,6,11) + TIME(1,22,11)</f>
        <v>40340.057071759256</v>
      </c>
      <c r="C241">
        <v>80</v>
      </c>
      <c r="D241">
        <v>79.914932250999996</v>
      </c>
      <c r="E241">
        <v>50</v>
      </c>
      <c r="F241">
        <v>14.997257232999999</v>
      </c>
      <c r="G241">
        <v>1399.6658935999999</v>
      </c>
      <c r="H241">
        <v>1383.8975829999999</v>
      </c>
      <c r="I241">
        <v>1239.0548096</v>
      </c>
      <c r="J241">
        <v>1193.8470459</v>
      </c>
      <c r="K241">
        <v>2750</v>
      </c>
      <c r="L241">
        <v>0</v>
      </c>
      <c r="M241">
        <v>0</v>
      </c>
      <c r="N241">
        <v>2750</v>
      </c>
    </row>
    <row r="242" spans="1:14" x14ac:dyDescent="0.25">
      <c r="A242">
        <v>41.587167000000001</v>
      </c>
      <c r="B242" s="1">
        <f>DATE(2010,6,11) + TIME(14,5,31)</f>
        <v>40340.587164351855</v>
      </c>
      <c r="C242">
        <v>80</v>
      </c>
      <c r="D242">
        <v>79.914985657000003</v>
      </c>
      <c r="E242">
        <v>50</v>
      </c>
      <c r="F242">
        <v>14.997274399</v>
      </c>
      <c r="G242">
        <v>1399.5686035000001</v>
      </c>
      <c r="H242">
        <v>1383.8054199000001</v>
      </c>
      <c r="I242">
        <v>1239.0639647999999</v>
      </c>
      <c r="J242">
        <v>1193.8557129000001</v>
      </c>
      <c r="K242">
        <v>2750</v>
      </c>
      <c r="L242">
        <v>0</v>
      </c>
      <c r="M242">
        <v>0</v>
      </c>
      <c r="N242">
        <v>2750</v>
      </c>
    </row>
    <row r="243" spans="1:14" x14ac:dyDescent="0.25">
      <c r="A243">
        <v>42.121580000000002</v>
      </c>
      <c r="B243" s="1">
        <f>DATE(2010,6,12) + TIME(2,55,4)</f>
        <v>40341.121574074074</v>
      </c>
      <c r="C243">
        <v>80</v>
      </c>
      <c r="D243">
        <v>79.915039062000005</v>
      </c>
      <c r="E243">
        <v>50</v>
      </c>
      <c r="F243">
        <v>14.997291564999999</v>
      </c>
      <c r="G243">
        <v>1399.4716797000001</v>
      </c>
      <c r="H243">
        <v>1383.7137451000001</v>
      </c>
      <c r="I243">
        <v>1239.0731201000001</v>
      </c>
      <c r="J243">
        <v>1193.864624</v>
      </c>
      <c r="K243">
        <v>2750</v>
      </c>
      <c r="L243">
        <v>0</v>
      </c>
      <c r="M243">
        <v>0</v>
      </c>
      <c r="N243">
        <v>2750</v>
      </c>
    </row>
    <row r="244" spans="1:14" x14ac:dyDescent="0.25">
      <c r="A244">
        <v>42.661123000000003</v>
      </c>
      <c r="B244" s="1">
        <f>DATE(2010,6,12) + TIME(15,52,1)</f>
        <v>40341.661122685182</v>
      </c>
      <c r="C244">
        <v>80</v>
      </c>
      <c r="D244">
        <v>79.915092467999997</v>
      </c>
      <c r="E244">
        <v>50</v>
      </c>
      <c r="F244">
        <v>14.997308731</v>
      </c>
      <c r="G244">
        <v>1399.3752440999999</v>
      </c>
      <c r="H244">
        <v>1383.6224365</v>
      </c>
      <c r="I244">
        <v>1239.0823975000001</v>
      </c>
      <c r="J244">
        <v>1193.8735352000001</v>
      </c>
      <c r="K244">
        <v>2750</v>
      </c>
      <c r="L244">
        <v>0</v>
      </c>
      <c r="M244">
        <v>0</v>
      </c>
      <c r="N244">
        <v>2750</v>
      </c>
    </row>
    <row r="245" spans="1:14" x14ac:dyDescent="0.25">
      <c r="A245">
        <v>43.206637000000001</v>
      </c>
      <c r="B245" s="1">
        <f>DATE(2010,6,13) + TIME(4,57,33)</f>
        <v>40342.206631944442</v>
      </c>
      <c r="C245">
        <v>80</v>
      </c>
      <c r="D245">
        <v>79.915153502999999</v>
      </c>
      <c r="E245">
        <v>50</v>
      </c>
      <c r="F245">
        <v>14.997325897</v>
      </c>
      <c r="G245">
        <v>1399.2790527</v>
      </c>
      <c r="H245">
        <v>1383.5313721</v>
      </c>
      <c r="I245">
        <v>1239.0917969</v>
      </c>
      <c r="J245">
        <v>1193.8825684000001</v>
      </c>
      <c r="K245">
        <v>2750</v>
      </c>
      <c r="L245">
        <v>0</v>
      </c>
      <c r="M245">
        <v>0</v>
      </c>
      <c r="N245">
        <v>2750</v>
      </c>
    </row>
    <row r="246" spans="1:14" x14ac:dyDescent="0.25">
      <c r="A246">
        <v>43.759175999999997</v>
      </c>
      <c r="B246" s="1">
        <f>DATE(2010,6,13) + TIME(18,13,12)</f>
        <v>40342.759166666663</v>
      </c>
      <c r="C246">
        <v>80</v>
      </c>
      <c r="D246">
        <v>79.915206909000005</v>
      </c>
      <c r="E246">
        <v>50</v>
      </c>
      <c r="F246">
        <v>14.997344017</v>
      </c>
      <c r="G246">
        <v>1399.1829834</v>
      </c>
      <c r="H246">
        <v>1383.4404297000001</v>
      </c>
      <c r="I246">
        <v>1239.1014404</v>
      </c>
      <c r="J246">
        <v>1193.8917236</v>
      </c>
      <c r="K246">
        <v>2750</v>
      </c>
      <c r="L246">
        <v>0</v>
      </c>
      <c r="M246">
        <v>0</v>
      </c>
      <c r="N246">
        <v>2750</v>
      </c>
    </row>
    <row r="247" spans="1:14" x14ac:dyDescent="0.25">
      <c r="A247">
        <v>44.319574000000003</v>
      </c>
      <c r="B247" s="1">
        <f>DATE(2010,6,14) + TIME(7,40,11)</f>
        <v>40343.319571759261</v>
      </c>
      <c r="C247">
        <v>80</v>
      </c>
      <c r="D247">
        <v>79.915267943999993</v>
      </c>
      <c r="E247">
        <v>50</v>
      </c>
      <c r="F247">
        <v>14.997362137</v>
      </c>
      <c r="G247">
        <v>1399.0869141000001</v>
      </c>
      <c r="H247">
        <v>1383.3494873</v>
      </c>
      <c r="I247">
        <v>1239.1110839999999</v>
      </c>
      <c r="J247">
        <v>1193.9011230000001</v>
      </c>
      <c r="K247">
        <v>2750</v>
      </c>
      <c r="L247">
        <v>0</v>
      </c>
      <c r="M247">
        <v>0</v>
      </c>
      <c r="N247">
        <v>2750</v>
      </c>
    </row>
    <row r="248" spans="1:14" x14ac:dyDescent="0.25">
      <c r="A248">
        <v>44.888716000000002</v>
      </c>
      <c r="B248" s="1">
        <f>DATE(2010,6,14) + TIME(21,19,45)</f>
        <v>40343.888715277775</v>
      </c>
      <c r="C248">
        <v>80</v>
      </c>
      <c r="D248">
        <v>79.915328978999995</v>
      </c>
      <c r="E248">
        <v>50</v>
      </c>
      <c r="F248">
        <v>14.997380257</v>
      </c>
      <c r="G248">
        <v>1398.9906006000001</v>
      </c>
      <c r="H248">
        <v>1383.2584228999999</v>
      </c>
      <c r="I248">
        <v>1239.1210937999999</v>
      </c>
      <c r="J248">
        <v>1193.9106445</v>
      </c>
      <c r="K248">
        <v>2750</v>
      </c>
      <c r="L248">
        <v>0</v>
      </c>
      <c r="M248">
        <v>0</v>
      </c>
      <c r="N248">
        <v>2750</v>
      </c>
    </row>
    <row r="249" spans="1:14" x14ac:dyDescent="0.25">
      <c r="A249">
        <v>45.46763</v>
      </c>
      <c r="B249" s="1">
        <f>DATE(2010,6,15) + TIME(11,13,23)</f>
        <v>40344.467627314814</v>
      </c>
      <c r="C249">
        <v>80</v>
      </c>
      <c r="D249">
        <v>79.915390015</v>
      </c>
      <c r="E249">
        <v>50</v>
      </c>
      <c r="F249">
        <v>14.997397423000001</v>
      </c>
      <c r="G249">
        <v>1398.894043</v>
      </c>
      <c r="H249">
        <v>1383.1671143000001</v>
      </c>
      <c r="I249">
        <v>1239.1312256000001</v>
      </c>
      <c r="J249">
        <v>1193.9204102000001</v>
      </c>
      <c r="K249">
        <v>2750</v>
      </c>
      <c r="L249">
        <v>0</v>
      </c>
      <c r="M249">
        <v>0</v>
      </c>
      <c r="N249">
        <v>2750</v>
      </c>
    </row>
    <row r="250" spans="1:14" x14ac:dyDescent="0.25">
      <c r="A250">
        <v>46.057602000000003</v>
      </c>
      <c r="B250" s="1">
        <f>DATE(2010,6,16) + TIME(1,22,56)</f>
        <v>40345.057592592595</v>
      </c>
      <c r="C250">
        <v>80</v>
      </c>
      <c r="D250">
        <v>79.915451050000001</v>
      </c>
      <c r="E250">
        <v>50</v>
      </c>
      <c r="F250">
        <v>14.997415543000001</v>
      </c>
      <c r="G250">
        <v>1398.7969971</v>
      </c>
      <c r="H250">
        <v>1383.0753173999999</v>
      </c>
      <c r="I250">
        <v>1239.1414795000001</v>
      </c>
      <c r="J250">
        <v>1193.9302978999999</v>
      </c>
      <c r="K250">
        <v>2750</v>
      </c>
      <c r="L250">
        <v>0</v>
      </c>
      <c r="M250">
        <v>0</v>
      </c>
      <c r="N250">
        <v>2750</v>
      </c>
    </row>
    <row r="251" spans="1:14" x14ac:dyDescent="0.25">
      <c r="A251">
        <v>46.658582000000003</v>
      </c>
      <c r="B251" s="1">
        <f>DATE(2010,6,16) + TIME(15,48,21)</f>
        <v>40345.658576388887</v>
      </c>
      <c r="C251">
        <v>80</v>
      </c>
      <c r="D251">
        <v>79.915512085000003</v>
      </c>
      <c r="E251">
        <v>50</v>
      </c>
      <c r="F251">
        <v>14.997434616</v>
      </c>
      <c r="G251">
        <v>1398.6992187999999</v>
      </c>
      <c r="H251">
        <v>1382.9830322</v>
      </c>
      <c r="I251">
        <v>1239.1520995999999</v>
      </c>
      <c r="J251">
        <v>1193.9405518000001</v>
      </c>
      <c r="K251">
        <v>2750</v>
      </c>
      <c r="L251">
        <v>0</v>
      </c>
      <c r="M251">
        <v>0</v>
      </c>
      <c r="N251">
        <v>2750</v>
      </c>
    </row>
    <row r="252" spans="1:14" x14ac:dyDescent="0.25">
      <c r="A252">
        <v>46.960273999999998</v>
      </c>
      <c r="B252" s="1">
        <f>DATE(2010,6,16) + TIME(23,2,47)</f>
        <v>40345.960266203707</v>
      </c>
      <c r="C252">
        <v>80</v>
      </c>
      <c r="D252">
        <v>79.915534973000007</v>
      </c>
      <c r="E252">
        <v>50</v>
      </c>
      <c r="F252">
        <v>14.99744606</v>
      </c>
      <c r="G252">
        <v>1398.6004639</v>
      </c>
      <c r="H252">
        <v>1382.8896483999999</v>
      </c>
      <c r="I252">
        <v>1239.1624756000001</v>
      </c>
      <c r="J252">
        <v>1193.9503173999999</v>
      </c>
      <c r="K252">
        <v>2750</v>
      </c>
      <c r="L252">
        <v>0</v>
      </c>
      <c r="M252">
        <v>0</v>
      </c>
      <c r="N252">
        <v>2750</v>
      </c>
    </row>
    <row r="253" spans="1:14" x14ac:dyDescent="0.25">
      <c r="A253">
        <v>47.261965000000004</v>
      </c>
      <c r="B253" s="1">
        <f>DATE(2010,6,17) + TIME(6,17,13)</f>
        <v>40346.261956018519</v>
      </c>
      <c r="C253">
        <v>80</v>
      </c>
      <c r="D253">
        <v>79.915565490999995</v>
      </c>
      <c r="E253">
        <v>50</v>
      </c>
      <c r="F253">
        <v>14.997457504</v>
      </c>
      <c r="G253">
        <v>1398.5506591999999</v>
      </c>
      <c r="H253">
        <v>1382.8424072</v>
      </c>
      <c r="I253">
        <v>1239.1680908000001</v>
      </c>
      <c r="J253">
        <v>1193.9556885</v>
      </c>
      <c r="K253">
        <v>2750</v>
      </c>
      <c r="L253">
        <v>0</v>
      </c>
      <c r="M253">
        <v>0</v>
      </c>
      <c r="N253">
        <v>2750</v>
      </c>
    </row>
    <row r="254" spans="1:14" x14ac:dyDescent="0.25">
      <c r="A254">
        <v>47.563656000000002</v>
      </c>
      <c r="B254" s="1">
        <f>DATE(2010,6,17) + TIME(13,31,39)</f>
        <v>40346.563645833332</v>
      </c>
      <c r="C254">
        <v>80</v>
      </c>
      <c r="D254">
        <v>79.915596007999994</v>
      </c>
      <c r="E254">
        <v>50</v>
      </c>
      <c r="F254">
        <v>14.997467994999999</v>
      </c>
      <c r="G254">
        <v>1398.5019531</v>
      </c>
      <c r="H254">
        <v>1382.7963867000001</v>
      </c>
      <c r="I254">
        <v>1239.1734618999999</v>
      </c>
      <c r="J254">
        <v>1193.9610596</v>
      </c>
      <c r="K254">
        <v>2750</v>
      </c>
      <c r="L254">
        <v>0</v>
      </c>
      <c r="M254">
        <v>0</v>
      </c>
      <c r="N254">
        <v>2750</v>
      </c>
    </row>
    <row r="255" spans="1:14" x14ac:dyDescent="0.25">
      <c r="A255">
        <v>47.865347</v>
      </c>
      <c r="B255" s="1">
        <f>DATE(2010,6,17) + TIME(20,46,6)</f>
        <v>40346.865347222221</v>
      </c>
      <c r="C255">
        <v>80</v>
      </c>
      <c r="D255">
        <v>79.915626525999997</v>
      </c>
      <c r="E255">
        <v>50</v>
      </c>
      <c r="F255">
        <v>14.997477530999999</v>
      </c>
      <c r="G255">
        <v>1398.4536132999999</v>
      </c>
      <c r="H255">
        <v>1382.7506103999999</v>
      </c>
      <c r="I255">
        <v>1239.1790771000001</v>
      </c>
      <c r="J255">
        <v>1193.9663086</v>
      </c>
      <c r="K255">
        <v>2750</v>
      </c>
      <c r="L255">
        <v>0</v>
      </c>
      <c r="M255">
        <v>0</v>
      </c>
      <c r="N255">
        <v>2750</v>
      </c>
    </row>
    <row r="256" spans="1:14" x14ac:dyDescent="0.25">
      <c r="A256">
        <v>48.167037999999998</v>
      </c>
      <c r="B256" s="1">
        <f>DATE(2010,6,18) + TIME(4,0,32)</f>
        <v>40347.167037037034</v>
      </c>
      <c r="C256">
        <v>80</v>
      </c>
      <c r="D256">
        <v>79.915657042999996</v>
      </c>
      <c r="E256">
        <v>50</v>
      </c>
      <c r="F256">
        <v>14.997487068</v>
      </c>
      <c r="G256">
        <v>1398.4055175999999</v>
      </c>
      <c r="H256">
        <v>1382.7052002</v>
      </c>
      <c r="I256">
        <v>1239.1845702999999</v>
      </c>
      <c r="J256">
        <v>1193.9715576000001</v>
      </c>
      <c r="K256">
        <v>2750</v>
      </c>
      <c r="L256">
        <v>0</v>
      </c>
      <c r="M256">
        <v>0</v>
      </c>
      <c r="N256">
        <v>2750</v>
      </c>
    </row>
    <row r="257" spans="1:14" x14ac:dyDescent="0.25">
      <c r="A257">
        <v>48.468730000000001</v>
      </c>
      <c r="B257" s="1">
        <f>DATE(2010,6,18) + TIME(11,14,58)</f>
        <v>40347.468726851854</v>
      </c>
      <c r="C257">
        <v>80</v>
      </c>
      <c r="D257">
        <v>79.915687560999999</v>
      </c>
      <c r="E257">
        <v>50</v>
      </c>
      <c r="F257">
        <v>14.997496605</v>
      </c>
      <c r="G257">
        <v>1398.3577881000001</v>
      </c>
      <c r="H257">
        <v>1382.6600341999999</v>
      </c>
      <c r="I257">
        <v>1239.1900635</v>
      </c>
      <c r="J257">
        <v>1193.9769286999999</v>
      </c>
      <c r="K257">
        <v>2750</v>
      </c>
      <c r="L257">
        <v>0</v>
      </c>
      <c r="M257">
        <v>0</v>
      </c>
      <c r="N257">
        <v>2750</v>
      </c>
    </row>
    <row r="258" spans="1:14" x14ac:dyDescent="0.25">
      <c r="A258">
        <v>48.770420999999999</v>
      </c>
      <c r="B258" s="1">
        <f>DATE(2010,6,18) + TIME(18,29,24)</f>
        <v>40347.770416666666</v>
      </c>
      <c r="C258">
        <v>80</v>
      </c>
      <c r="D258">
        <v>79.915718079000001</v>
      </c>
      <c r="E258">
        <v>50</v>
      </c>
      <c r="F258">
        <v>14.997506142000001</v>
      </c>
      <c r="G258">
        <v>1398.3103027</v>
      </c>
      <c r="H258">
        <v>1382.6151123</v>
      </c>
      <c r="I258">
        <v>1239.1956786999999</v>
      </c>
      <c r="J258">
        <v>1193.9821777</v>
      </c>
      <c r="K258">
        <v>2750</v>
      </c>
      <c r="L258">
        <v>0</v>
      </c>
      <c r="M258">
        <v>0</v>
      </c>
      <c r="N258">
        <v>2750</v>
      </c>
    </row>
    <row r="259" spans="1:14" x14ac:dyDescent="0.25">
      <c r="A259">
        <v>49.373803000000002</v>
      </c>
      <c r="B259" s="1">
        <f>DATE(2010,6,19) + TIME(8,58,16)</f>
        <v>40348.373796296299</v>
      </c>
      <c r="C259">
        <v>80</v>
      </c>
      <c r="D259">
        <v>79.915794372999997</v>
      </c>
      <c r="E259">
        <v>50</v>
      </c>
      <c r="F259">
        <v>14.997520446999999</v>
      </c>
      <c r="G259">
        <v>1398.2639160000001</v>
      </c>
      <c r="H259">
        <v>1382.5714111</v>
      </c>
      <c r="I259">
        <v>1239.2016602000001</v>
      </c>
      <c r="J259">
        <v>1193.9880370999999</v>
      </c>
      <c r="K259">
        <v>2750</v>
      </c>
      <c r="L259">
        <v>0</v>
      </c>
      <c r="M259">
        <v>0</v>
      </c>
      <c r="N259">
        <v>2750</v>
      </c>
    </row>
    <row r="260" spans="1:14" x14ac:dyDescent="0.25">
      <c r="A260">
        <v>49.977989999999998</v>
      </c>
      <c r="B260" s="1">
        <f>DATE(2010,6,19) + TIME(23,28,18)</f>
        <v>40348.977986111109</v>
      </c>
      <c r="C260">
        <v>80</v>
      </c>
      <c r="D260">
        <v>79.915863036999994</v>
      </c>
      <c r="E260">
        <v>50</v>
      </c>
      <c r="F260">
        <v>14.997535706000001</v>
      </c>
      <c r="G260">
        <v>1398.1708983999999</v>
      </c>
      <c r="H260">
        <v>1382.4836425999999</v>
      </c>
      <c r="I260">
        <v>1239.2126464999999</v>
      </c>
      <c r="J260">
        <v>1193.9985352000001</v>
      </c>
      <c r="K260">
        <v>2750</v>
      </c>
      <c r="L260">
        <v>0</v>
      </c>
      <c r="M260">
        <v>0</v>
      </c>
      <c r="N260">
        <v>2750</v>
      </c>
    </row>
    <row r="261" spans="1:14" x14ac:dyDescent="0.25">
      <c r="A261">
        <v>50.585937000000001</v>
      </c>
      <c r="B261" s="1">
        <f>DATE(2010,6,20) + TIME(14,3,44)</f>
        <v>40349.585925925923</v>
      </c>
      <c r="C261">
        <v>80</v>
      </c>
      <c r="D261">
        <v>79.915924071999996</v>
      </c>
      <c r="E261">
        <v>50</v>
      </c>
      <c r="F261">
        <v>14.997551917999999</v>
      </c>
      <c r="G261">
        <v>1398.0783690999999</v>
      </c>
      <c r="H261">
        <v>1382.3962402</v>
      </c>
      <c r="I261">
        <v>1239.2238769999999</v>
      </c>
      <c r="J261">
        <v>1194.0092772999999</v>
      </c>
      <c r="K261">
        <v>2750</v>
      </c>
      <c r="L261">
        <v>0</v>
      </c>
      <c r="M261">
        <v>0</v>
      </c>
      <c r="N261">
        <v>2750</v>
      </c>
    </row>
    <row r="262" spans="1:14" x14ac:dyDescent="0.25">
      <c r="A262">
        <v>51.198566</v>
      </c>
      <c r="B262" s="1">
        <f>DATE(2010,6,21) + TIME(4,45,56)</f>
        <v>40350.198564814818</v>
      </c>
      <c r="C262">
        <v>80</v>
      </c>
      <c r="D262">
        <v>79.915992736999996</v>
      </c>
      <c r="E262">
        <v>50</v>
      </c>
      <c r="F262">
        <v>14.997568129999999</v>
      </c>
      <c r="G262">
        <v>1397.9863281</v>
      </c>
      <c r="H262">
        <v>1382.3094481999999</v>
      </c>
      <c r="I262">
        <v>1239.2352295000001</v>
      </c>
      <c r="J262">
        <v>1194.0201416</v>
      </c>
      <c r="K262">
        <v>2750</v>
      </c>
      <c r="L262">
        <v>0</v>
      </c>
      <c r="M262">
        <v>0</v>
      </c>
      <c r="N262">
        <v>2750</v>
      </c>
    </row>
    <row r="263" spans="1:14" x14ac:dyDescent="0.25">
      <c r="A263">
        <v>51.816827000000004</v>
      </c>
      <c r="B263" s="1">
        <f>DATE(2010,6,21) + TIME(19,36,13)</f>
        <v>40350.816817129627</v>
      </c>
      <c r="C263">
        <v>80</v>
      </c>
      <c r="D263">
        <v>79.916061400999993</v>
      </c>
      <c r="E263">
        <v>50</v>
      </c>
      <c r="F263">
        <v>14.997585297000001</v>
      </c>
      <c r="G263">
        <v>1397.8946533000001</v>
      </c>
      <c r="H263">
        <v>1382.2229004000001</v>
      </c>
      <c r="I263">
        <v>1239.2467041</v>
      </c>
      <c r="J263">
        <v>1194.0311279</v>
      </c>
      <c r="K263">
        <v>2750</v>
      </c>
      <c r="L263">
        <v>0</v>
      </c>
      <c r="M263">
        <v>0</v>
      </c>
      <c r="N263">
        <v>2750</v>
      </c>
    </row>
    <row r="264" spans="1:14" x14ac:dyDescent="0.25">
      <c r="A264">
        <v>52.441701000000002</v>
      </c>
      <c r="B264" s="1">
        <f>DATE(2010,6,22) + TIME(10,36,2)</f>
        <v>40351.441689814812</v>
      </c>
      <c r="C264">
        <v>80</v>
      </c>
      <c r="D264">
        <v>79.916122436999999</v>
      </c>
      <c r="E264">
        <v>50</v>
      </c>
      <c r="F264">
        <v>14.997602463</v>
      </c>
      <c r="G264">
        <v>1397.8032227000001</v>
      </c>
      <c r="H264">
        <v>1382.1364745999999</v>
      </c>
      <c r="I264">
        <v>1239.2583007999999</v>
      </c>
      <c r="J264">
        <v>1194.0422363</v>
      </c>
      <c r="K264">
        <v>2750</v>
      </c>
      <c r="L264">
        <v>0</v>
      </c>
      <c r="M264">
        <v>0</v>
      </c>
      <c r="N264">
        <v>2750</v>
      </c>
    </row>
    <row r="265" spans="1:14" x14ac:dyDescent="0.25">
      <c r="A265">
        <v>53.074426000000003</v>
      </c>
      <c r="B265" s="1">
        <f>DATE(2010,6,23) + TIME(1,47,10)</f>
        <v>40352.074421296296</v>
      </c>
      <c r="C265">
        <v>80</v>
      </c>
      <c r="D265">
        <v>79.916191100999995</v>
      </c>
      <c r="E265">
        <v>50</v>
      </c>
      <c r="F265">
        <v>14.997619629000001</v>
      </c>
      <c r="G265">
        <v>1397.7119141000001</v>
      </c>
      <c r="H265">
        <v>1382.050293</v>
      </c>
      <c r="I265">
        <v>1239.2701416</v>
      </c>
      <c r="J265">
        <v>1194.0535889</v>
      </c>
      <c r="K265">
        <v>2750</v>
      </c>
      <c r="L265">
        <v>0</v>
      </c>
      <c r="M265">
        <v>0</v>
      </c>
      <c r="N265">
        <v>2750</v>
      </c>
    </row>
    <row r="266" spans="1:14" x14ac:dyDescent="0.25">
      <c r="A266">
        <v>53.715952999999999</v>
      </c>
      <c r="B266" s="1">
        <f>DATE(2010,6,23) + TIME(17,10,58)</f>
        <v>40352.715949074074</v>
      </c>
      <c r="C266">
        <v>80</v>
      </c>
      <c r="D266">
        <v>79.916259765999996</v>
      </c>
      <c r="E266">
        <v>50</v>
      </c>
      <c r="F266">
        <v>14.997636795</v>
      </c>
      <c r="G266">
        <v>1397.6203613</v>
      </c>
      <c r="H266">
        <v>1381.9639893000001</v>
      </c>
      <c r="I266">
        <v>1239.2821045000001</v>
      </c>
      <c r="J266">
        <v>1194.0650635</v>
      </c>
      <c r="K266">
        <v>2750</v>
      </c>
      <c r="L266">
        <v>0</v>
      </c>
      <c r="M266">
        <v>0</v>
      </c>
      <c r="N266">
        <v>2750</v>
      </c>
    </row>
    <row r="267" spans="1:14" x14ac:dyDescent="0.25">
      <c r="A267">
        <v>54.367314</v>
      </c>
      <c r="B267" s="1">
        <f>DATE(2010,6,24) + TIME(8,48,55)</f>
        <v>40353.367303240739</v>
      </c>
      <c r="C267">
        <v>80</v>
      </c>
      <c r="D267">
        <v>79.916328429999993</v>
      </c>
      <c r="E267">
        <v>50</v>
      </c>
      <c r="F267">
        <v>14.997654915</v>
      </c>
      <c r="G267">
        <v>1397.5286865</v>
      </c>
      <c r="H267">
        <v>1381.8774414</v>
      </c>
      <c r="I267">
        <v>1239.2944336</v>
      </c>
      <c r="J267">
        <v>1194.0767822</v>
      </c>
      <c r="K267">
        <v>2750</v>
      </c>
      <c r="L267">
        <v>0</v>
      </c>
      <c r="M267">
        <v>0</v>
      </c>
      <c r="N267">
        <v>2750</v>
      </c>
    </row>
    <row r="268" spans="1:14" x14ac:dyDescent="0.25">
      <c r="A268">
        <v>55.029707000000002</v>
      </c>
      <c r="B268" s="1">
        <f>DATE(2010,6,25) + TIME(0,42,46)</f>
        <v>40354.029699074075</v>
      </c>
      <c r="C268">
        <v>80</v>
      </c>
      <c r="D268">
        <v>79.916404724000003</v>
      </c>
      <c r="E268">
        <v>50</v>
      </c>
      <c r="F268">
        <v>14.997672080999999</v>
      </c>
      <c r="G268">
        <v>1397.4366454999999</v>
      </c>
      <c r="H268">
        <v>1381.7906493999999</v>
      </c>
      <c r="I268">
        <v>1239.3068848</v>
      </c>
      <c r="J268">
        <v>1194.0887451000001</v>
      </c>
      <c r="K268">
        <v>2750</v>
      </c>
      <c r="L268">
        <v>0</v>
      </c>
      <c r="M268">
        <v>0</v>
      </c>
      <c r="N268">
        <v>2750</v>
      </c>
    </row>
    <row r="269" spans="1:14" x14ac:dyDescent="0.25">
      <c r="A269">
        <v>55.704636000000001</v>
      </c>
      <c r="B269" s="1">
        <f>DATE(2010,6,25) + TIME(16,54,40)</f>
        <v>40354.704629629632</v>
      </c>
      <c r="C269">
        <v>80</v>
      </c>
      <c r="D269">
        <v>79.916473389000004</v>
      </c>
      <c r="E269">
        <v>50</v>
      </c>
      <c r="F269">
        <v>14.997689247</v>
      </c>
      <c r="G269">
        <v>1397.3441161999999</v>
      </c>
      <c r="H269">
        <v>1381.7034911999999</v>
      </c>
      <c r="I269">
        <v>1239.3197021000001</v>
      </c>
      <c r="J269">
        <v>1194.1009521000001</v>
      </c>
      <c r="K269">
        <v>2750</v>
      </c>
      <c r="L269">
        <v>0</v>
      </c>
      <c r="M269">
        <v>0</v>
      </c>
      <c r="N269">
        <v>2750</v>
      </c>
    </row>
    <row r="270" spans="1:14" x14ac:dyDescent="0.25">
      <c r="A270">
        <v>56.044077000000001</v>
      </c>
      <c r="B270" s="1">
        <f>DATE(2010,6,26) + TIME(1,3,28)</f>
        <v>40355.044074074074</v>
      </c>
      <c r="C270">
        <v>80</v>
      </c>
      <c r="D270">
        <v>79.916503906000003</v>
      </c>
      <c r="E270">
        <v>50</v>
      </c>
      <c r="F270">
        <v>14.997701644999999</v>
      </c>
      <c r="G270">
        <v>1397.2506103999999</v>
      </c>
      <c r="H270">
        <v>1381.6151123</v>
      </c>
      <c r="I270">
        <v>1239.3322754000001</v>
      </c>
      <c r="J270">
        <v>1194.1130370999999</v>
      </c>
      <c r="K270">
        <v>2750</v>
      </c>
      <c r="L270">
        <v>0</v>
      </c>
      <c r="M270">
        <v>0</v>
      </c>
      <c r="N270">
        <v>2750</v>
      </c>
    </row>
    <row r="271" spans="1:14" x14ac:dyDescent="0.25">
      <c r="A271">
        <v>56.383519</v>
      </c>
      <c r="B271" s="1">
        <f>DATE(2010,6,26) + TIME(9,12,16)</f>
        <v>40355.383518518516</v>
      </c>
      <c r="C271">
        <v>80</v>
      </c>
      <c r="D271">
        <v>79.916534424000005</v>
      </c>
      <c r="E271">
        <v>50</v>
      </c>
      <c r="F271">
        <v>14.997712135</v>
      </c>
      <c r="G271">
        <v>1397.2032471</v>
      </c>
      <c r="H271">
        <v>1381.5703125</v>
      </c>
      <c r="I271">
        <v>1239.3391113</v>
      </c>
      <c r="J271">
        <v>1194.1195068</v>
      </c>
      <c r="K271">
        <v>2750</v>
      </c>
      <c r="L271">
        <v>0</v>
      </c>
      <c r="M271">
        <v>0</v>
      </c>
      <c r="N271">
        <v>2750</v>
      </c>
    </row>
    <row r="272" spans="1:14" x14ac:dyDescent="0.25">
      <c r="A272">
        <v>56.722960999999998</v>
      </c>
      <c r="B272" s="1">
        <f>DATE(2010,6,26) + TIME(17,21,3)</f>
        <v>40355.722951388889</v>
      </c>
      <c r="C272">
        <v>80</v>
      </c>
      <c r="D272">
        <v>79.916572571000003</v>
      </c>
      <c r="E272">
        <v>50</v>
      </c>
      <c r="F272">
        <v>14.997722626</v>
      </c>
      <c r="G272">
        <v>1397.1568603999999</v>
      </c>
      <c r="H272">
        <v>1381.5267334</v>
      </c>
      <c r="I272">
        <v>1239.3457031</v>
      </c>
      <c r="J272">
        <v>1194.1258545000001</v>
      </c>
      <c r="K272">
        <v>2750</v>
      </c>
      <c r="L272">
        <v>0</v>
      </c>
      <c r="M272">
        <v>0</v>
      </c>
      <c r="N272">
        <v>2750</v>
      </c>
    </row>
    <row r="273" spans="1:14" x14ac:dyDescent="0.25">
      <c r="A273">
        <v>57.062401999999999</v>
      </c>
      <c r="B273" s="1">
        <f>DATE(2010,6,27) + TIME(1,29,51)</f>
        <v>40356.062395833331</v>
      </c>
      <c r="C273">
        <v>80</v>
      </c>
      <c r="D273">
        <v>79.916610718000001</v>
      </c>
      <c r="E273">
        <v>50</v>
      </c>
      <c r="F273">
        <v>14.997732162</v>
      </c>
      <c r="G273">
        <v>1397.1109618999999</v>
      </c>
      <c r="H273">
        <v>1381.4832764</v>
      </c>
      <c r="I273">
        <v>1239.3524170000001</v>
      </c>
      <c r="J273">
        <v>1194.1322021000001</v>
      </c>
      <c r="K273">
        <v>2750</v>
      </c>
      <c r="L273">
        <v>0</v>
      </c>
      <c r="M273">
        <v>0</v>
      </c>
      <c r="N273">
        <v>2750</v>
      </c>
    </row>
    <row r="274" spans="1:14" x14ac:dyDescent="0.25">
      <c r="A274">
        <v>57.401843999999997</v>
      </c>
      <c r="B274" s="1">
        <f>DATE(2010,6,27) + TIME(9,38,39)</f>
        <v>40356.40184027778</v>
      </c>
      <c r="C274">
        <v>80</v>
      </c>
      <c r="D274">
        <v>79.916641235</v>
      </c>
      <c r="E274">
        <v>50</v>
      </c>
      <c r="F274">
        <v>14.997741699000001</v>
      </c>
      <c r="G274">
        <v>1397.0651855000001</v>
      </c>
      <c r="H274">
        <v>1381.4401855000001</v>
      </c>
      <c r="I274">
        <v>1239.3591309000001</v>
      </c>
      <c r="J274">
        <v>1194.1386719</v>
      </c>
      <c r="K274">
        <v>2750</v>
      </c>
      <c r="L274">
        <v>0</v>
      </c>
      <c r="M274">
        <v>0</v>
      </c>
      <c r="N274">
        <v>2750</v>
      </c>
    </row>
    <row r="275" spans="1:14" x14ac:dyDescent="0.25">
      <c r="A275">
        <v>57.741286000000002</v>
      </c>
      <c r="B275" s="1">
        <f>DATE(2010,6,27) + TIME(17,47,27)</f>
        <v>40356.741284722222</v>
      </c>
      <c r="C275">
        <v>80</v>
      </c>
      <c r="D275">
        <v>79.916679381999998</v>
      </c>
      <c r="E275">
        <v>50</v>
      </c>
      <c r="F275">
        <v>14.997750282</v>
      </c>
      <c r="G275">
        <v>1397.0197754000001</v>
      </c>
      <c r="H275">
        <v>1381.3972168</v>
      </c>
      <c r="I275">
        <v>1239.3658447</v>
      </c>
      <c r="J275">
        <v>1194.1450195</v>
      </c>
      <c r="K275">
        <v>2750</v>
      </c>
      <c r="L275">
        <v>0</v>
      </c>
      <c r="M275">
        <v>0</v>
      </c>
      <c r="N275">
        <v>2750</v>
      </c>
    </row>
    <row r="276" spans="1:14" x14ac:dyDescent="0.25">
      <c r="A276">
        <v>58.080728000000001</v>
      </c>
      <c r="B276" s="1">
        <f>DATE(2010,6,28) + TIME(1,56,14)</f>
        <v>40357.080717592595</v>
      </c>
      <c r="C276">
        <v>80</v>
      </c>
      <c r="D276">
        <v>79.916717528999996</v>
      </c>
      <c r="E276">
        <v>50</v>
      </c>
      <c r="F276">
        <v>14.997759819000001</v>
      </c>
      <c r="G276">
        <v>1396.9744873</v>
      </c>
      <c r="H276">
        <v>1381.3546143000001</v>
      </c>
      <c r="I276">
        <v>1239.3725586</v>
      </c>
      <c r="J276">
        <v>1194.1514893000001</v>
      </c>
      <c r="K276">
        <v>2750</v>
      </c>
      <c r="L276">
        <v>0</v>
      </c>
      <c r="M276">
        <v>0</v>
      </c>
      <c r="N276">
        <v>2750</v>
      </c>
    </row>
    <row r="277" spans="1:14" x14ac:dyDescent="0.25">
      <c r="A277">
        <v>58.420169000000001</v>
      </c>
      <c r="B277" s="1">
        <f>DATE(2010,6,28) + TIME(10,5,2)</f>
        <v>40357.420162037037</v>
      </c>
      <c r="C277">
        <v>80</v>
      </c>
      <c r="D277">
        <v>79.916755675999994</v>
      </c>
      <c r="E277">
        <v>50</v>
      </c>
      <c r="F277">
        <v>14.997768402</v>
      </c>
      <c r="G277">
        <v>1396.9295654</v>
      </c>
      <c r="H277">
        <v>1381.3121338000001</v>
      </c>
      <c r="I277">
        <v>1239.3793945</v>
      </c>
      <c r="J277">
        <v>1194.1579589999999</v>
      </c>
      <c r="K277">
        <v>2750</v>
      </c>
      <c r="L277">
        <v>0</v>
      </c>
      <c r="M277">
        <v>0</v>
      </c>
      <c r="N277">
        <v>2750</v>
      </c>
    </row>
    <row r="278" spans="1:14" x14ac:dyDescent="0.25">
      <c r="A278">
        <v>59.099052999999998</v>
      </c>
      <c r="B278" s="1">
        <f>DATE(2010,6,29) + TIME(2,22,38)</f>
        <v>40358.099050925928</v>
      </c>
      <c r="C278">
        <v>80</v>
      </c>
      <c r="D278">
        <v>79.916839600000003</v>
      </c>
      <c r="E278">
        <v>50</v>
      </c>
      <c r="F278">
        <v>14.997781754</v>
      </c>
      <c r="G278">
        <v>1396.8856201000001</v>
      </c>
      <c r="H278">
        <v>1381.2707519999999</v>
      </c>
      <c r="I278">
        <v>1239.3865966999999</v>
      </c>
      <c r="J278">
        <v>1194.1649170000001</v>
      </c>
      <c r="K278">
        <v>2750</v>
      </c>
      <c r="L278">
        <v>0</v>
      </c>
      <c r="M278">
        <v>0</v>
      </c>
      <c r="N278">
        <v>2750</v>
      </c>
    </row>
    <row r="279" spans="1:14" x14ac:dyDescent="0.25">
      <c r="A279">
        <v>59.778917999999997</v>
      </c>
      <c r="B279" s="1">
        <f>DATE(2010,6,29) + TIME(18,41,38)</f>
        <v>40358.778912037036</v>
      </c>
      <c r="C279">
        <v>80</v>
      </c>
      <c r="D279">
        <v>79.916915893999999</v>
      </c>
      <c r="E279">
        <v>50</v>
      </c>
      <c r="F279">
        <v>14.997796059000001</v>
      </c>
      <c r="G279">
        <v>1396.7974853999999</v>
      </c>
      <c r="H279">
        <v>1381.1877440999999</v>
      </c>
      <c r="I279">
        <v>1239.4001464999999</v>
      </c>
      <c r="J279">
        <v>1194.1777344</v>
      </c>
      <c r="K279">
        <v>2750</v>
      </c>
      <c r="L279">
        <v>0</v>
      </c>
      <c r="M279">
        <v>0</v>
      </c>
      <c r="N279">
        <v>2750</v>
      </c>
    </row>
    <row r="280" spans="1:14" x14ac:dyDescent="0.25">
      <c r="A280">
        <v>60.463475000000003</v>
      </c>
      <c r="B280" s="1">
        <f>DATE(2010,6,30) + TIME(11,7,24)</f>
        <v>40359.463472222225</v>
      </c>
      <c r="C280">
        <v>80</v>
      </c>
      <c r="D280">
        <v>79.916984557999996</v>
      </c>
      <c r="E280">
        <v>50</v>
      </c>
      <c r="F280">
        <v>14.997812271000001</v>
      </c>
      <c r="G280">
        <v>1396.7097168</v>
      </c>
      <c r="H280">
        <v>1381.1049805</v>
      </c>
      <c r="I280">
        <v>1239.4138184000001</v>
      </c>
      <c r="J280">
        <v>1194.1907959</v>
      </c>
      <c r="K280">
        <v>2750</v>
      </c>
      <c r="L280">
        <v>0</v>
      </c>
      <c r="M280">
        <v>0</v>
      </c>
      <c r="N280">
        <v>2750</v>
      </c>
    </row>
    <row r="281" spans="1:14" x14ac:dyDescent="0.25">
      <c r="A281">
        <v>61</v>
      </c>
      <c r="B281" s="1">
        <f>DATE(2010,7,1) + TIME(0,0,0)</f>
        <v>40360</v>
      </c>
      <c r="C281">
        <v>80</v>
      </c>
      <c r="D281">
        <v>79.917037964000002</v>
      </c>
      <c r="E281">
        <v>50</v>
      </c>
      <c r="F281">
        <v>14.997826576</v>
      </c>
      <c r="G281">
        <v>1396.6220702999999</v>
      </c>
      <c r="H281">
        <v>1381.0223389</v>
      </c>
      <c r="I281">
        <v>1239.4274902</v>
      </c>
      <c r="J281">
        <v>1194.2038574000001</v>
      </c>
      <c r="K281">
        <v>2750</v>
      </c>
      <c r="L281">
        <v>0</v>
      </c>
      <c r="M281">
        <v>0</v>
      </c>
      <c r="N281">
        <v>2750</v>
      </c>
    </row>
    <row r="282" spans="1:14" x14ac:dyDescent="0.25">
      <c r="A282">
        <v>61.690261999999997</v>
      </c>
      <c r="B282" s="1">
        <f>DATE(2010,7,1) + TIME(16,33,58)</f>
        <v>40360.690254629626</v>
      </c>
      <c r="C282">
        <v>80</v>
      </c>
      <c r="D282">
        <v>79.917121886999993</v>
      </c>
      <c r="E282">
        <v>50</v>
      </c>
      <c r="F282">
        <v>14.997841834999999</v>
      </c>
      <c r="G282">
        <v>1396.5541992000001</v>
      </c>
      <c r="H282">
        <v>1380.958374</v>
      </c>
      <c r="I282">
        <v>1239.4385986</v>
      </c>
      <c r="J282">
        <v>1194.2144774999999</v>
      </c>
      <c r="K282">
        <v>2750</v>
      </c>
      <c r="L282">
        <v>0</v>
      </c>
      <c r="M282">
        <v>0</v>
      </c>
      <c r="N282">
        <v>2750</v>
      </c>
    </row>
    <row r="283" spans="1:14" x14ac:dyDescent="0.25">
      <c r="A283">
        <v>62.393489000000002</v>
      </c>
      <c r="B283" s="1">
        <f>DATE(2010,7,2) + TIME(9,26,37)</f>
        <v>40361.393483796295</v>
      </c>
      <c r="C283">
        <v>80</v>
      </c>
      <c r="D283">
        <v>79.917198181000003</v>
      </c>
      <c r="E283">
        <v>50</v>
      </c>
      <c r="F283">
        <v>14.997858046999999</v>
      </c>
      <c r="G283">
        <v>1396.4678954999999</v>
      </c>
      <c r="H283">
        <v>1380.8770752</v>
      </c>
      <c r="I283">
        <v>1239.4527588000001</v>
      </c>
      <c r="J283">
        <v>1194.2279053</v>
      </c>
      <c r="K283">
        <v>2750</v>
      </c>
      <c r="L283">
        <v>0</v>
      </c>
      <c r="M283">
        <v>0</v>
      </c>
      <c r="N283">
        <v>2750</v>
      </c>
    </row>
    <row r="284" spans="1:14" x14ac:dyDescent="0.25">
      <c r="A284">
        <v>63.105724000000002</v>
      </c>
      <c r="B284" s="1">
        <f>DATE(2010,7,3) + TIME(2,32,14)</f>
        <v>40362.105717592596</v>
      </c>
      <c r="C284">
        <v>80</v>
      </c>
      <c r="D284">
        <v>79.917274474999999</v>
      </c>
      <c r="E284">
        <v>50</v>
      </c>
      <c r="F284">
        <v>14.99787426</v>
      </c>
      <c r="G284">
        <v>1396.3807373</v>
      </c>
      <c r="H284">
        <v>1380.7949219</v>
      </c>
      <c r="I284">
        <v>1239.4671631000001</v>
      </c>
      <c r="J284">
        <v>1194.2416992000001</v>
      </c>
      <c r="K284">
        <v>2750</v>
      </c>
      <c r="L284">
        <v>0</v>
      </c>
      <c r="M284">
        <v>0</v>
      </c>
      <c r="N284">
        <v>2750</v>
      </c>
    </row>
    <row r="285" spans="1:14" x14ac:dyDescent="0.25">
      <c r="A285">
        <v>63.828012999999999</v>
      </c>
      <c r="B285" s="1">
        <f>DATE(2010,7,3) + TIME(19,52,20)</f>
        <v>40362.828009259261</v>
      </c>
      <c r="C285">
        <v>80</v>
      </c>
      <c r="D285">
        <v>79.917350768999995</v>
      </c>
      <c r="E285">
        <v>50</v>
      </c>
      <c r="F285">
        <v>14.997891426000001</v>
      </c>
      <c r="G285">
        <v>1396.2933350000001</v>
      </c>
      <c r="H285">
        <v>1380.7126464999999</v>
      </c>
      <c r="I285">
        <v>1239.4819336</v>
      </c>
      <c r="J285">
        <v>1194.2558594</v>
      </c>
      <c r="K285">
        <v>2750</v>
      </c>
      <c r="L285">
        <v>0</v>
      </c>
      <c r="M285">
        <v>0</v>
      </c>
      <c r="N285">
        <v>2750</v>
      </c>
    </row>
    <row r="286" spans="1:14" x14ac:dyDescent="0.25">
      <c r="A286">
        <v>64.561610999999999</v>
      </c>
      <c r="B286" s="1">
        <f>DATE(2010,7,4) + TIME(13,28,43)</f>
        <v>40363.561608796299</v>
      </c>
      <c r="C286">
        <v>80</v>
      </c>
      <c r="D286">
        <v>79.917434692</v>
      </c>
      <c r="E286">
        <v>50</v>
      </c>
      <c r="F286">
        <v>14.997908592</v>
      </c>
      <c r="G286">
        <v>1396.2056885</v>
      </c>
      <c r="H286">
        <v>1380.6301269999999</v>
      </c>
      <c r="I286">
        <v>1239.4970702999999</v>
      </c>
      <c r="J286">
        <v>1194.2701416</v>
      </c>
      <c r="K286">
        <v>2750</v>
      </c>
      <c r="L286">
        <v>0</v>
      </c>
      <c r="M286">
        <v>0</v>
      </c>
      <c r="N286">
        <v>2750</v>
      </c>
    </row>
    <row r="287" spans="1:14" x14ac:dyDescent="0.25">
      <c r="A287">
        <v>65.306940999999995</v>
      </c>
      <c r="B287" s="1">
        <f>DATE(2010,7,5) + TIME(7,21,59)</f>
        <v>40364.306932870371</v>
      </c>
      <c r="C287">
        <v>80</v>
      </c>
      <c r="D287">
        <v>79.917510985999996</v>
      </c>
      <c r="E287">
        <v>50</v>
      </c>
      <c r="F287">
        <v>14.997924805</v>
      </c>
      <c r="G287">
        <v>1396.1176757999999</v>
      </c>
      <c r="H287">
        <v>1380.5471190999999</v>
      </c>
      <c r="I287">
        <v>1239.5124512</v>
      </c>
      <c r="J287">
        <v>1194.2847899999999</v>
      </c>
      <c r="K287">
        <v>2750</v>
      </c>
      <c r="L287">
        <v>0</v>
      </c>
      <c r="M287">
        <v>0</v>
      </c>
      <c r="N287">
        <v>2750</v>
      </c>
    </row>
    <row r="288" spans="1:14" x14ac:dyDescent="0.25">
      <c r="A288">
        <v>66.059978000000001</v>
      </c>
      <c r="B288" s="1">
        <f>DATE(2010,7,6) + TIME(1,26,22)</f>
        <v>40365.059976851851</v>
      </c>
      <c r="C288">
        <v>80</v>
      </c>
      <c r="D288">
        <v>79.917594910000005</v>
      </c>
      <c r="E288">
        <v>50</v>
      </c>
      <c r="F288">
        <v>14.997941970999999</v>
      </c>
      <c r="G288">
        <v>1396.0291748</v>
      </c>
      <c r="H288">
        <v>1380.4637451000001</v>
      </c>
      <c r="I288">
        <v>1239.5281981999999</v>
      </c>
      <c r="J288">
        <v>1194.2998047000001</v>
      </c>
      <c r="K288">
        <v>2750</v>
      </c>
      <c r="L288">
        <v>0</v>
      </c>
      <c r="M288">
        <v>0</v>
      </c>
      <c r="N288">
        <v>2750</v>
      </c>
    </row>
    <row r="289" spans="1:14" x14ac:dyDescent="0.25">
      <c r="A289">
        <v>66.437014000000005</v>
      </c>
      <c r="B289" s="1">
        <f>DATE(2010,7,6) + TIME(10,29,18)</f>
        <v>40365.437013888892</v>
      </c>
      <c r="C289">
        <v>80</v>
      </c>
      <c r="D289">
        <v>79.917625427000004</v>
      </c>
      <c r="E289">
        <v>50</v>
      </c>
      <c r="F289">
        <v>14.997954369</v>
      </c>
      <c r="G289">
        <v>1395.9404297000001</v>
      </c>
      <c r="H289">
        <v>1380.3800048999999</v>
      </c>
      <c r="I289">
        <v>1239.5437012</v>
      </c>
      <c r="J289">
        <v>1194.3144531</v>
      </c>
      <c r="K289">
        <v>2750</v>
      </c>
      <c r="L289">
        <v>0</v>
      </c>
      <c r="M289">
        <v>0</v>
      </c>
      <c r="N289">
        <v>2750</v>
      </c>
    </row>
    <row r="290" spans="1:14" x14ac:dyDescent="0.25">
      <c r="A290">
        <v>66.814051000000006</v>
      </c>
      <c r="B290" s="1">
        <f>DATE(2010,7,6) + TIME(19,32,13)</f>
        <v>40365.814039351855</v>
      </c>
      <c r="C290">
        <v>80</v>
      </c>
      <c r="D290">
        <v>79.917671204000001</v>
      </c>
      <c r="E290">
        <v>50</v>
      </c>
      <c r="F290">
        <v>14.997964859</v>
      </c>
      <c r="G290">
        <v>1395.8955077999999</v>
      </c>
      <c r="H290">
        <v>1380.3377685999999</v>
      </c>
      <c r="I290">
        <v>1239.5520019999999</v>
      </c>
      <c r="J290">
        <v>1194.3222656</v>
      </c>
      <c r="K290">
        <v>2750</v>
      </c>
      <c r="L290">
        <v>0</v>
      </c>
      <c r="M290">
        <v>0</v>
      </c>
      <c r="N290">
        <v>2750</v>
      </c>
    </row>
    <row r="291" spans="1:14" x14ac:dyDescent="0.25">
      <c r="A291">
        <v>67.191086999999996</v>
      </c>
      <c r="B291" s="1">
        <f>DATE(2010,7,7) + TIME(4,35,9)</f>
        <v>40366.191076388888</v>
      </c>
      <c r="C291">
        <v>80</v>
      </c>
      <c r="D291">
        <v>79.917709350999999</v>
      </c>
      <c r="E291">
        <v>50</v>
      </c>
      <c r="F291">
        <v>14.997974396</v>
      </c>
      <c r="G291">
        <v>1395.8518065999999</v>
      </c>
      <c r="H291">
        <v>1380.2965088000001</v>
      </c>
      <c r="I291">
        <v>1239.5600586</v>
      </c>
      <c r="J291">
        <v>1194.3300781</v>
      </c>
      <c r="K291">
        <v>2750</v>
      </c>
      <c r="L291">
        <v>0</v>
      </c>
      <c r="M291">
        <v>0</v>
      </c>
      <c r="N291">
        <v>2750</v>
      </c>
    </row>
    <row r="292" spans="1:14" x14ac:dyDescent="0.25">
      <c r="A292">
        <v>67.568123999999997</v>
      </c>
      <c r="B292" s="1">
        <f>DATE(2010,7,7) + TIME(13,38,5)</f>
        <v>40366.568113425928</v>
      </c>
      <c r="C292">
        <v>80</v>
      </c>
      <c r="D292">
        <v>79.917747497999997</v>
      </c>
      <c r="E292">
        <v>50</v>
      </c>
      <c r="F292">
        <v>14.997983932</v>
      </c>
      <c r="G292">
        <v>1395.8082274999999</v>
      </c>
      <c r="H292">
        <v>1380.2553711</v>
      </c>
      <c r="I292">
        <v>1239.5682373</v>
      </c>
      <c r="J292">
        <v>1194.3377685999999</v>
      </c>
      <c r="K292">
        <v>2750</v>
      </c>
      <c r="L292">
        <v>0</v>
      </c>
      <c r="M292">
        <v>0</v>
      </c>
      <c r="N292">
        <v>2750</v>
      </c>
    </row>
    <row r="293" spans="1:14" x14ac:dyDescent="0.25">
      <c r="A293">
        <v>67.945160999999999</v>
      </c>
      <c r="B293" s="1">
        <f>DATE(2010,7,7) + TIME(22,41,1)</f>
        <v>40366.945150462961</v>
      </c>
      <c r="C293">
        <v>80</v>
      </c>
      <c r="D293">
        <v>79.917785644999995</v>
      </c>
      <c r="E293">
        <v>50</v>
      </c>
      <c r="F293">
        <v>14.997993469000001</v>
      </c>
      <c r="G293">
        <v>1395.7648925999999</v>
      </c>
      <c r="H293">
        <v>1380.2145995999999</v>
      </c>
      <c r="I293">
        <v>1239.5764160000001</v>
      </c>
      <c r="J293">
        <v>1194.3455810999999</v>
      </c>
      <c r="K293">
        <v>2750</v>
      </c>
      <c r="L293">
        <v>0</v>
      </c>
      <c r="M293">
        <v>0</v>
      </c>
      <c r="N293">
        <v>2750</v>
      </c>
    </row>
    <row r="294" spans="1:14" x14ac:dyDescent="0.25">
      <c r="A294">
        <v>68.699234000000004</v>
      </c>
      <c r="B294" s="1">
        <f>DATE(2010,7,8) + TIME(16,46,53)</f>
        <v>40367.699224537035</v>
      </c>
      <c r="C294">
        <v>80</v>
      </c>
      <c r="D294">
        <v>79.917877196999996</v>
      </c>
      <c r="E294">
        <v>50</v>
      </c>
      <c r="F294">
        <v>14.998005867</v>
      </c>
      <c r="G294">
        <v>1395.7225341999999</v>
      </c>
      <c r="H294">
        <v>1380.1748047000001</v>
      </c>
      <c r="I294">
        <v>1239.5850829999999</v>
      </c>
      <c r="J294">
        <v>1194.3538818</v>
      </c>
      <c r="K294">
        <v>2750</v>
      </c>
      <c r="L294">
        <v>0</v>
      </c>
      <c r="M294">
        <v>0</v>
      </c>
      <c r="N294">
        <v>2750</v>
      </c>
    </row>
    <row r="295" spans="1:14" x14ac:dyDescent="0.25">
      <c r="A295">
        <v>69.453569999999999</v>
      </c>
      <c r="B295" s="1">
        <f>DATE(2010,7,9) + TIME(10,53,8)</f>
        <v>40368.453564814816</v>
      </c>
      <c r="C295">
        <v>80</v>
      </c>
      <c r="D295">
        <v>79.917961121000005</v>
      </c>
      <c r="E295">
        <v>50</v>
      </c>
      <c r="F295">
        <v>14.998020172</v>
      </c>
      <c r="G295">
        <v>1395.6375731999999</v>
      </c>
      <c r="H295">
        <v>1380.0947266000001</v>
      </c>
      <c r="I295">
        <v>1239.6014404</v>
      </c>
      <c r="J295">
        <v>1194.3693848</v>
      </c>
      <c r="K295">
        <v>2750</v>
      </c>
      <c r="L295">
        <v>0</v>
      </c>
      <c r="M295">
        <v>0</v>
      </c>
      <c r="N295">
        <v>2750</v>
      </c>
    </row>
    <row r="296" spans="1:14" x14ac:dyDescent="0.25">
      <c r="A296">
        <v>70.212164000000001</v>
      </c>
      <c r="B296" s="1">
        <f>DATE(2010,7,10) + TIME(5,5,31)</f>
        <v>40369.212164351855</v>
      </c>
      <c r="C296">
        <v>80</v>
      </c>
      <c r="D296">
        <v>79.918045043999996</v>
      </c>
      <c r="E296">
        <v>50</v>
      </c>
      <c r="F296">
        <v>14.998036385000001</v>
      </c>
      <c r="G296">
        <v>1395.5531006000001</v>
      </c>
      <c r="H296">
        <v>1380.0151367000001</v>
      </c>
      <c r="I296">
        <v>1239.6180420000001</v>
      </c>
      <c r="J296">
        <v>1194.3851318</v>
      </c>
      <c r="K296">
        <v>2750</v>
      </c>
      <c r="L296">
        <v>0</v>
      </c>
      <c r="M296">
        <v>0</v>
      </c>
      <c r="N296">
        <v>2750</v>
      </c>
    </row>
    <row r="297" spans="1:14" x14ac:dyDescent="0.25">
      <c r="A297">
        <v>70.976206000000005</v>
      </c>
      <c r="B297" s="1">
        <f>DATE(2010,7,10) + TIME(23,25,44)</f>
        <v>40369.976203703707</v>
      </c>
      <c r="C297">
        <v>80</v>
      </c>
      <c r="D297">
        <v>79.918128967000001</v>
      </c>
      <c r="E297">
        <v>50</v>
      </c>
      <c r="F297">
        <v>14.998052596999999</v>
      </c>
      <c r="G297">
        <v>1395.4688721</v>
      </c>
      <c r="H297">
        <v>1379.9359131000001</v>
      </c>
      <c r="I297">
        <v>1239.6348877</v>
      </c>
      <c r="J297">
        <v>1194.401001</v>
      </c>
      <c r="K297">
        <v>2750</v>
      </c>
      <c r="L297">
        <v>0</v>
      </c>
      <c r="M297">
        <v>0</v>
      </c>
      <c r="N297">
        <v>2750</v>
      </c>
    </row>
    <row r="298" spans="1:14" x14ac:dyDescent="0.25">
      <c r="A298">
        <v>71.746881999999999</v>
      </c>
      <c r="B298" s="1">
        <f>DATE(2010,7,11) + TIME(17,55,30)</f>
        <v>40370.746874999997</v>
      </c>
      <c r="C298">
        <v>80</v>
      </c>
      <c r="D298">
        <v>79.918212890999996</v>
      </c>
      <c r="E298">
        <v>50</v>
      </c>
      <c r="F298">
        <v>14.998068809999999</v>
      </c>
      <c r="G298">
        <v>1395.3850098</v>
      </c>
      <c r="H298">
        <v>1379.8568115</v>
      </c>
      <c r="I298">
        <v>1239.6518555</v>
      </c>
      <c r="J298">
        <v>1194.4171143000001</v>
      </c>
      <c r="K298">
        <v>2750</v>
      </c>
      <c r="L298">
        <v>0</v>
      </c>
      <c r="M298">
        <v>0</v>
      </c>
      <c r="N298">
        <v>2750</v>
      </c>
    </row>
    <row r="299" spans="1:14" x14ac:dyDescent="0.25">
      <c r="A299">
        <v>72.525445000000005</v>
      </c>
      <c r="B299" s="1">
        <f>DATE(2010,7,12) + TIME(12,36,38)</f>
        <v>40371.525439814817</v>
      </c>
      <c r="C299">
        <v>80</v>
      </c>
      <c r="D299">
        <v>79.918296814000001</v>
      </c>
      <c r="E299">
        <v>50</v>
      </c>
      <c r="F299">
        <v>14.998085022</v>
      </c>
      <c r="G299">
        <v>1395.3011475000001</v>
      </c>
      <c r="H299">
        <v>1379.7779541</v>
      </c>
      <c r="I299">
        <v>1239.6691894999999</v>
      </c>
      <c r="J299">
        <v>1194.4335937999999</v>
      </c>
      <c r="K299">
        <v>2750</v>
      </c>
      <c r="L299">
        <v>0</v>
      </c>
      <c r="M299">
        <v>0</v>
      </c>
      <c r="N299">
        <v>2750</v>
      </c>
    </row>
    <row r="300" spans="1:14" x14ac:dyDescent="0.25">
      <c r="A300">
        <v>73.313537999999994</v>
      </c>
      <c r="B300" s="1">
        <f>DATE(2010,7,13) + TIME(7,31,29)</f>
        <v>40372.313530092593</v>
      </c>
      <c r="C300">
        <v>80</v>
      </c>
      <c r="D300">
        <v>79.918388367000006</v>
      </c>
      <c r="E300">
        <v>50</v>
      </c>
      <c r="F300">
        <v>14.998101234</v>
      </c>
      <c r="G300">
        <v>1395.2174072</v>
      </c>
      <c r="H300">
        <v>1379.6989745999999</v>
      </c>
      <c r="I300">
        <v>1239.6867675999999</v>
      </c>
      <c r="J300">
        <v>1194.4503173999999</v>
      </c>
      <c r="K300">
        <v>2750</v>
      </c>
      <c r="L300">
        <v>0</v>
      </c>
      <c r="M300">
        <v>0</v>
      </c>
      <c r="N300">
        <v>2750</v>
      </c>
    </row>
    <row r="301" spans="1:14" x14ac:dyDescent="0.25">
      <c r="A301">
        <v>74.112240999999997</v>
      </c>
      <c r="B301" s="1">
        <f>DATE(2010,7,14) + TIME(2,41,37)</f>
        <v>40373.112233796295</v>
      </c>
      <c r="C301">
        <v>80</v>
      </c>
      <c r="D301">
        <v>79.918472289999997</v>
      </c>
      <c r="E301">
        <v>50</v>
      </c>
      <c r="F301">
        <v>14.998118400999999</v>
      </c>
      <c r="G301">
        <v>1395.1334228999999</v>
      </c>
      <c r="H301">
        <v>1379.6198730000001</v>
      </c>
      <c r="I301">
        <v>1239.7047118999999</v>
      </c>
      <c r="J301">
        <v>1194.4672852000001</v>
      </c>
      <c r="K301">
        <v>2750</v>
      </c>
      <c r="L301">
        <v>0</v>
      </c>
      <c r="M301">
        <v>0</v>
      </c>
      <c r="N301">
        <v>2750</v>
      </c>
    </row>
    <row r="302" spans="1:14" x14ac:dyDescent="0.25">
      <c r="A302">
        <v>74.917530999999997</v>
      </c>
      <c r="B302" s="1">
        <f>DATE(2010,7,14) + TIME(22,1,14)</f>
        <v>40373.917523148149</v>
      </c>
      <c r="C302">
        <v>80</v>
      </c>
      <c r="D302">
        <v>79.918563843000001</v>
      </c>
      <c r="E302">
        <v>50</v>
      </c>
      <c r="F302">
        <v>14.998135567</v>
      </c>
      <c r="G302">
        <v>1395.0491943</v>
      </c>
      <c r="H302">
        <v>1379.5405272999999</v>
      </c>
      <c r="I302">
        <v>1239.7230225000001</v>
      </c>
      <c r="J302">
        <v>1194.4846190999999</v>
      </c>
      <c r="K302">
        <v>2750</v>
      </c>
      <c r="L302">
        <v>0</v>
      </c>
      <c r="M302">
        <v>0</v>
      </c>
      <c r="N302">
        <v>2750</v>
      </c>
    </row>
    <row r="303" spans="1:14" x14ac:dyDescent="0.25">
      <c r="A303">
        <v>75.725390000000004</v>
      </c>
      <c r="B303" s="1">
        <f>DATE(2010,7,15) + TIME(17,24,33)</f>
        <v>40374.725381944445</v>
      </c>
      <c r="C303">
        <v>80</v>
      </c>
      <c r="D303">
        <v>79.918647766000007</v>
      </c>
      <c r="E303">
        <v>50</v>
      </c>
      <c r="F303">
        <v>14.998151779000001</v>
      </c>
      <c r="G303">
        <v>1394.9650879000001</v>
      </c>
      <c r="H303">
        <v>1379.4613036999999</v>
      </c>
      <c r="I303">
        <v>1239.7416992000001</v>
      </c>
      <c r="J303">
        <v>1194.5023193</v>
      </c>
      <c r="K303">
        <v>2750</v>
      </c>
      <c r="L303">
        <v>0</v>
      </c>
      <c r="M303">
        <v>0</v>
      </c>
      <c r="N303">
        <v>2750</v>
      </c>
    </row>
    <row r="304" spans="1:14" x14ac:dyDescent="0.25">
      <c r="A304">
        <v>76.536770000000004</v>
      </c>
      <c r="B304" s="1">
        <f>DATE(2010,7,16) + TIME(12,52,56)</f>
        <v>40375.536759259259</v>
      </c>
      <c r="C304">
        <v>80</v>
      </c>
      <c r="D304">
        <v>79.918739318999997</v>
      </c>
      <c r="E304">
        <v>50</v>
      </c>
      <c r="F304">
        <v>14.998168945</v>
      </c>
      <c r="G304">
        <v>1394.8814697</v>
      </c>
      <c r="H304">
        <v>1379.3826904</v>
      </c>
      <c r="I304">
        <v>1239.7606201000001</v>
      </c>
      <c r="J304">
        <v>1194.5201416</v>
      </c>
      <c r="K304">
        <v>2750</v>
      </c>
      <c r="L304">
        <v>0</v>
      </c>
      <c r="M304">
        <v>0</v>
      </c>
      <c r="N304">
        <v>2750</v>
      </c>
    </row>
    <row r="305" spans="1:14" x14ac:dyDescent="0.25">
      <c r="A305">
        <v>77.353001000000006</v>
      </c>
      <c r="B305" s="1">
        <f>DATE(2010,7,17) + TIME(8,28,19)</f>
        <v>40376.352997685186</v>
      </c>
      <c r="C305">
        <v>80</v>
      </c>
      <c r="D305">
        <v>79.918823242000002</v>
      </c>
      <c r="E305">
        <v>50</v>
      </c>
      <c r="F305">
        <v>14.998185158</v>
      </c>
      <c r="G305">
        <v>1394.7984618999999</v>
      </c>
      <c r="H305">
        <v>1379.3044434000001</v>
      </c>
      <c r="I305">
        <v>1239.7796631000001</v>
      </c>
      <c r="J305">
        <v>1194.5380858999999</v>
      </c>
      <c r="K305">
        <v>2750</v>
      </c>
      <c r="L305">
        <v>0</v>
      </c>
      <c r="M305">
        <v>0</v>
      </c>
      <c r="N305">
        <v>2750</v>
      </c>
    </row>
    <row r="306" spans="1:14" x14ac:dyDescent="0.25">
      <c r="A306">
        <v>78.175409999999999</v>
      </c>
      <c r="B306" s="1">
        <f>DATE(2010,7,18) + TIME(4,12,35)</f>
        <v>40377.175405092596</v>
      </c>
      <c r="C306">
        <v>80</v>
      </c>
      <c r="D306">
        <v>79.918914795000006</v>
      </c>
      <c r="E306">
        <v>50</v>
      </c>
      <c r="F306">
        <v>14.998202323999999</v>
      </c>
      <c r="G306">
        <v>1394.7156981999999</v>
      </c>
      <c r="H306">
        <v>1379.2264404</v>
      </c>
      <c r="I306">
        <v>1239.7989502</v>
      </c>
      <c r="J306">
        <v>1194.5563964999999</v>
      </c>
      <c r="K306">
        <v>2750</v>
      </c>
      <c r="L306">
        <v>0</v>
      </c>
      <c r="M306">
        <v>0</v>
      </c>
      <c r="N306">
        <v>2750</v>
      </c>
    </row>
    <row r="307" spans="1:14" x14ac:dyDescent="0.25">
      <c r="A307">
        <v>79.003302000000005</v>
      </c>
      <c r="B307" s="1">
        <f>DATE(2010,7,19) + TIME(0,4,45)</f>
        <v>40378.003298611111</v>
      </c>
      <c r="C307">
        <v>80</v>
      </c>
      <c r="D307">
        <v>79.919006347999996</v>
      </c>
      <c r="E307">
        <v>50</v>
      </c>
      <c r="F307">
        <v>14.998218536</v>
      </c>
      <c r="G307">
        <v>1394.6330565999999</v>
      </c>
      <c r="H307">
        <v>1379.1486815999999</v>
      </c>
      <c r="I307">
        <v>1239.8187256000001</v>
      </c>
      <c r="J307">
        <v>1194.5749512</v>
      </c>
      <c r="K307">
        <v>2750</v>
      </c>
      <c r="L307">
        <v>0</v>
      </c>
      <c r="M307">
        <v>0</v>
      </c>
      <c r="N307">
        <v>2750</v>
      </c>
    </row>
    <row r="308" spans="1:14" x14ac:dyDescent="0.25">
      <c r="A308">
        <v>79.833414000000005</v>
      </c>
      <c r="B308" s="1">
        <f>DATE(2010,7,19) + TIME(20,0,6)</f>
        <v>40378.833402777775</v>
      </c>
      <c r="C308">
        <v>80</v>
      </c>
      <c r="D308">
        <v>79.919097899999997</v>
      </c>
      <c r="E308">
        <v>50</v>
      </c>
      <c r="F308">
        <v>14.998235703000001</v>
      </c>
      <c r="G308">
        <v>1394.5507812000001</v>
      </c>
      <c r="H308">
        <v>1379.0711670000001</v>
      </c>
      <c r="I308">
        <v>1239.8386230000001</v>
      </c>
      <c r="J308">
        <v>1194.5938721</v>
      </c>
      <c r="K308">
        <v>2750</v>
      </c>
      <c r="L308">
        <v>0</v>
      </c>
      <c r="M308">
        <v>0</v>
      </c>
      <c r="N308">
        <v>2750</v>
      </c>
    </row>
    <row r="309" spans="1:14" x14ac:dyDescent="0.25">
      <c r="A309">
        <v>80.667097999999996</v>
      </c>
      <c r="B309" s="1">
        <f>DATE(2010,7,20) + TIME(16,0,37)</f>
        <v>40379.667094907411</v>
      </c>
      <c r="C309">
        <v>80</v>
      </c>
      <c r="D309">
        <v>79.919189453000001</v>
      </c>
      <c r="E309">
        <v>50</v>
      </c>
      <c r="F309">
        <v>14.998251915000001</v>
      </c>
      <c r="G309">
        <v>1394.4689940999999</v>
      </c>
      <c r="H309">
        <v>1378.9941406</v>
      </c>
      <c r="I309">
        <v>1239.8587646000001</v>
      </c>
      <c r="J309">
        <v>1194.6129149999999</v>
      </c>
      <c r="K309">
        <v>2750</v>
      </c>
      <c r="L309">
        <v>0</v>
      </c>
      <c r="M309">
        <v>0</v>
      </c>
      <c r="N309">
        <v>2750</v>
      </c>
    </row>
    <row r="310" spans="1:14" x14ac:dyDescent="0.25">
      <c r="A310">
        <v>81.505692999999994</v>
      </c>
      <c r="B310" s="1">
        <f>DATE(2010,7,21) + TIME(12,8,11)</f>
        <v>40380.505682870367</v>
      </c>
      <c r="C310">
        <v>80</v>
      </c>
      <c r="D310">
        <v>79.919281006000006</v>
      </c>
      <c r="E310">
        <v>50</v>
      </c>
      <c r="F310">
        <v>14.998269081</v>
      </c>
      <c r="G310">
        <v>1394.3876952999999</v>
      </c>
      <c r="H310">
        <v>1378.9174805</v>
      </c>
      <c r="I310">
        <v>1239.8792725000001</v>
      </c>
      <c r="J310">
        <v>1194.6322021000001</v>
      </c>
      <c r="K310">
        <v>2750</v>
      </c>
      <c r="L310">
        <v>0</v>
      </c>
      <c r="M310">
        <v>0</v>
      </c>
      <c r="N310">
        <v>2750</v>
      </c>
    </row>
    <row r="311" spans="1:14" x14ac:dyDescent="0.25">
      <c r="A311">
        <v>82.350547000000006</v>
      </c>
      <c r="B311" s="1">
        <f>DATE(2010,7,22) + TIME(8,24,47)</f>
        <v>40381.350543981483</v>
      </c>
      <c r="C311">
        <v>80</v>
      </c>
      <c r="D311">
        <v>79.919372558999996</v>
      </c>
      <c r="E311">
        <v>50</v>
      </c>
      <c r="F311">
        <v>14.998285294</v>
      </c>
      <c r="G311">
        <v>1394.3066406</v>
      </c>
      <c r="H311">
        <v>1378.8411865</v>
      </c>
      <c r="I311">
        <v>1239.9000243999999</v>
      </c>
      <c r="J311">
        <v>1194.6517334</v>
      </c>
      <c r="K311">
        <v>2750</v>
      </c>
      <c r="L311">
        <v>0</v>
      </c>
      <c r="M311">
        <v>0</v>
      </c>
      <c r="N311">
        <v>2750</v>
      </c>
    </row>
    <row r="312" spans="1:14" x14ac:dyDescent="0.25">
      <c r="A312">
        <v>82.776466999999997</v>
      </c>
      <c r="B312" s="1">
        <f>DATE(2010,7,22) + TIME(18,38,6)</f>
        <v>40381.776458333334</v>
      </c>
      <c r="C312">
        <v>80</v>
      </c>
      <c r="D312">
        <v>79.919410705999994</v>
      </c>
      <c r="E312">
        <v>50</v>
      </c>
      <c r="F312">
        <v>14.998297690999999</v>
      </c>
      <c r="G312">
        <v>1394.2254639</v>
      </c>
      <c r="H312">
        <v>1378.7646483999999</v>
      </c>
      <c r="I312">
        <v>1239.9206543</v>
      </c>
      <c r="J312">
        <v>1194.6710204999999</v>
      </c>
      <c r="K312">
        <v>2750</v>
      </c>
      <c r="L312">
        <v>0</v>
      </c>
      <c r="M312">
        <v>0</v>
      </c>
      <c r="N312">
        <v>2750</v>
      </c>
    </row>
    <row r="313" spans="1:14" x14ac:dyDescent="0.25">
      <c r="A313">
        <v>83.202387000000002</v>
      </c>
      <c r="B313" s="1">
        <f>DATE(2010,7,23) + TIME(4,51,26)</f>
        <v>40382.202384259261</v>
      </c>
      <c r="C313">
        <v>80</v>
      </c>
      <c r="D313">
        <v>79.919456482000001</v>
      </c>
      <c r="E313">
        <v>50</v>
      </c>
      <c r="F313">
        <v>14.998308182000001</v>
      </c>
      <c r="G313">
        <v>1394.1842041</v>
      </c>
      <c r="H313">
        <v>1378.7257079999999</v>
      </c>
      <c r="I313">
        <v>1239.9315185999999</v>
      </c>
      <c r="J313">
        <v>1194.6813964999999</v>
      </c>
      <c r="K313">
        <v>2750</v>
      </c>
      <c r="L313">
        <v>0</v>
      </c>
      <c r="M313">
        <v>0</v>
      </c>
      <c r="N313">
        <v>2750</v>
      </c>
    </row>
    <row r="314" spans="1:14" x14ac:dyDescent="0.25">
      <c r="A314">
        <v>83.628305999999995</v>
      </c>
      <c r="B314" s="1">
        <f>DATE(2010,7,23) + TIME(15,4,45)</f>
        <v>40382.628298611111</v>
      </c>
      <c r="C314">
        <v>80</v>
      </c>
      <c r="D314">
        <v>79.919502257999994</v>
      </c>
      <c r="E314">
        <v>50</v>
      </c>
      <c r="F314">
        <v>14.998317718999999</v>
      </c>
      <c r="G314">
        <v>1394.1437988</v>
      </c>
      <c r="H314">
        <v>1378.6876221</v>
      </c>
      <c r="I314">
        <v>1239.9423827999999</v>
      </c>
      <c r="J314">
        <v>1194.6915283000001</v>
      </c>
      <c r="K314">
        <v>2750</v>
      </c>
      <c r="L314">
        <v>0</v>
      </c>
      <c r="M314">
        <v>0</v>
      </c>
      <c r="N314">
        <v>2750</v>
      </c>
    </row>
    <row r="315" spans="1:14" x14ac:dyDescent="0.25">
      <c r="A315">
        <v>84.054226</v>
      </c>
      <c r="B315" s="1">
        <f>DATE(2010,7,24) + TIME(1,18,5)</f>
        <v>40383.054224537038</v>
      </c>
      <c r="C315">
        <v>80</v>
      </c>
      <c r="D315">
        <v>79.919548035000005</v>
      </c>
      <c r="E315">
        <v>50</v>
      </c>
      <c r="F315">
        <v>14.998327255</v>
      </c>
      <c r="G315">
        <v>1394.1036377</v>
      </c>
      <c r="H315">
        <v>1378.6497803</v>
      </c>
      <c r="I315">
        <v>1239.953125</v>
      </c>
      <c r="J315">
        <v>1194.7016602000001</v>
      </c>
      <c r="K315">
        <v>2750</v>
      </c>
      <c r="L315">
        <v>0</v>
      </c>
      <c r="M315">
        <v>0</v>
      </c>
      <c r="N315">
        <v>2750</v>
      </c>
    </row>
    <row r="316" spans="1:14" x14ac:dyDescent="0.25">
      <c r="A316">
        <v>84.480146000000005</v>
      </c>
      <c r="B316" s="1">
        <f>DATE(2010,7,24) + TIME(11,31,24)</f>
        <v>40383.480138888888</v>
      </c>
      <c r="C316">
        <v>80</v>
      </c>
      <c r="D316">
        <v>79.919593810999999</v>
      </c>
      <c r="E316">
        <v>50</v>
      </c>
      <c r="F316">
        <v>14.998336792</v>
      </c>
      <c r="G316">
        <v>1394.0637207</v>
      </c>
      <c r="H316">
        <v>1378.6120605000001</v>
      </c>
      <c r="I316">
        <v>1239.9641113</v>
      </c>
      <c r="J316">
        <v>1194.7119141000001</v>
      </c>
      <c r="K316">
        <v>2750</v>
      </c>
      <c r="L316">
        <v>0</v>
      </c>
      <c r="M316">
        <v>0</v>
      </c>
      <c r="N316">
        <v>2750</v>
      </c>
    </row>
    <row r="317" spans="1:14" x14ac:dyDescent="0.25">
      <c r="A317">
        <v>84.906065999999996</v>
      </c>
      <c r="B317" s="1">
        <f>DATE(2010,7,24) + TIME(21,44,44)</f>
        <v>40383.906064814815</v>
      </c>
      <c r="C317">
        <v>80</v>
      </c>
      <c r="D317">
        <v>79.919639587000006</v>
      </c>
      <c r="E317">
        <v>50</v>
      </c>
      <c r="F317">
        <v>14.998345375</v>
      </c>
      <c r="G317">
        <v>1394.0239257999999</v>
      </c>
      <c r="H317">
        <v>1378.5745850000001</v>
      </c>
      <c r="I317">
        <v>1239.9749756000001</v>
      </c>
      <c r="J317">
        <v>1194.7222899999999</v>
      </c>
      <c r="K317">
        <v>2750</v>
      </c>
      <c r="L317">
        <v>0</v>
      </c>
      <c r="M317">
        <v>0</v>
      </c>
      <c r="N317">
        <v>2750</v>
      </c>
    </row>
    <row r="318" spans="1:14" x14ac:dyDescent="0.25">
      <c r="A318">
        <v>85.331985000000003</v>
      </c>
      <c r="B318" s="1">
        <f>DATE(2010,7,25) + TIME(7,58,3)</f>
        <v>40384.331979166665</v>
      </c>
      <c r="C318">
        <v>80</v>
      </c>
      <c r="D318">
        <v>79.919685364000003</v>
      </c>
      <c r="E318">
        <v>50</v>
      </c>
      <c r="F318">
        <v>14.998353957999999</v>
      </c>
      <c r="G318">
        <v>1393.9842529</v>
      </c>
      <c r="H318">
        <v>1378.5372314000001</v>
      </c>
      <c r="I318">
        <v>1239.9860839999999</v>
      </c>
      <c r="J318">
        <v>1194.7325439000001</v>
      </c>
      <c r="K318">
        <v>2750</v>
      </c>
      <c r="L318">
        <v>0</v>
      </c>
      <c r="M318">
        <v>0</v>
      </c>
      <c r="N318">
        <v>2750</v>
      </c>
    </row>
    <row r="319" spans="1:14" x14ac:dyDescent="0.25">
      <c r="A319">
        <v>85.757904999999994</v>
      </c>
      <c r="B319" s="1">
        <f>DATE(2010,7,25) + TIME(18,11,22)</f>
        <v>40384.757893518516</v>
      </c>
      <c r="C319">
        <v>80</v>
      </c>
      <c r="D319">
        <v>79.919731139999996</v>
      </c>
      <c r="E319">
        <v>50</v>
      </c>
      <c r="F319">
        <v>14.998362541000001</v>
      </c>
      <c r="G319">
        <v>1393.9448242000001</v>
      </c>
      <c r="H319">
        <v>1378.5001221</v>
      </c>
      <c r="I319">
        <v>1239.9970702999999</v>
      </c>
      <c r="J319">
        <v>1194.7430420000001</v>
      </c>
      <c r="K319">
        <v>2750</v>
      </c>
      <c r="L319">
        <v>0</v>
      </c>
      <c r="M319">
        <v>0</v>
      </c>
      <c r="N319">
        <v>2750</v>
      </c>
    </row>
    <row r="320" spans="1:14" x14ac:dyDescent="0.25">
      <c r="A320">
        <v>86.609744000000006</v>
      </c>
      <c r="B320" s="1">
        <f>DATE(2010,7,26) + TIME(14,38,1)</f>
        <v>40385.609733796293</v>
      </c>
      <c r="C320">
        <v>80</v>
      </c>
      <c r="D320">
        <v>79.919830321999996</v>
      </c>
      <c r="E320">
        <v>50</v>
      </c>
      <c r="F320">
        <v>14.998374939</v>
      </c>
      <c r="G320">
        <v>1393.90625</v>
      </c>
      <c r="H320">
        <v>1378.4637451000001</v>
      </c>
      <c r="I320">
        <v>1240.0085449000001</v>
      </c>
      <c r="J320">
        <v>1194.7537841999999</v>
      </c>
      <c r="K320">
        <v>2750</v>
      </c>
      <c r="L320">
        <v>0</v>
      </c>
      <c r="M320">
        <v>0</v>
      </c>
      <c r="N320">
        <v>2750</v>
      </c>
    </row>
    <row r="321" spans="1:14" x14ac:dyDescent="0.25">
      <c r="A321">
        <v>87.462311999999997</v>
      </c>
      <c r="B321" s="1">
        <f>DATE(2010,7,27) + TIME(11,5,43)</f>
        <v>40386.46230324074</v>
      </c>
      <c r="C321">
        <v>80</v>
      </c>
      <c r="D321">
        <v>79.919929503999995</v>
      </c>
      <c r="E321">
        <v>50</v>
      </c>
      <c r="F321">
        <v>14.998389244</v>
      </c>
      <c r="G321">
        <v>1393.8287353999999</v>
      </c>
      <c r="H321">
        <v>1378.3907471</v>
      </c>
      <c r="I321">
        <v>1240.0307617000001</v>
      </c>
      <c r="J321">
        <v>1194.7746582</v>
      </c>
      <c r="K321">
        <v>2750</v>
      </c>
      <c r="L321">
        <v>0</v>
      </c>
      <c r="M321">
        <v>0</v>
      </c>
      <c r="N321">
        <v>2750</v>
      </c>
    </row>
    <row r="322" spans="1:14" x14ac:dyDescent="0.25">
      <c r="A322">
        <v>88.321656000000004</v>
      </c>
      <c r="B322" s="1">
        <f>DATE(2010,7,28) + TIME(7,43,11)</f>
        <v>40387.321655092594</v>
      </c>
      <c r="C322">
        <v>80</v>
      </c>
      <c r="D322">
        <v>79.920021057</v>
      </c>
      <c r="E322">
        <v>50</v>
      </c>
      <c r="F322">
        <v>14.998405457</v>
      </c>
      <c r="G322">
        <v>1393.7514647999999</v>
      </c>
      <c r="H322">
        <v>1378.3179932</v>
      </c>
      <c r="I322">
        <v>1240.0532227000001</v>
      </c>
      <c r="J322">
        <v>1194.7957764</v>
      </c>
      <c r="K322">
        <v>2750</v>
      </c>
      <c r="L322">
        <v>0</v>
      </c>
      <c r="M322">
        <v>0</v>
      </c>
      <c r="N322">
        <v>2750</v>
      </c>
    </row>
    <row r="323" spans="1:14" x14ac:dyDescent="0.25">
      <c r="A323">
        <v>89.189164000000005</v>
      </c>
      <c r="B323" s="1">
        <f>DATE(2010,7,29) + TIME(4,32,23)</f>
        <v>40388.189155092594</v>
      </c>
      <c r="C323">
        <v>80</v>
      </c>
      <c r="D323">
        <v>79.920112610000004</v>
      </c>
      <c r="E323">
        <v>50</v>
      </c>
      <c r="F323">
        <v>14.998422623</v>
      </c>
      <c r="G323">
        <v>1393.6743164</v>
      </c>
      <c r="H323">
        <v>1378.2452393000001</v>
      </c>
      <c r="I323">
        <v>1240.0761719</v>
      </c>
      <c r="J323">
        <v>1194.8172606999999</v>
      </c>
      <c r="K323">
        <v>2750</v>
      </c>
      <c r="L323">
        <v>0</v>
      </c>
      <c r="M323">
        <v>0</v>
      </c>
      <c r="N323">
        <v>2750</v>
      </c>
    </row>
    <row r="324" spans="1:14" x14ac:dyDescent="0.25">
      <c r="A324">
        <v>90.066226999999998</v>
      </c>
      <c r="B324" s="1">
        <f>DATE(2010,7,30) + TIME(1,35,21)</f>
        <v>40389.06621527778</v>
      </c>
      <c r="C324">
        <v>80</v>
      </c>
      <c r="D324">
        <v>79.920211792000003</v>
      </c>
      <c r="E324">
        <v>50</v>
      </c>
      <c r="F324">
        <v>14.998440742</v>
      </c>
      <c r="G324">
        <v>1393.597168</v>
      </c>
      <c r="H324">
        <v>1378.1724853999999</v>
      </c>
      <c r="I324">
        <v>1240.0994873</v>
      </c>
      <c r="J324">
        <v>1194.8391113</v>
      </c>
      <c r="K324">
        <v>2750</v>
      </c>
      <c r="L324">
        <v>0</v>
      </c>
      <c r="M324">
        <v>0</v>
      </c>
      <c r="N324">
        <v>2750</v>
      </c>
    </row>
    <row r="325" spans="1:14" x14ac:dyDescent="0.25">
      <c r="A325">
        <v>90.954284999999999</v>
      </c>
      <c r="B325" s="1">
        <f>DATE(2010,7,30) + TIME(22,54,10)</f>
        <v>40389.954282407409</v>
      </c>
      <c r="C325">
        <v>80</v>
      </c>
      <c r="D325">
        <v>79.920303344999994</v>
      </c>
      <c r="E325">
        <v>50</v>
      </c>
      <c r="F325">
        <v>14.998458862</v>
      </c>
      <c r="G325">
        <v>1393.5197754000001</v>
      </c>
      <c r="H325">
        <v>1378.0994873</v>
      </c>
      <c r="I325">
        <v>1240.1232910000001</v>
      </c>
      <c r="J325">
        <v>1194.8614502</v>
      </c>
      <c r="K325">
        <v>2750</v>
      </c>
      <c r="L325">
        <v>0</v>
      </c>
      <c r="M325">
        <v>0</v>
      </c>
      <c r="N325">
        <v>2750</v>
      </c>
    </row>
    <row r="326" spans="1:14" x14ac:dyDescent="0.25">
      <c r="A326">
        <v>91.854870000000005</v>
      </c>
      <c r="B326" s="1">
        <f>DATE(2010,7,31) + TIME(20,31,0)</f>
        <v>40390.854861111111</v>
      </c>
      <c r="C326">
        <v>80</v>
      </c>
      <c r="D326">
        <v>79.920402526999993</v>
      </c>
      <c r="E326">
        <v>50</v>
      </c>
      <c r="F326">
        <v>14.998477936</v>
      </c>
      <c r="G326">
        <v>1393.4420166</v>
      </c>
      <c r="H326">
        <v>1378.0262451000001</v>
      </c>
      <c r="I326">
        <v>1240.1477050999999</v>
      </c>
      <c r="J326">
        <v>1194.8842772999999</v>
      </c>
      <c r="K326">
        <v>2750</v>
      </c>
      <c r="L326">
        <v>0</v>
      </c>
      <c r="M326">
        <v>0</v>
      </c>
      <c r="N326">
        <v>2750</v>
      </c>
    </row>
    <row r="327" spans="1:14" x14ac:dyDescent="0.25">
      <c r="A327">
        <v>92</v>
      </c>
      <c r="B327" s="1">
        <f>DATE(2010,8,1) + TIME(0,0,0)</f>
        <v>40391</v>
      </c>
      <c r="C327">
        <v>80</v>
      </c>
      <c r="D327">
        <v>79.920410156000003</v>
      </c>
      <c r="E327">
        <v>50</v>
      </c>
      <c r="F327">
        <v>14.998484612</v>
      </c>
      <c r="G327">
        <v>1393.3663329999999</v>
      </c>
      <c r="H327">
        <v>1377.9549560999999</v>
      </c>
      <c r="I327">
        <v>1240.1707764</v>
      </c>
      <c r="J327">
        <v>1194.9058838000001</v>
      </c>
      <c r="K327">
        <v>2750</v>
      </c>
      <c r="L327">
        <v>0</v>
      </c>
      <c r="M327">
        <v>0</v>
      </c>
      <c r="N327">
        <v>2750</v>
      </c>
    </row>
    <row r="328" spans="1:14" x14ac:dyDescent="0.25">
      <c r="A328">
        <v>92.451184999999995</v>
      </c>
      <c r="B328" s="1">
        <f>DATE(2010,8,1) + TIME(10,49,42)</f>
        <v>40391.451180555552</v>
      </c>
      <c r="C328">
        <v>80</v>
      </c>
      <c r="D328">
        <v>79.920455933</v>
      </c>
      <c r="E328">
        <v>50</v>
      </c>
      <c r="F328">
        <v>14.998497008999999</v>
      </c>
      <c r="G328">
        <v>1393.3499756000001</v>
      </c>
      <c r="H328">
        <v>1377.9394531</v>
      </c>
      <c r="I328">
        <v>1240.1765137</v>
      </c>
      <c r="J328">
        <v>1194.9112548999999</v>
      </c>
      <c r="K328">
        <v>2750</v>
      </c>
      <c r="L328">
        <v>0</v>
      </c>
      <c r="M328">
        <v>0</v>
      </c>
      <c r="N328">
        <v>2750</v>
      </c>
    </row>
    <row r="329" spans="1:14" x14ac:dyDescent="0.25">
      <c r="A329">
        <v>92.902368999999993</v>
      </c>
      <c r="B329" s="1">
        <f>DATE(2010,8,1) + TIME(21,39,24)</f>
        <v>40391.902361111112</v>
      </c>
      <c r="C329">
        <v>80</v>
      </c>
      <c r="D329">
        <v>79.920509338000002</v>
      </c>
      <c r="E329">
        <v>50</v>
      </c>
      <c r="F329">
        <v>14.998508452999999</v>
      </c>
      <c r="G329">
        <v>1393.3115233999999</v>
      </c>
      <c r="H329">
        <v>1377.9030762</v>
      </c>
      <c r="I329">
        <v>1240.1890868999999</v>
      </c>
      <c r="J329">
        <v>1194.9228516000001</v>
      </c>
      <c r="K329">
        <v>2750</v>
      </c>
      <c r="L329">
        <v>0</v>
      </c>
      <c r="M329">
        <v>0</v>
      </c>
      <c r="N329">
        <v>2750</v>
      </c>
    </row>
    <row r="330" spans="1:14" x14ac:dyDescent="0.25">
      <c r="A330">
        <v>93.353554000000003</v>
      </c>
      <c r="B330" s="1">
        <f>DATE(2010,8,2) + TIME(8,29,7)</f>
        <v>40392.35355324074</v>
      </c>
      <c r="C330">
        <v>80</v>
      </c>
      <c r="D330">
        <v>79.920555114999999</v>
      </c>
      <c r="E330">
        <v>50</v>
      </c>
      <c r="F330">
        <v>14.998519897</v>
      </c>
      <c r="G330">
        <v>1393.2728271000001</v>
      </c>
      <c r="H330">
        <v>1377.8665771000001</v>
      </c>
      <c r="I330">
        <v>1240.2017822</v>
      </c>
      <c r="J330">
        <v>1194.9348144999999</v>
      </c>
      <c r="K330">
        <v>2750</v>
      </c>
      <c r="L330">
        <v>0</v>
      </c>
      <c r="M330">
        <v>0</v>
      </c>
      <c r="N330">
        <v>2750</v>
      </c>
    </row>
    <row r="331" spans="1:14" x14ac:dyDescent="0.25">
      <c r="A331">
        <v>93.804738999999998</v>
      </c>
      <c r="B331" s="1">
        <f>DATE(2010,8,2) + TIME(19,18,49)</f>
        <v>40392.8047337963</v>
      </c>
      <c r="C331">
        <v>80</v>
      </c>
      <c r="D331">
        <v>79.920600891000007</v>
      </c>
      <c r="E331">
        <v>50</v>
      </c>
      <c r="F331">
        <v>14.998531342</v>
      </c>
      <c r="G331">
        <v>1393.234375</v>
      </c>
      <c r="H331">
        <v>1377.8303223</v>
      </c>
      <c r="I331">
        <v>1240.2145995999999</v>
      </c>
      <c r="J331">
        <v>1194.9467772999999</v>
      </c>
      <c r="K331">
        <v>2750</v>
      </c>
      <c r="L331">
        <v>0</v>
      </c>
      <c r="M331">
        <v>0</v>
      </c>
      <c r="N331">
        <v>2750</v>
      </c>
    </row>
    <row r="332" spans="1:14" x14ac:dyDescent="0.25">
      <c r="A332">
        <v>94.255922999999996</v>
      </c>
      <c r="B332" s="1">
        <f>DATE(2010,8,3) + TIME(6,8,31)</f>
        <v>40393.255914351852</v>
      </c>
      <c r="C332">
        <v>80</v>
      </c>
      <c r="D332">
        <v>79.920654296999999</v>
      </c>
      <c r="E332">
        <v>50</v>
      </c>
      <c r="F332">
        <v>14.998542786</v>
      </c>
      <c r="G332">
        <v>1393.1959228999999</v>
      </c>
      <c r="H332">
        <v>1377.7940673999999</v>
      </c>
      <c r="I332">
        <v>1240.2275391000001</v>
      </c>
      <c r="J332">
        <v>1194.9588623</v>
      </c>
      <c r="K332">
        <v>2750</v>
      </c>
      <c r="L332">
        <v>0</v>
      </c>
      <c r="M332">
        <v>0</v>
      </c>
      <c r="N332">
        <v>2750</v>
      </c>
    </row>
    <row r="333" spans="1:14" x14ac:dyDescent="0.25">
      <c r="A333">
        <v>94.707108000000005</v>
      </c>
      <c r="B333" s="1">
        <f>DATE(2010,8,3) + TIME(16,58,14)</f>
        <v>40393.707106481481</v>
      </c>
      <c r="C333">
        <v>80</v>
      </c>
      <c r="D333">
        <v>79.920700073000006</v>
      </c>
      <c r="E333">
        <v>50</v>
      </c>
      <c r="F333">
        <v>14.998553276000001</v>
      </c>
      <c r="G333">
        <v>1393.1577147999999</v>
      </c>
      <c r="H333">
        <v>1377.7580565999999</v>
      </c>
      <c r="I333">
        <v>1240.2404785000001</v>
      </c>
      <c r="J333">
        <v>1194.9709473</v>
      </c>
      <c r="K333">
        <v>2750</v>
      </c>
      <c r="L333">
        <v>0</v>
      </c>
      <c r="M333">
        <v>0</v>
      </c>
      <c r="N333">
        <v>2750</v>
      </c>
    </row>
    <row r="334" spans="1:14" x14ac:dyDescent="0.25">
      <c r="A334">
        <v>95.158293</v>
      </c>
      <c r="B334" s="1">
        <f>DATE(2010,8,4) + TIME(3,47,56)</f>
        <v>40394.15828703704</v>
      </c>
      <c r="C334">
        <v>80</v>
      </c>
      <c r="D334">
        <v>79.920753478999998</v>
      </c>
      <c r="E334">
        <v>50</v>
      </c>
      <c r="F334">
        <v>14.998564719999999</v>
      </c>
      <c r="G334">
        <v>1393.119751</v>
      </c>
      <c r="H334">
        <v>1377.722168</v>
      </c>
      <c r="I334">
        <v>1240.253418</v>
      </c>
      <c r="J334">
        <v>1194.9830322</v>
      </c>
      <c r="K334">
        <v>2750</v>
      </c>
      <c r="L334">
        <v>0</v>
      </c>
      <c r="M334">
        <v>0</v>
      </c>
      <c r="N334">
        <v>2750</v>
      </c>
    </row>
    <row r="335" spans="1:14" x14ac:dyDescent="0.25">
      <c r="A335">
        <v>95.609476999999998</v>
      </c>
      <c r="B335" s="1">
        <f>DATE(2010,8,4) + TIME(14,37,38)</f>
        <v>40394.609467592592</v>
      </c>
      <c r="C335">
        <v>80</v>
      </c>
      <c r="D335">
        <v>79.920799255000006</v>
      </c>
      <c r="E335">
        <v>50</v>
      </c>
      <c r="F335">
        <v>14.998576163999999</v>
      </c>
      <c r="G335">
        <v>1393.0817870999999</v>
      </c>
      <c r="H335">
        <v>1377.6864014</v>
      </c>
      <c r="I335">
        <v>1240.2666016000001</v>
      </c>
      <c r="J335">
        <v>1194.9953613</v>
      </c>
      <c r="K335">
        <v>2750</v>
      </c>
      <c r="L335">
        <v>0</v>
      </c>
      <c r="M335">
        <v>0</v>
      </c>
      <c r="N335">
        <v>2750</v>
      </c>
    </row>
    <row r="336" spans="1:14" x14ac:dyDescent="0.25">
      <c r="A336">
        <v>96.060661999999994</v>
      </c>
      <c r="B336" s="1">
        <f>DATE(2010,8,5) + TIME(1,27,21)</f>
        <v>40395.060659722221</v>
      </c>
      <c r="C336">
        <v>80</v>
      </c>
      <c r="D336">
        <v>79.920845032000003</v>
      </c>
      <c r="E336">
        <v>50</v>
      </c>
      <c r="F336">
        <v>14.998588562</v>
      </c>
      <c r="G336">
        <v>1393.0440673999999</v>
      </c>
      <c r="H336">
        <v>1377.6507568</v>
      </c>
      <c r="I336">
        <v>1240.2797852000001</v>
      </c>
      <c r="J336">
        <v>1195.0075684000001</v>
      </c>
      <c r="K336">
        <v>2750</v>
      </c>
      <c r="L336">
        <v>0</v>
      </c>
      <c r="M336">
        <v>0</v>
      </c>
      <c r="N336">
        <v>2750</v>
      </c>
    </row>
    <row r="337" spans="1:14" x14ac:dyDescent="0.25">
      <c r="A337">
        <v>96.511847000000003</v>
      </c>
      <c r="B337" s="1">
        <f>DATE(2010,8,5) + TIME(12,17,3)</f>
        <v>40395.511840277781</v>
      </c>
      <c r="C337">
        <v>80</v>
      </c>
      <c r="D337">
        <v>79.920898437999995</v>
      </c>
      <c r="E337">
        <v>50</v>
      </c>
      <c r="F337">
        <v>14.998600959999999</v>
      </c>
      <c r="G337">
        <v>1393.0065918</v>
      </c>
      <c r="H337">
        <v>1377.6153564000001</v>
      </c>
      <c r="I337">
        <v>1240.2929687999999</v>
      </c>
      <c r="J337">
        <v>1195.0198975000001</v>
      </c>
      <c r="K337">
        <v>2750</v>
      </c>
      <c r="L337">
        <v>0</v>
      </c>
      <c r="M337">
        <v>0</v>
      </c>
      <c r="N337">
        <v>2750</v>
      </c>
    </row>
    <row r="338" spans="1:14" x14ac:dyDescent="0.25">
      <c r="A338">
        <v>96.963031000000001</v>
      </c>
      <c r="B338" s="1">
        <f>DATE(2010,8,5) + TIME(23,6,45)</f>
        <v>40395.963020833333</v>
      </c>
      <c r="C338">
        <v>80</v>
      </c>
      <c r="D338">
        <v>79.920944214000002</v>
      </c>
      <c r="E338">
        <v>50</v>
      </c>
      <c r="F338">
        <v>14.998613358</v>
      </c>
      <c r="G338">
        <v>1392.9691161999999</v>
      </c>
      <c r="H338">
        <v>1377.5800781</v>
      </c>
      <c r="I338">
        <v>1240.3062743999999</v>
      </c>
      <c r="J338">
        <v>1195.0323486</v>
      </c>
      <c r="K338">
        <v>2750</v>
      </c>
      <c r="L338">
        <v>0</v>
      </c>
      <c r="M338">
        <v>0</v>
      </c>
      <c r="N338">
        <v>2750</v>
      </c>
    </row>
    <row r="339" spans="1:14" x14ac:dyDescent="0.25">
      <c r="A339">
        <v>97.414215999999996</v>
      </c>
      <c r="B339" s="1">
        <f>DATE(2010,8,6) + TIME(9,56,28)</f>
        <v>40396.414212962962</v>
      </c>
      <c r="C339">
        <v>80</v>
      </c>
      <c r="D339">
        <v>79.920989989999995</v>
      </c>
      <c r="E339">
        <v>50</v>
      </c>
      <c r="F339">
        <v>14.998626709</v>
      </c>
      <c r="G339">
        <v>1392.9318848</v>
      </c>
      <c r="H339">
        <v>1377.5447998</v>
      </c>
      <c r="I339">
        <v>1240.3197021000001</v>
      </c>
      <c r="J339">
        <v>1195.0447998</v>
      </c>
      <c r="K339">
        <v>2750</v>
      </c>
      <c r="L339">
        <v>0</v>
      </c>
      <c r="M339">
        <v>0</v>
      </c>
      <c r="N339">
        <v>2750</v>
      </c>
    </row>
    <row r="340" spans="1:14" x14ac:dyDescent="0.25">
      <c r="A340">
        <v>97.865401000000006</v>
      </c>
      <c r="B340" s="1">
        <f>DATE(2010,8,6) + TIME(20,46,10)</f>
        <v>40396.865393518521</v>
      </c>
      <c r="C340">
        <v>80</v>
      </c>
      <c r="D340">
        <v>79.921043396000002</v>
      </c>
      <c r="E340">
        <v>50</v>
      </c>
      <c r="F340">
        <v>14.99864006</v>
      </c>
      <c r="G340">
        <v>1392.8947754000001</v>
      </c>
      <c r="H340">
        <v>1377.5098877</v>
      </c>
      <c r="I340">
        <v>1240.3331298999999</v>
      </c>
      <c r="J340">
        <v>1195.0573730000001</v>
      </c>
      <c r="K340">
        <v>2750</v>
      </c>
      <c r="L340">
        <v>0</v>
      </c>
      <c r="M340">
        <v>0</v>
      </c>
      <c r="N340">
        <v>2750</v>
      </c>
    </row>
    <row r="341" spans="1:14" x14ac:dyDescent="0.25">
      <c r="A341">
        <v>98.316585000000003</v>
      </c>
      <c r="B341" s="1">
        <f>DATE(2010,8,7) + TIME(7,35,52)</f>
        <v>40397.316574074073</v>
      </c>
      <c r="C341">
        <v>80</v>
      </c>
      <c r="D341">
        <v>79.921089171999995</v>
      </c>
      <c r="E341">
        <v>50</v>
      </c>
      <c r="F341">
        <v>14.998653411999999</v>
      </c>
      <c r="G341">
        <v>1392.8577881000001</v>
      </c>
      <c r="H341">
        <v>1377.4749756000001</v>
      </c>
      <c r="I341">
        <v>1240.3466797000001</v>
      </c>
      <c r="J341">
        <v>1195.0699463000001</v>
      </c>
      <c r="K341">
        <v>2750</v>
      </c>
      <c r="L341">
        <v>0</v>
      </c>
      <c r="M341">
        <v>0</v>
      </c>
      <c r="N341">
        <v>2750</v>
      </c>
    </row>
    <row r="342" spans="1:14" x14ac:dyDescent="0.25">
      <c r="A342">
        <v>99.218954999999994</v>
      </c>
      <c r="B342" s="1">
        <f>DATE(2010,8,8) + TIME(5,15,17)</f>
        <v>40398.218946759262</v>
      </c>
      <c r="C342">
        <v>80</v>
      </c>
      <c r="D342">
        <v>79.921195983999993</v>
      </c>
      <c r="E342">
        <v>50</v>
      </c>
      <c r="F342">
        <v>14.998674393</v>
      </c>
      <c r="G342">
        <v>1392.8215332</v>
      </c>
      <c r="H342">
        <v>1377.4407959</v>
      </c>
      <c r="I342">
        <v>1240.3607178</v>
      </c>
      <c r="J342">
        <v>1195.0830077999999</v>
      </c>
      <c r="K342">
        <v>2750</v>
      </c>
      <c r="L342">
        <v>0</v>
      </c>
      <c r="M342">
        <v>0</v>
      </c>
      <c r="N342">
        <v>2750</v>
      </c>
    </row>
    <row r="343" spans="1:14" x14ac:dyDescent="0.25">
      <c r="A343">
        <v>100.123543</v>
      </c>
      <c r="B343" s="1">
        <f>DATE(2010,8,9) + TIME(2,57,54)</f>
        <v>40399.123541666668</v>
      </c>
      <c r="C343">
        <v>80</v>
      </c>
      <c r="D343">
        <v>79.921295165999993</v>
      </c>
      <c r="E343">
        <v>50</v>
      </c>
      <c r="F343">
        <v>14.998700142000001</v>
      </c>
      <c r="G343">
        <v>1392.7487793</v>
      </c>
      <c r="H343">
        <v>1377.3721923999999</v>
      </c>
      <c r="I343">
        <v>1240.3879394999999</v>
      </c>
      <c r="J343">
        <v>1195.1083983999999</v>
      </c>
      <c r="K343">
        <v>2750</v>
      </c>
      <c r="L343">
        <v>0</v>
      </c>
      <c r="M343">
        <v>0</v>
      </c>
      <c r="N343">
        <v>2750</v>
      </c>
    </row>
    <row r="344" spans="1:14" x14ac:dyDescent="0.25">
      <c r="A344">
        <v>101.03940299999999</v>
      </c>
      <c r="B344" s="1">
        <f>DATE(2010,8,10) + TIME(0,56,44)</f>
        <v>40400.039398148147</v>
      </c>
      <c r="C344">
        <v>80</v>
      </c>
      <c r="D344">
        <v>79.921394348000007</v>
      </c>
      <c r="E344">
        <v>50</v>
      </c>
      <c r="F344">
        <v>14.998731613</v>
      </c>
      <c r="G344">
        <v>1392.6761475000001</v>
      </c>
      <c r="H344">
        <v>1377.3035889</v>
      </c>
      <c r="I344">
        <v>1240.4156493999999</v>
      </c>
      <c r="J344">
        <v>1195.1341553</v>
      </c>
      <c r="K344">
        <v>2750</v>
      </c>
      <c r="L344">
        <v>0</v>
      </c>
      <c r="M344">
        <v>0</v>
      </c>
      <c r="N344">
        <v>2750</v>
      </c>
    </row>
    <row r="345" spans="1:14" x14ac:dyDescent="0.25">
      <c r="A345">
        <v>101.96798800000001</v>
      </c>
      <c r="B345" s="1">
        <f>DATE(2010,8,10) + TIME(23,13,54)</f>
        <v>40400.967986111114</v>
      </c>
      <c r="C345">
        <v>80</v>
      </c>
      <c r="D345">
        <v>79.921493530000006</v>
      </c>
      <c r="E345">
        <v>50</v>
      </c>
      <c r="F345">
        <v>14.998766899</v>
      </c>
      <c r="G345">
        <v>1392.6031493999999</v>
      </c>
      <c r="H345">
        <v>1377.2347411999999</v>
      </c>
      <c r="I345">
        <v>1240.4439697</v>
      </c>
      <c r="J345">
        <v>1195.1605225000001</v>
      </c>
      <c r="K345">
        <v>2750</v>
      </c>
      <c r="L345">
        <v>0</v>
      </c>
      <c r="M345">
        <v>0</v>
      </c>
      <c r="N345">
        <v>2750</v>
      </c>
    </row>
    <row r="346" spans="1:14" x14ac:dyDescent="0.25">
      <c r="A346">
        <v>102.91115499999999</v>
      </c>
      <c r="B346" s="1">
        <f>DATE(2010,8,11) + TIME(21,52,3)</f>
        <v>40401.911145833335</v>
      </c>
      <c r="C346">
        <v>80</v>
      </c>
      <c r="D346">
        <v>79.921592712000006</v>
      </c>
      <c r="E346">
        <v>50</v>
      </c>
      <c r="F346">
        <v>14.998806953000001</v>
      </c>
      <c r="G346">
        <v>1392.5296631000001</v>
      </c>
      <c r="H346">
        <v>1377.1654053</v>
      </c>
      <c r="I346">
        <v>1240.4731445</v>
      </c>
      <c r="J346">
        <v>1195.1875</v>
      </c>
      <c r="K346">
        <v>2750</v>
      </c>
      <c r="L346">
        <v>0</v>
      </c>
      <c r="M346">
        <v>0</v>
      </c>
      <c r="N346">
        <v>2750</v>
      </c>
    </row>
    <row r="347" spans="1:14" x14ac:dyDescent="0.25">
      <c r="A347">
        <v>103.383352</v>
      </c>
      <c r="B347" s="1">
        <f>DATE(2010,8,12) + TIME(9,12,1)</f>
        <v>40402.383344907408</v>
      </c>
      <c r="C347">
        <v>80</v>
      </c>
      <c r="D347">
        <v>79.921638489000003</v>
      </c>
      <c r="E347">
        <v>50</v>
      </c>
      <c r="F347">
        <v>14.998838425000001</v>
      </c>
      <c r="G347">
        <v>1392.4555664</v>
      </c>
      <c r="H347">
        <v>1377.0953368999999</v>
      </c>
      <c r="I347">
        <v>1240.5025635</v>
      </c>
      <c r="J347">
        <v>1195.2147216999999</v>
      </c>
      <c r="K347">
        <v>2750</v>
      </c>
      <c r="L347">
        <v>0</v>
      </c>
      <c r="M347">
        <v>0</v>
      </c>
      <c r="N347">
        <v>2750</v>
      </c>
    </row>
    <row r="348" spans="1:14" x14ac:dyDescent="0.25">
      <c r="A348">
        <v>103.855548</v>
      </c>
      <c r="B348" s="1">
        <f>DATE(2010,8,12) + TIME(20,31,59)</f>
        <v>40402.855543981481</v>
      </c>
      <c r="C348">
        <v>80</v>
      </c>
      <c r="D348">
        <v>79.921684264999996</v>
      </c>
      <c r="E348">
        <v>50</v>
      </c>
      <c r="F348">
        <v>14.998867989000001</v>
      </c>
      <c r="G348">
        <v>1392.4179687999999</v>
      </c>
      <c r="H348">
        <v>1377.0598144999999</v>
      </c>
      <c r="I348">
        <v>1240.5180664</v>
      </c>
      <c r="J348">
        <v>1195.229126</v>
      </c>
      <c r="K348">
        <v>2750</v>
      </c>
      <c r="L348">
        <v>0</v>
      </c>
      <c r="M348">
        <v>0</v>
      </c>
      <c r="N348">
        <v>2750</v>
      </c>
    </row>
    <row r="349" spans="1:14" x14ac:dyDescent="0.25">
      <c r="A349">
        <v>104.32774499999999</v>
      </c>
      <c r="B349" s="1">
        <f>DATE(2010,8,13) + TIME(7,51,57)</f>
        <v>40403.327743055554</v>
      </c>
      <c r="C349">
        <v>80</v>
      </c>
      <c r="D349">
        <v>79.921737671000002</v>
      </c>
      <c r="E349">
        <v>50</v>
      </c>
      <c r="F349">
        <v>14.998897552000001</v>
      </c>
      <c r="G349">
        <v>1392.3811035000001</v>
      </c>
      <c r="H349">
        <v>1377.0250243999999</v>
      </c>
      <c r="I349">
        <v>1240.5333252</v>
      </c>
      <c r="J349">
        <v>1195.2432861</v>
      </c>
      <c r="K349">
        <v>2750</v>
      </c>
      <c r="L349">
        <v>0</v>
      </c>
      <c r="M349">
        <v>0</v>
      </c>
      <c r="N349">
        <v>2750</v>
      </c>
    </row>
    <row r="350" spans="1:14" x14ac:dyDescent="0.25">
      <c r="A350">
        <v>104.799942</v>
      </c>
      <c r="B350" s="1">
        <f>DATE(2010,8,13) + TIME(19,11,54)</f>
        <v>40403.799930555557</v>
      </c>
      <c r="C350">
        <v>80</v>
      </c>
      <c r="D350">
        <v>79.921783446999996</v>
      </c>
      <c r="E350">
        <v>50</v>
      </c>
      <c r="F350">
        <v>14.998927116000001</v>
      </c>
      <c r="G350">
        <v>1392.3444824000001</v>
      </c>
      <c r="H350">
        <v>1376.9904785000001</v>
      </c>
      <c r="I350">
        <v>1240.5487060999999</v>
      </c>
      <c r="J350">
        <v>1195.2575684000001</v>
      </c>
      <c r="K350">
        <v>2750</v>
      </c>
      <c r="L350">
        <v>0</v>
      </c>
      <c r="M350">
        <v>0</v>
      </c>
      <c r="N350">
        <v>2750</v>
      </c>
    </row>
    <row r="351" spans="1:14" x14ac:dyDescent="0.25">
      <c r="A351">
        <v>105.272138</v>
      </c>
      <c r="B351" s="1">
        <f>DATE(2010,8,14) + TIME(6,31,52)</f>
        <v>40404.272129629629</v>
      </c>
      <c r="C351">
        <v>80</v>
      </c>
      <c r="D351">
        <v>79.921836853000002</v>
      </c>
      <c r="E351">
        <v>50</v>
      </c>
      <c r="F351">
        <v>14.998958588000001</v>
      </c>
      <c r="G351">
        <v>1392.3081055</v>
      </c>
      <c r="H351">
        <v>1376.9560547000001</v>
      </c>
      <c r="I351">
        <v>1240.5642089999999</v>
      </c>
      <c r="J351">
        <v>1195.2718506000001</v>
      </c>
      <c r="K351">
        <v>2750</v>
      </c>
      <c r="L351">
        <v>0</v>
      </c>
      <c r="M351">
        <v>0</v>
      </c>
      <c r="N351">
        <v>2750</v>
      </c>
    </row>
    <row r="352" spans="1:14" x14ac:dyDescent="0.25">
      <c r="A352">
        <v>105.74433500000001</v>
      </c>
      <c r="B352" s="1">
        <f>DATE(2010,8,14) + TIME(17,51,50)</f>
        <v>40404.744328703702</v>
      </c>
      <c r="C352">
        <v>80</v>
      </c>
      <c r="D352">
        <v>79.921890258999994</v>
      </c>
      <c r="E352">
        <v>50</v>
      </c>
      <c r="F352">
        <v>14.998991012999999</v>
      </c>
      <c r="G352">
        <v>1392.2717285000001</v>
      </c>
      <c r="H352">
        <v>1376.9217529</v>
      </c>
      <c r="I352">
        <v>1240.5798339999999</v>
      </c>
      <c r="J352">
        <v>1195.2862548999999</v>
      </c>
      <c r="K352">
        <v>2750</v>
      </c>
      <c r="L352">
        <v>0</v>
      </c>
      <c r="M352">
        <v>0</v>
      </c>
      <c r="N352">
        <v>2750</v>
      </c>
    </row>
    <row r="353" spans="1:14" x14ac:dyDescent="0.25">
      <c r="A353">
        <v>106.216532</v>
      </c>
      <c r="B353" s="1">
        <f>DATE(2010,8,15) + TIME(5,11,48)</f>
        <v>40405.216527777775</v>
      </c>
      <c r="C353">
        <v>80</v>
      </c>
      <c r="D353">
        <v>79.921936035000002</v>
      </c>
      <c r="E353">
        <v>50</v>
      </c>
      <c r="F353">
        <v>14.999024391000001</v>
      </c>
      <c r="G353">
        <v>1392.2355957</v>
      </c>
      <c r="H353">
        <v>1376.8875731999999</v>
      </c>
      <c r="I353">
        <v>1240.5955810999999</v>
      </c>
      <c r="J353">
        <v>1195.3007812000001</v>
      </c>
      <c r="K353">
        <v>2750</v>
      </c>
      <c r="L353">
        <v>0</v>
      </c>
      <c r="M353">
        <v>0</v>
      </c>
      <c r="N353">
        <v>2750</v>
      </c>
    </row>
    <row r="354" spans="1:14" x14ac:dyDescent="0.25">
      <c r="A354">
        <v>106.688728</v>
      </c>
      <c r="B354" s="1">
        <f>DATE(2010,8,15) + TIME(16,31,46)</f>
        <v>40405.688726851855</v>
      </c>
      <c r="C354">
        <v>80</v>
      </c>
      <c r="D354">
        <v>79.921989440999994</v>
      </c>
      <c r="E354">
        <v>50</v>
      </c>
      <c r="F354">
        <v>14.999060631000001</v>
      </c>
      <c r="G354">
        <v>1392.1994629000001</v>
      </c>
      <c r="H354">
        <v>1376.8533935999999</v>
      </c>
      <c r="I354">
        <v>1240.6113281</v>
      </c>
      <c r="J354">
        <v>1195.3154297000001</v>
      </c>
      <c r="K354">
        <v>2750</v>
      </c>
      <c r="L354">
        <v>0</v>
      </c>
      <c r="M354">
        <v>0</v>
      </c>
      <c r="N354">
        <v>2750</v>
      </c>
    </row>
    <row r="355" spans="1:14" x14ac:dyDescent="0.25">
      <c r="A355">
        <v>107.16092500000001</v>
      </c>
      <c r="B355" s="1">
        <f>DATE(2010,8,16) + TIME(3,51,43)</f>
        <v>40406.160914351851</v>
      </c>
      <c r="C355">
        <v>80</v>
      </c>
      <c r="D355">
        <v>79.922035217000001</v>
      </c>
      <c r="E355">
        <v>50</v>
      </c>
      <c r="F355">
        <v>14.999099730999999</v>
      </c>
      <c r="G355">
        <v>1392.1635742000001</v>
      </c>
      <c r="H355">
        <v>1376.8194579999999</v>
      </c>
      <c r="I355">
        <v>1240.6273193</v>
      </c>
      <c r="J355">
        <v>1195.3302002</v>
      </c>
      <c r="K355">
        <v>2750</v>
      </c>
      <c r="L355">
        <v>0</v>
      </c>
      <c r="M355">
        <v>0</v>
      </c>
      <c r="N355">
        <v>2750</v>
      </c>
    </row>
    <row r="356" spans="1:14" x14ac:dyDescent="0.25">
      <c r="A356">
        <v>107.633121</v>
      </c>
      <c r="B356" s="1">
        <f>DATE(2010,8,16) + TIME(15,11,41)</f>
        <v>40406.633113425924</v>
      </c>
      <c r="C356">
        <v>80</v>
      </c>
      <c r="D356">
        <v>79.922088622999993</v>
      </c>
      <c r="E356">
        <v>50</v>
      </c>
      <c r="F356">
        <v>14.999140739</v>
      </c>
      <c r="G356">
        <v>1392.1278076000001</v>
      </c>
      <c r="H356">
        <v>1376.7856445</v>
      </c>
      <c r="I356">
        <v>1240.6433105000001</v>
      </c>
      <c r="J356">
        <v>1195.3449707</v>
      </c>
      <c r="K356">
        <v>2750</v>
      </c>
      <c r="L356">
        <v>0</v>
      </c>
      <c r="M356">
        <v>0</v>
      </c>
      <c r="N356">
        <v>2750</v>
      </c>
    </row>
    <row r="357" spans="1:14" x14ac:dyDescent="0.25">
      <c r="A357">
        <v>108.105318</v>
      </c>
      <c r="B357" s="1">
        <f>DATE(2010,8,17) + TIME(2,31,39)</f>
        <v>40407.105312500003</v>
      </c>
      <c r="C357">
        <v>80</v>
      </c>
      <c r="D357">
        <v>79.922134399000001</v>
      </c>
      <c r="E357">
        <v>50</v>
      </c>
      <c r="F357">
        <v>14.999183655</v>
      </c>
      <c r="G357">
        <v>1392.0921631000001</v>
      </c>
      <c r="H357">
        <v>1376.7519531</v>
      </c>
      <c r="I357">
        <v>1240.6594238</v>
      </c>
      <c r="J357">
        <v>1195.3598632999999</v>
      </c>
      <c r="K357">
        <v>2750</v>
      </c>
      <c r="L357">
        <v>0</v>
      </c>
      <c r="M357">
        <v>0</v>
      </c>
      <c r="N357">
        <v>2750</v>
      </c>
    </row>
    <row r="358" spans="1:14" x14ac:dyDescent="0.25">
      <c r="A358">
        <v>108.57751500000001</v>
      </c>
      <c r="B358" s="1">
        <f>DATE(2010,8,17) + TIME(13,51,37)</f>
        <v>40407.577511574076</v>
      </c>
      <c r="C358">
        <v>80</v>
      </c>
      <c r="D358">
        <v>79.922187804999993</v>
      </c>
      <c r="E358">
        <v>50</v>
      </c>
      <c r="F358">
        <v>14.999230385000001</v>
      </c>
      <c r="G358">
        <v>1392.0566406</v>
      </c>
      <c r="H358">
        <v>1376.7183838000001</v>
      </c>
      <c r="I358">
        <v>1240.6756591999999</v>
      </c>
      <c r="J358">
        <v>1195.3748779</v>
      </c>
      <c r="K358">
        <v>2750</v>
      </c>
      <c r="L358">
        <v>0</v>
      </c>
      <c r="M358">
        <v>0</v>
      </c>
      <c r="N358">
        <v>2750</v>
      </c>
    </row>
    <row r="359" spans="1:14" x14ac:dyDescent="0.25">
      <c r="A359">
        <v>109.049711</v>
      </c>
      <c r="B359" s="1">
        <f>DATE(2010,8,18) + TIME(1,11,35)</f>
        <v>40408.049710648149</v>
      </c>
      <c r="C359">
        <v>80</v>
      </c>
      <c r="D359">
        <v>79.922241210999999</v>
      </c>
      <c r="E359">
        <v>50</v>
      </c>
      <c r="F359">
        <v>14.999279976</v>
      </c>
      <c r="G359">
        <v>1392.0212402</v>
      </c>
      <c r="H359">
        <v>1376.6849365</v>
      </c>
      <c r="I359">
        <v>1240.6920166</v>
      </c>
      <c r="J359">
        <v>1195.3898925999999</v>
      </c>
      <c r="K359">
        <v>2750</v>
      </c>
      <c r="L359">
        <v>0</v>
      </c>
      <c r="M359">
        <v>0</v>
      </c>
      <c r="N359">
        <v>2750</v>
      </c>
    </row>
    <row r="360" spans="1:14" x14ac:dyDescent="0.25">
      <c r="A360">
        <v>109.521908</v>
      </c>
      <c r="B360" s="1">
        <f>DATE(2010,8,18) + TIME(12,31,32)</f>
        <v>40408.521898148145</v>
      </c>
      <c r="C360">
        <v>80</v>
      </c>
      <c r="D360">
        <v>79.922286987000007</v>
      </c>
      <c r="E360">
        <v>50</v>
      </c>
      <c r="F360">
        <v>14.999333382</v>
      </c>
      <c r="G360">
        <v>1391.9859618999999</v>
      </c>
      <c r="H360">
        <v>1376.6516113</v>
      </c>
      <c r="I360">
        <v>1240.7084961</v>
      </c>
      <c r="J360">
        <v>1195.4051514</v>
      </c>
      <c r="K360">
        <v>2750</v>
      </c>
      <c r="L360">
        <v>0</v>
      </c>
      <c r="M360">
        <v>0</v>
      </c>
      <c r="N360">
        <v>2750</v>
      </c>
    </row>
    <row r="361" spans="1:14" x14ac:dyDescent="0.25">
      <c r="A361">
        <v>110.466301</v>
      </c>
      <c r="B361" s="1">
        <f>DATE(2010,8,19) + TIME(11,11,28)</f>
        <v>40409.466296296298</v>
      </c>
      <c r="C361">
        <v>80</v>
      </c>
      <c r="D361">
        <v>79.922393799000005</v>
      </c>
      <c r="E361">
        <v>50</v>
      </c>
      <c r="F361">
        <v>14.999415398</v>
      </c>
      <c r="G361">
        <v>1391.9512939000001</v>
      </c>
      <c r="H361">
        <v>1376.6188964999999</v>
      </c>
      <c r="I361">
        <v>1240.7254639</v>
      </c>
      <c r="J361">
        <v>1195.4208983999999</v>
      </c>
      <c r="K361">
        <v>2750</v>
      </c>
      <c r="L361">
        <v>0</v>
      </c>
      <c r="M361">
        <v>0</v>
      </c>
      <c r="N361">
        <v>2750</v>
      </c>
    </row>
    <row r="362" spans="1:14" x14ac:dyDescent="0.25">
      <c r="A362">
        <v>111.413342</v>
      </c>
      <c r="B362" s="1">
        <f>DATE(2010,8,20) + TIME(9,55,12)</f>
        <v>40410.41333333333</v>
      </c>
      <c r="C362">
        <v>80</v>
      </c>
      <c r="D362">
        <v>79.92250061</v>
      </c>
      <c r="E362">
        <v>50</v>
      </c>
      <c r="F362">
        <v>14.999526024</v>
      </c>
      <c r="G362">
        <v>1391.8818358999999</v>
      </c>
      <c r="H362">
        <v>1376.5533447</v>
      </c>
      <c r="I362">
        <v>1240.7587891000001</v>
      </c>
      <c r="J362">
        <v>1195.4514160000001</v>
      </c>
      <c r="K362">
        <v>2750</v>
      </c>
      <c r="L362">
        <v>0</v>
      </c>
      <c r="M362">
        <v>0</v>
      </c>
      <c r="N362">
        <v>2750</v>
      </c>
    </row>
    <row r="363" spans="1:14" x14ac:dyDescent="0.25">
      <c r="A363">
        <v>112.37363499999999</v>
      </c>
      <c r="B363" s="1">
        <f>DATE(2010,8,21) + TIME(8,58,2)</f>
        <v>40411.37363425926</v>
      </c>
      <c r="C363">
        <v>80</v>
      </c>
      <c r="D363">
        <v>79.922599792</v>
      </c>
      <c r="E363">
        <v>50</v>
      </c>
      <c r="F363">
        <v>14.999661445999999</v>
      </c>
      <c r="G363">
        <v>1391.8123779</v>
      </c>
      <c r="H363">
        <v>1376.4875488</v>
      </c>
      <c r="I363">
        <v>1240.7926024999999</v>
      </c>
      <c r="J363">
        <v>1195.4826660000001</v>
      </c>
      <c r="K363">
        <v>2750</v>
      </c>
      <c r="L363">
        <v>0</v>
      </c>
      <c r="M363">
        <v>0</v>
      </c>
      <c r="N363">
        <v>2750</v>
      </c>
    </row>
    <row r="364" spans="1:14" x14ac:dyDescent="0.25">
      <c r="A364">
        <v>112.86136500000001</v>
      </c>
      <c r="B364" s="1">
        <f>DATE(2010,8,21) + TIME(20,40,21)</f>
        <v>40411.861354166664</v>
      </c>
      <c r="C364">
        <v>80</v>
      </c>
      <c r="D364">
        <v>79.922645568999997</v>
      </c>
      <c r="E364">
        <v>50</v>
      </c>
      <c r="F364">
        <v>14.999773979</v>
      </c>
      <c r="G364">
        <v>1391.7423096</v>
      </c>
      <c r="H364">
        <v>1376.4212646000001</v>
      </c>
      <c r="I364">
        <v>1240.8270264</v>
      </c>
      <c r="J364">
        <v>1195.5142822</v>
      </c>
      <c r="K364">
        <v>2750</v>
      </c>
      <c r="L364">
        <v>0</v>
      </c>
      <c r="M364">
        <v>0</v>
      </c>
      <c r="N364">
        <v>2750</v>
      </c>
    </row>
    <row r="365" spans="1:14" x14ac:dyDescent="0.25">
      <c r="A365">
        <v>113.34909500000001</v>
      </c>
      <c r="B365" s="1">
        <f>DATE(2010,8,22) + TIME(8,22,41)</f>
        <v>40412.349085648151</v>
      </c>
      <c r="C365">
        <v>80</v>
      </c>
      <c r="D365">
        <v>79.922691345000004</v>
      </c>
      <c r="E365">
        <v>50</v>
      </c>
      <c r="F365">
        <v>14.999882698</v>
      </c>
      <c r="G365">
        <v>1391.7060547000001</v>
      </c>
      <c r="H365">
        <v>1376.3870850000001</v>
      </c>
      <c r="I365">
        <v>1240.8453368999999</v>
      </c>
      <c r="J365">
        <v>1195.5310059000001</v>
      </c>
      <c r="K365">
        <v>2750</v>
      </c>
      <c r="L365">
        <v>0</v>
      </c>
      <c r="M365">
        <v>0</v>
      </c>
      <c r="N365">
        <v>2750</v>
      </c>
    </row>
    <row r="366" spans="1:14" x14ac:dyDescent="0.25">
      <c r="A366">
        <v>113.836826</v>
      </c>
      <c r="B366" s="1">
        <f>DATE(2010,8,22) + TIME(20,5,1)</f>
        <v>40412.836817129632</v>
      </c>
      <c r="C366">
        <v>80</v>
      </c>
      <c r="D366">
        <v>79.922744750999996</v>
      </c>
      <c r="E366">
        <v>50</v>
      </c>
      <c r="F366">
        <v>14.999992370999999</v>
      </c>
      <c r="G366">
        <v>1391.6707764</v>
      </c>
      <c r="H366">
        <v>1376.3536377</v>
      </c>
      <c r="I366">
        <v>1240.8635254000001</v>
      </c>
      <c r="J366">
        <v>1195.5477295000001</v>
      </c>
      <c r="K366">
        <v>2750</v>
      </c>
      <c r="L366">
        <v>0</v>
      </c>
      <c r="M366">
        <v>0</v>
      </c>
      <c r="N366">
        <v>2750</v>
      </c>
    </row>
    <row r="367" spans="1:14" x14ac:dyDescent="0.25">
      <c r="A367">
        <v>114.324556</v>
      </c>
      <c r="B367" s="1">
        <f>DATE(2010,8,23) + TIME(7,47,21)</f>
        <v>40413.324548611112</v>
      </c>
      <c r="C367">
        <v>80</v>
      </c>
      <c r="D367">
        <v>79.922798157000003</v>
      </c>
      <c r="E367">
        <v>50</v>
      </c>
      <c r="F367">
        <v>15.000105858</v>
      </c>
      <c r="G367">
        <v>1391.6356201000001</v>
      </c>
      <c r="H367">
        <v>1376.3204346</v>
      </c>
      <c r="I367">
        <v>1240.8817139</v>
      </c>
      <c r="J367">
        <v>1195.5644531</v>
      </c>
      <c r="K367">
        <v>2750</v>
      </c>
      <c r="L367">
        <v>0</v>
      </c>
      <c r="M367">
        <v>0</v>
      </c>
      <c r="N367">
        <v>2750</v>
      </c>
    </row>
    <row r="368" spans="1:14" x14ac:dyDescent="0.25">
      <c r="A368">
        <v>114.812286</v>
      </c>
      <c r="B368" s="1">
        <f>DATE(2010,8,23) + TIME(19,29,41)</f>
        <v>40413.812280092592</v>
      </c>
      <c r="C368">
        <v>80</v>
      </c>
      <c r="D368">
        <v>79.922843932999996</v>
      </c>
      <c r="E368">
        <v>50</v>
      </c>
      <c r="F368">
        <v>15.000225067000001</v>
      </c>
      <c r="G368">
        <v>1391.6005858999999</v>
      </c>
      <c r="H368">
        <v>1376.2872314000001</v>
      </c>
      <c r="I368">
        <v>1240.9001464999999</v>
      </c>
      <c r="J368">
        <v>1195.5814209</v>
      </c>
      <c r="K368">
        <v>2750</v>
      </c>
      <c r="L368">
        <v>0</v>
      </c>
      <c r="M368">
        <v>0</v>
      </c>
      <c r="N368">
        <v>2750</v>
      </c>
    </row>
    <row r="369" spans="1:14" x14ac:dyDescent="0.25">
      <c r="A369">
        <v>115.300016</v>
      </c>
      <c r="B369" s="1">
        <f>DATE(2010,8,24) + TIME(7,12,1)</f>
        <v>40414.300011574072</v>
      </c>
      <c r="C369">
        <v>80</v>
      </c>
      <c r="D369">
        <v>79.922897339000002</v>
      </c>
      <c r="E369">
        <v>50</v>
      </c>
      <c r="F369">
        <v>15.000350952</v>
      </c>
      <c r="G369">
        <v>1391.5656738</v>
      </c>
      <c r="H369">
        <v>1376.2541504000001</v>
      </c>
      <c r="I369">
        <v>1240.9188231999999</v>
      </c>
      <c r="J369">
        <v>1195.5985106999999</v>
      </c>
      <c r="K369">
        <v>2750</v>
      </c>
      <c r="L369">
        <v>0</v>
      </c>
      <c r="M369">
        <v>0</v>
      </c>
      <c r="N369">
        <v>2750</v>
      </c>
    </row>
    <row r="370" spans="1:14" x14ac:dyDescent="0.25">
      <c r="A370">
        <v>115.787747</v>
      </c>
      <c r="B370" s="1">
        <f>DATE(2010,8,24) + TIME(18,54,21)</f>
        <v>40414.787743055553</v>
      </c>
      <c r="C370">
        <v>80</v>
      </c>
      <c r="D370">
        <v>79.922950744999994</v>
      </c>
      <c r="E370">
        <v>50</v>
      </c>
      <c r="F370">
        <v>15.000486373999999</v>
      </c>
      <c r="G370">
        <v>1391.5307617000001</v>
      </c>
      <c r="H370">
        <v>1376.2213135</v>
      </c>
      <c r="I370">
        <v>1240.9375</v>
      </c>
      <c r="J370">
        <v>1195.6157227000001</v>
      </c>
      <c r="K370">
        <v>2750</v>
      </c>
      <c r="L370">
        <v>0</v>
      </c>
      <c r="M370">
        <v>0</v>
      </c>
      <c r="N370">
        <v>2750</v>
      </c>
    </row>
    <row r="371" spans="1:14" x14ac:dyDescent="0.25">
      <c r="A371">
        <v>116.275477</v>
      </c>
      <c r="B371" s="1">
        <f>DATE(2010,8,25) + TIME(6,36,41)</f>
        <v>40415.27547453704</v>
      </c>
      <c r="C371">
        <v>80</v>
      </c>
      <c r="D371">
        <v>79.923004149999997</v>
      </c>
      <c r="E371">
        <v>50</v>
      </c>
      <c r="F371">
        <v>15.000630379</v>
      </c>
      <c r="G371">
        <v>1391.4960937999999</v>
      </c>
      <c r="H371">
        <v>1376.1884766000001</v>
      </c>
      <c r="I371">
        <v>1240.9564209</v>
      </c>
      <c r="J371">
        <v>1195.6330565999999</v>
      </c>
      <c r="K371">
        <v>2750</v>
      </c>
      <c r="L371">
        <v>0</v>
      </c>
      <c r="M371">
        <v>0</v>
      </c>
      <c r="N371">
        <v>2750</v>
      </c>
    </row>
    <row r="372" spans="1:14" x14ac:dyDescent="0.25">
      <c r="A372">
        <v>116.76320699999999</v>
      </c>
      <c r="B372" s="1">
        <f>DATE(2010,8,25) + TIME(18,19,1)</f>
        <v>40415.763206018521</v>
      </c>
      <c r="C372">
        <v>80</v>
      </c>
      <c r="D372">
        <v>79.923049926999994</v>
      </c>
      <c r="E372">
        <v>50</v>
      </c>
      <c r="F372">
        <v>15.000784874000001</v>
      </c>
      <c r="G372">
        <v>1391.4615478999999</v>
      </c>
      <c r="H372">
        <v>1376.1556396000001</v>
      </c>
      <c r="I372">
        <v>1240.9754639</v>
      </c>
      <c r="J372">
        <v>1195.6505127</v>
      </c>
      <c r="K372">
        <v>2750</v>
      </c>
      <c r="L372">
        <v>0</v>
      </c>
      <c r="M372">
        <v>0</v>
      </c>
      <c r="N372">
        <v>2750</v>
      </c>
    </row>
    <row r="373" spans="1:14" x14ac:dyDescent="0.25">
      <c r="A373">
        <v>117.250938</v>
      </c>
      <c r="B373" s="1">
        <f>DATE(2010,8,26) + TIME(6,1,21)</f>
        <v>40416.250937500001</v>
      </c>
      <c r="C373">
        <v>80</v>
      </c>
      <c r="D373">
        <v>79.923103333</v>
      </c>
      <c r="E373">
        <v>50</v>
      </c>
      <c r="F373">
        <v>15.00094986</v>
      </c>
      <c r="G373">
        <v>1391.427124</v>
      </c>
      <c r="H373">
        <v>1376.1230469</v>
      </c>
      <c r="I373">
        <v>1240.9946289</v>
      </c>
      <c r="J373">
        <v>1195.6680908000001</v>
      </c>
      <c r="K373">
        <v>2750</v>
      </c>
      <c r="L373">
        <v>0</v>
      </c>
      <c r="M373">
        <v>0</v>
      </c>
      <c r="N373">
        <v>2750</v>
      </c>
    </row>
    <row r="374" spans="1:14" x14ac:dyDescent="0.25">
      <c r="A374">
        <v>117.738668</v>
      </c>
      <c r="B374" s="1">
        <f>DATE(2010,8,26) + TIME(17,43,40)</f>
        <v>40416.738657407404</v>
      </c>
      <c r="C374">
        <v>80</v>
      </c>
      <c r="D374">
        <v>79.923156738000003</v>
      </c>
      <c r="E374">
        <v>50</v>
      </c>
      <c r="F374">
        <v>15.001127242999999</v>
      </c>
      <c r="G374">
        <v>1391.3927002</v>
      </c>
      <c r="H374">
        <v>1376.0905762</v>
      </c>
      <c r="I374">
        <v>1241.0140381000001</v>
      </c>
      <c r="J374">
        <v>1195.6857910000001</v>
      </c>
      <c r="K374">
        <v>2750</v>
      </c>
      <c r="L374">
        <v>0</v>
      </c>
      <c r="M374">
        <v>0</v>
      </c>
      <c r="N374">
        <v>2750</v>
      </c>
    </row>
    <row r="375" spans="1:14" x14ac:dyDescent="0.25">
      <c r="A375">
        <v>118.226398</v>
      </c>
      <c r="B375" s="1">
        <f>DATE(2010,8,27) + TIME(5,26,0)</f>
        <v>40417.226388888892</v>
      </c>
      <c r="C375">
        <v>80</v>
      </c>
      <c r="D375">
        <v>79.923202515</v>
      </c>
      <c r="E375">
        <v>50</v>
      </c>
      <c r="F375">
        <v>15.001317977999999</v>
      </c>
      <c r="G375">
        <v>1391.3585204999999</v>
      </c>
      <c r="H375">
        <v>1376.0581055</v>
      </c>
      <c r="I375">
        <v>1241.0335693</v>
      </c>
      <c r="J375">
        <v>1195.7036132999999</v>
      </c>
      <c r="K375">
        <v>2750</v>
      </c>
      <c r="L375">
        <v>0</v>
      </c>
      <c r="M375">
        <v>0</v>
      </c>
      <c r="N375">
        <v>2750</v>
      </c>
    </row>
    <row r="376" spans="1:14" x14ac:dyDescent="0.25">
      <c r="A376">
        <v>118.714128</v>
      </c>
      <c r="B376" s="1">
        <f>DATE(2010,8,27) + TIME(17,8,20)</f>
        <v>40417.714120370372</v>
      </c>
      <c r="C376">
        <v>80</v>
      </c>
      <c r="D376">
        <v>79.923255920000003</v>
      </c>
      <c r="E376">
        <v>50</v>
      </c>
      <c r="F376">
        <v>15.001521111000001</v>
      </c>
      <c r="G376">
        <v>1391.3243408000001</v>
      </c>
      <c r="H376">
        <v>1376.0257568</v>
      </c>
      <c r="I376">
        <v>1241.0532227000001</v>
      </c>
      <c r="J376">
        <v>1195.7216797000001</v>
      </c>
      <c r="K376">
        <v>2750</v>
      </c>
      <c r="L376">
        <v>0</v>
      </c>
      <c r="M376">
        <v>0</v>
      </c>
      <c r="N376">
        <v>2750</v>
      </c>
    </row>
    <row r="377" spans="1:14" x14ac:dyDescent="0.25">
      <c r="A377">
        <v>119.201859</v>
      </c>
      <c r="B377" s="1">
        <f>DATE(2010,8,28) + TIME(4,50,40)</f>
        <v>40418.201851851853</v>
      </c>
      <c r="C377">
        <v>80</v>
      </c>
      <c r="D377">
        <v>79.923309325999995</v>
      </c>
      <c r="E377">
        <v>50</v>
      </c>
      <c r="F377">
        <v>15.001739502</v>
      </c>
      <c r="G377">
        <v>1391.2902832</v>
      </c>
      <c r="H377">
        <v>1375.9936522999999</v>
      </c>
      <c r="I377">
        <v>1241.0729980000001</v>
      </c>
      <c r="J377">
        <v>1195.7398682</v>
      </c>
      <c r="K377">
        <v>2750</v>
      </c>
      <c r="L377">
        <v>0</v>
      </c>
      <c r="M377">
        <v>0</v>
      </c>
      <c r="N377">
        <v>2750</v>
      </c>
    </row>
    <row r="378" spans="1:14" x14ac:dyDescent="0.25">
      <c r="A378">
        <v>119.689397</v>
      </c>
      <c r="B378" s="1">
        <f>DATE(2010,8,28) + TIME(16,32,43)</f>
        <v>40418.689386574071</v>
      </c>
      <c r="C378">
        <v>80</v>
      </c>
      <c r="D378">
        <v>79.923355103000006</v>
      </c>
      <c r="E378">
        <v>50</v>
      </c>
      <c r="F378">
        <v>15.001974106</v>
      </c>
      <c r="G378">
        <v>1391.2564697</v>
      </c>
      <c r="H378">
        <v>1375.9614257999999</v>
      </c>
      <c r="I378">
        <v>1241.0930175999999</v>
      </c>
      <c r="J378">
        <v>1195.7581786999999</v>
      </c>
      <c r="K378">
        <v>2750</v>
      </c>
      <c r="L378">
        <v>0</v>
      </c>
      <c r="M378">
        <v>0</v>
      </c>
      <c r="N378">
        <v>2750</v>
      </c>
    </row>
    <row r="379" spans="1:14" x14ac:dyDescent="0.25">
      <c r="A379">
        <v>120.17619500000001</v>
      </c>
      <c r="B379" s="1">
        <f>DATE(2010,8,29) + TIME(4,13,43)</f>
        <v>40419.176192129627</v>
      </c>
      <c r="C379">
        <v>80</v>
      </c>
      <c r="D379">
        <v>79.923408507999994</v>
      </c>
      <c r="E379">
        <v>50</v>
      </c>
      <c r="F379">
        <v>15.002223968999999</v>
      </c>
      <c r="G379">
        <v>1391.2226562000001</v>
      </c>
      <c r="H379">
        <v>1375.9294434000001</v>
      </c>
      <c r="I379">
        <v>1241.1132812000001</v>
      </c>
      <c r="J379">
        <v>1195.7766113</v>
      </c>
      <c r="K379">
        <v>2750</v>
      </c>
      <c r="L379">
        <v>0</v>
      </c>
      <c r="M379">
        <v>0</v>
      </c>
      <c r="N379">
        <v>2750</v>
      </c>
    </row>
    <row r="380" spans="1:14" x14ac:dyDescent="0.25">
      <c r="A380">
        <v>121.14868800000001</v>
      </c>
      <c r="B380" s="1">
        <f>DATE(2010,8,30) + TIME(3,34,6)</f>
        <v>40420.148680555554</v>
      </c>
      <c r="C380">
        <v>80</v>
      </c>
      <c r="D380">
        <v>79.923515320000007</v>
      </c>
      <c r="E380">
        <v>50</v>
      </c>
      <c r="F380">
        <v>15.002610207</v>
      </c>
      <c r="G380">
        <v>1391.1893310999999</v>
      </c>
      <c r="H380">
        <v>1375.8980713000001</v>
      </c>
      <c r="I380">
        <v>1241.1339111</v>
      </c>
      <c r="J380">
        <v>1195.7957764</v>
      </c>
      <c r="K380">
        <v>2750</v>
      </c>
      <c r="L380">
        <v>0</v>
      </c>
      <c r="M380">
        <v>0</v>
      </c>
      <c r="N380">
        <v>2750</v>
      </c>
    </row>
    <row r="381" spans="1:14" x14ac:dyDescent="0.25">
      <c r="A381">
        <v>122.124866</v>
      </c>
      <c r="B381" s="1">
        <f>DATE(2010,8,31) + TIME(2,59,48)</f>
        <v>40421.124861111108</v>
      </c>
      <c r="C381">
        <v>80</v>
      </c>
      <c r="D381">
        <v>79.923622131000002</v>
      </c>
      <c r="E381">
        <v>50</v>
      </c>
      <c r="F381">
        <v>15.003134727000001</v>
      </c>
      <c r="G381">
        <v>1391.1229248</v>
      </c>
      <c r="H381">
        <v>1375.8352050999999</v>
      </c>
      <c r="I381">
        <v>1241.1746826000001</v>
      </c>
      <c r="J381">
        <v>1195.8330077999999</v>
      </c>
      <c r="K381">
        <v>2750</v>
      </c>
      <c r="L381">
        <v>0</v>
      </c>
      <c r="M381">
        <v>0</v>
      </c>
      <c r="N381">
        <v>2750</v>
      </c>
    </row>
    <row r="382" spans="1:14" x14ac:dyDescent="0.25">
      <c r="A382">
        <v>123</v>
      </c>
      <c r="B382" s="1">
        <f>DATE(2010,9,1) + TIME(0,0,0)</f>
        <v>40422</v>
      </c>
      <c r="C382">
        <v>80</v>
      </c>
      <c r="D382">
        <v>79.923706054999997</v>
      </c>
      <c r="E382">
        <v>50</v>
      </c>
      <c r="F382">
        <v>15.003740311</v>
      </c>
      <c r="G382">
        <v>1391.0562743999999</v>
      </c>
      <c r="H382">
        <v>1375.7719727000001</v>
      </c>
      <c r="I382">
        <v>1241.2164307</v>
      </c>
      <c r="J382">
        <v>1195.8710937999999</v>
      </c>
      <c r="K382">
        <v>2750</v>
      </c>
      <c r="L382">
        <v>0</v>
      </c>
      <c r="M382">
        <v>0</v>
      </c>
      <c r="N382">
        <v>2750</v>
      </c>
    </row>
    <row r="383" spans="1:14" x14ac:dyDescent="0.25">
      <c r="A383">
        <v>123.991648</v>
      </c>
      <c r="B383" s="1">
        <f>DATE(2010,9,1) + TIME(23,47,58)</f>
        <v>40422.991643518515</v>
      </c>
      <c r="C383">
        <v>80</v>
      </c>
      <c r="D383">
        <v>79.923812866000006</v>
      </c>
      <c r="E383">
        <v>50</v>
      </c>
      <c r="F383">
        <v>15.004457474000001</v>
      </c>
      <c r="G383">
        <v>1390.9968262</v>
      </c>
      <c r="H383">
        <v>1375.7156981999999</v>
      </c>
      <c r="I383">
        <v>1241.2547606999999</v>
      </c>
      <c r="J383">
        <v>1195.90625</v>
      </c>
      <c r="K383">
        <v>2750</v>
      </c>
      <c r="L383">
        <v>0</v>
      </c>
      <c r="M383">
        <v>0</v>
      </c>
      <c r="N383">
        <v>2750</v>
      </c>
    </row>
    <row r="384" spans="1:14" x14ac:dyDescent="0.25">
      <c r="A384">
        <v>124.489836</v>
      </c>
      <c r="B384" s="1">
        <f>DATE(2010,9,2) + TIME(11,45,21)</f>
        <v>40423.48982638889</v>
      </c>
      <c r="C384">
        <v>80</v>
      </c>
      <c r="D384">
        <v>79.923858643000003</v>
      </c>
      <c r="E384">
        <v>50</v>
      </c>
      <c r="F384">
        <v>15.005047798</v>
      </c>
      <c r="G384">
        <v>1390.9299315999999</v>
      </c>
      <c r="H384">
        <v>1375.6523437999999</v>
      </c>
      <c r="I384">
        <v>1241.2983397999999</v>
      </c>
      <c r="J384">
        <v>1195.9456786999999</v>
      </c>
      <c r="K384">
        <v>2750</v>
      </c>
      <c r="L384">
        <v>0</v>
      </c>
      <c r="M384">
        <v>0</v>
      </c>
      <c r="N384">
        <v>2750</v>
      </c>
    </row>
    <row r="385" spans="1:14" x14ac:dyDescent="0.25">
      <c r="A385">
        <v>125.469711</v>
      </c>
      <c r="B385" s="1">
        <f>DATE(2010,9,3) + TIME(11,16,23)</f>
        <v>40424.469710648147</v>
      </c>
      <c r="C385">
        <v>80</v>
      </c>
      <c r="D385">
        <v>79.923965453999998</v>
      </c>
      <c r="E385">
        <v>50</v>
      </c>
      <c r="F385">
        <v>15.005859375</v>
      </c>
      <c r="G385">
        <v>1390.8959961</v>
      </c>
      <c r="H385">
        <v>1375.6201172000001</v>
      </c>
      <c r="I385">
        <v>1241.3214111</v>
      </c>
      <c r="J385">
        <v>1195.9671631000001</v>
      </c>
      <c r="K385">
        <v>2750</v>
      </c>
      <c r="L385">
        <v>0</v>
      </c>
      <c r="M385">
        <v>0</v>
      </c>
      <c r="N385">
        <v>2750</v>
      </c>
    </row>
    <row r="386" spans="1:14" x14ac:dyDescent="0.25">
      <c r="A386">
        <v>126.458646</v>
      </c>
      <c r="B386" s="1">
        <f>DATE(2010,9,4) + TIME(11,0,27)</f>
        <v>40425.458645833336</v>
      </c>
      <c r="C386">
        <v>80</v>
      </c>
      <c r="D386">
        <v>79.924064635999997</v>
      </c>
      <c r="E386">
        <v>50</v>
      </c>
      <c r="F386">
        <v>15.006856918</v>
      </c>
      <c r="G386">
        <v>1390.8308105000001</v>
      </c>
      <c r="H386">
        <v>1375.5583495999999</v>
      </c>
      <c r="I386">
        <v>1241.3659668</v>
      </c>
      <c r="J386">
        <v>1196.0079346</v>
      </c>
      <c r="K386">
        <v>2750</v>
      </c>
      <c r="L386">
        <v>0</v>
      </c>
      <c r="M386">
        <v>0</v>
      </c>
      <c r="N386">
        <v>2750</v>
      </c>
    </row>
    <row r="387" spans="1:14" x14ac:dyDescent="0.25">
      <c r="A387">
        <v>127.44838</v>
      </c>
      <c r="B387" s="1">
        <f>DATE(2010,9,5) + TIME(10,45,40)</f>
        <v>40426.448379629626</v>
      </c>
      <c r="C387">
        <v>80</v>
      </c>
      <c r="D387">
        <v>79.924171447999996</v>
      </c>
      <c r="E387">
        <v>50</v>
      </c>
      <c r="F387">
        <v>15.008026123</v>
      </c>
      <c r="G387">
        <v>1390.7650146000001</v>
      </c>
      <c r="H387">
        <v>1375.4959716999999</v>
      </c>
      <c r="I387">
        <v>1241.4119873</v>
      </c>
      <c r="J387">
        <v>1196.0500488</v>
      </c>
      <c r="K387">
        <v>2750</v>
      </c>
      <c r="L387">
        <v>0</v>
      </c>
      <c r="M387">
        <v>0</v>
      </c>
      <c r="N387">
        <v>2750</v>
      </c>
    </row>
    <row r="388" spans="1:14" x14ac:dyDescent="0.25">
      <c r="A388">
        <v>128.44162</v>
      </c>
      <c r="B388" s="1">
        <f>DATE(2010,9,6) + TIME(10,35,55)</f>
        <v>40427.441608796296</v>
      </c>
      <c r="C388">
        <v>80</v>
      </c>
      <c r="D388">
        <v>79.924270629999995</v>
      </c>
      <c r="E388">
        <v>50</v>
      </c>
      <c r="F388">
        <v>15.009372710999999</v>
      </c>
      <c r="G388">
        <v>1390.6994629000001</v>
      </c>
      <c r="H388">
        <v>1375.4339600000001</v>
      </c>
      <c r="I388">
        <v>1241.4591064000001</v>
      </c>
      <c r="J388">
        <v>1196.0931396000001</v>
      </c>
      <c r="K388">
        <v>2750</v>
      </c>
      <c r="L388">
        <v>0</v>
      </c>
      <c r="M388">
        <v>0</v>
      </c>
      <c r="N388">
        <v>2750</v>
      </c>
    </row>
    <row r="389" spans="1:14" x14ac:dyDescent="0.25">
      <c r="A389">
        <v>128.94061199999999</v>
      </c>
      <c r="B389" s="1">
        <f>DATE(2010,9,6) + TIME(22,34,28)</f>
        <v>40427.940601851849</v>
      </c>
      <c r="C389">
        <v>80</v>
      </c>
      <c r="D389">
        <v>79.924316406000003</v>
      </c>
      <c r="E389">
        <v>50</v>
      </c>
      <c r="F389">
        <v>15.010447502</v>
      </c>
      <c r="G389">
        <v>1390.6340332</v>
      </c>
      <c r="H389">
        <v>1375.3718262</v>
      </c>
      <c r="I389">
        <v>1241.5069579999999</v>
      </c>
      <c r="J389">
        <v>1196.1364745999999</v>
      </c>
      <c r="K389">
        <v>2750</v>
      </c>
      <c r="L389">
        <v>0</v>
      </c>
      <c r="M389">
        <v>0</v>
      </c>
      <c r="N389">
        <v>2750</v>
      </c>
    </row>
    <row r="390" spans="1:14" x14ac:dyDescent="0.25">
      <c r="A390">
        <v>129.439605</v>
      </c>
      <c r="B390" s="1">
        <f>DATE(2010,9,7) + TIME(10,33,1)</f>
        <v>40428.43959490741</v>
      </c>
      <c r="C390">
        <v>80</v>
      </c>
      <c r="D390">
        <v>79.924362183</v>
      </c>
      <c r="E390">
        <v>50</v>
      </c>
      <c r="F390">
        <v>15.011477470000001</v>
      </c>
      <c r="G390">
        <v>1390.6005858999999</v>
      </c>
      <c r="H390">
        <v>1375.3400879000001</v>
      </c>
      <c r="I390">
        <v>1241.5319824000001</v>
      </c>
      <c r="J390">
        <v>1196.1595459</v>
      </c>
      <c r="K390">
        <v>2750</v>
      </c>
      <c r="L390">
        <v>0</v>
      </c>
      <c r="M390">
        <v>0</v>
      </c>
      <c r="N390">
        <v>2750</v>
      </c>
    </row>
    <row r="391" spans="1:14" x14ac:dyDescent="0.25">
      <c r="A391">
        <v>129.93859699999999</v>
      </c>
      <c r="B391" s="1">
        <f>DATE(2010,9,7) + TIME(22,31,34)</f>
        <v>40428.938587962963</v>
      </c>
      <c r="C391">
        <v>80</v>
      </c>
      <c r="D391">
        <v>79.924415588000002</v>
      </c>
      <c r="E391">
        <v>50</v>
      </c>
      <c r="F391">
        <v>15.012504578</v>
      </c>
      <c r="G391">
        <v>1390.5678711</v>
      </c>
      <c r="H391">
        <v>1375.309082</v>
      </c>
      <c r="I391">
        <v>1241.5570068</v>
      </c>
      <c r="J391">
        <v>1196.1826172000001</v>
      </c>
      <c r="K391">
        <v>2750</v>
      </c>
      <c r="L391">
        <v>0</v>
      </c>
      <c r="M391">
        <v>0</v>
      </c>
      <c r="N391">
        <v>2750</v>
      </c>
    </row>
    <row r="392" spans="1:14" x14ac:dyDescent="0.25">
      <c r="A392">
        <v>130.437589</v>
      </c>
      <c r="B392" s="1">
        <f>DATE(2010,9,8) + TIME(10,30,7)</f>
        <v>40429.437581018516</v>
      </c>
      <c r="C392">
        <v>80</v>
      </c>
      <c r="D392">
        <v>79.924468993999994</v>
      </c>
      <c r="E392">
        <v>50</v>
      </c>
      <c r="F392">
        <v>15.013558388</v>
      </c>
      <c r="G392">
        <v>1390.5352783000001</v>
      </c>
      <c r="H392">
        <v>1375.2780762</v>
      </c>
      <c r="I392">
        <v>1241.5822754000001</v>
      </c>
      <c r="J392">
        <v>1196.2058105000001</v>
      </c>
      <c r="K392">
        <v>2750</v>
      </c>
      <c r="L392">
        <v>0</v>
      </c>
      <c r="M392">
        <v>0</v>
      </c>
      <c r="N392">
        <v>2750</v>
      </c>
    </row>
    <row r="393" spans="1:14" x14ac:dyDescent="0.25">
      <c r="A393">
        <v>130.93658199999999</v>
      </c>
      <c r="B393" s="1">
        <f>DATE(2010,9,8) + TIME(22,28,40)</f>
        <v>40429.936574074076</v>
      </c>
      <c r="C393">
        <v>80</v>
      </c>
      <c r="D393">
        <v>79.924514771000005</v>
      </c>
      <c r="E393">
        <v>50</v>
      </c>
      <c r="F393">
        <v>15.014655113</v>
      </c>
      <c r="G393">
        <v>1390.5028076000001</v>
      </c>
      <c r="H393">
        <v>1375.2471923999999</v>
      </c>
      <c r="I393">
        <v>1241.6077881000001</v>
      </c>
      <c r="J393">
        <v>1196.2293701000001</v>
      </c>
      <c r="K393">
        <v>2750</v>
      </c>
      <c r="L393">
        <v>0</v>
      </c>
      <c r="M393">
        <v>0</v>
      </c>
      <c r="N393">
        <v>2750</v>
      </c>
    </row>
    <row r="394" spans="1:14" x14ac:dyDescent="0.25">
      <c r="A394">
        <v>131.435574</v>
      </c>
      <c r="B394" s="1">
        <f>DATE(2010,9,9) + TIME(10,27,13)</f>
        <v>40430.435567129629</v>
      </c>
      <c r="C394">
        <v>80</v>
      </c>
      <c r="D394">
        <v>79.924568175999994</v>
      </c>
      <c r="E394">
        <v>50</v>
      </c>
      <c r="F394">
        <v>15.015809059</v>
      </c>
      <c r="G394">
        <v>1390.4703368999999</v>
      </c>
      <c r="H394">
        <v>1375.2164307</v>
      </c>
      <c r="I394">
        <v>1241.6336670000001</v>
      </c>
      <c r="J394">
        <v>1196.2531738</v>
      </c>
      <c r="K394">
        <v>2750</v>
      </c>
      <c r="L394">
        <v>0</v>
      </c>
      <c r="M394">
        <v>0</v>
      </c>
      <c r="N394">
        <v>2750</v>
      </c>
    </row>
    <row r="395" spans="1:14" x14ac:dyDescent="0.25">
      <c r="A395">
        <v>131.93456699999999</v>
      </c>
      <c r="B395" s="1">
        <f>DATE(2010,9,9) + TIME(22,25,46)</f>
        <v>40430.934560185182</v>
      </c>
      <c r="C395">
        <v>80</v>
      </c>
      <c r="D395">
        <v>79.924621582</v>
      </c>
      <c r="E395">
        <v>50</v>
      </c>
      <c r="F395">
        <v>15.017029762</v>
      </c>
      <c r="G395">
        <v>1390.4379882999999</v>
      </c>
      <c r="H395">
        <v>1375.1856689000001</v>
      </c>
      <c r="I395">
        <v>1241.6599120999999</v>
      </c>
      <c r="J395">
        <v>1196.2772216999999</v>
      </c>
      <c r="K395">
        <v>2750</v>
      </c>
      <c r="L395">
        <v>0</v>
      </c>
      <c r="M395">
        <v>0</v>
      </c>
      <c r="N395">
        <v>2750</v>
      </c>
    </row>
    <row r="396" spans="1:14" x14ac:dyDescent="0.25">
      <c r="A396">
        <v>132.433559</v>
      </c>
      <c r="B396" s="1">
        <f>DATE(2010,9,10) + TIME(10,24,19)</f>
        <v>40431.433553240742</v>
      </c>
      <c r="C396">
        <v>80</v>
      </c>
      <c r="D396">
        <v>79.924667357999994</v>
      </c>
      <c r="E396">
        <v>50</v>
      </c>
      <c r="F396">
        <v>15.018323898</v>
      </c>
      <c r="G396">
        <v>1390.4057617000001</v>
      </c>
      <c r="H396">
        <v>1375.1550293</v>
      </c>
      <c r="I396">
        <v>1241.6864014</v>
      </c>
      <c r="J396">
        <v>1196.3016356999999</v>
      </c>
      <c r="K396">
        <v>2750</v>
      </c>
      <c r="L396">
        <v>0</v>
      </c>
      <c r="M396">
        <v>0</v>
      </c>
      <c r="N396">
        <v>2750</v>
      </c>
    </row>
    <row r="397" spans="1:14" x14ac:dyDescent="0.25">
      <c r="A397">
        <v>132.93255099999999</v>
      </c>
      <c r="B397" s="1">
        <f>DATE(2010,9,10) + TIME(22,22,52)</f>
        <v>40431.932546296295</v>
      </c>
      <c r="C397">
        <v>80</v>
      </c>
      <c r="D397">
        <v>79.924720764</v>
      </c>
      <c r="E397">
        <v>50</v>
      </c>
      <c r="F397">
        <v>15.019698142999999</v>
      </c>
      <c r="G397">
        <v>1390.3735352000001</v>
      </c>
      <c r="H397">
        <v>1375.1245117000001</v>
      </c>
      <c r="I397">
        <v>1241.7131348</v>
      </c>
      <c r="J397">
        <v>1196.3264160000001</v>
      </c>
      <c r="K397">
        <v>2750</v>
      </c>
      <c r="L397">
        <v>0</v>
      </c>
      <c r="M397">
        <v>0</v>
      </c>
      <c r="N397">
        <v>2750</v>
      </c>
    </row>
    <row r="398" spans="1:14" x14ac:dyDescent="0.25">
      <c r="A398">
        <v>133.431544</v>
      </c>
      <c r="B398" s="1">
        <f>DATE(2010,9,11) + TIME(10,21,25)</f>
        <v>40432.431539351855</v>
      </c>
      <c r="C398">
        <v>80</v>
      </c>
      <c r="D398">
        <v>79.924774170000006</v>
      </c>
      <c r="E398">
        <v>50</v>
      </c>
      <c r="F398">
        <v>15.021160126</v>
      </c>
      <c r="G398">
        <v>1390.3414307</v>
      </c>
      <c r="H398">
        <v>1375.0939940999999</v>
      </c>
      <c r="I398">
        <v>1241.7402344</v>
      </c>
      <c r="J398">
        <v>1196.3514404</v>
      </c>
      <c r="K398">
        <v>2750</v>
      </c>
      <c r="L398">
        <v>0</v>
      </c>
      <c r="M398">
        <v>0</v>
      </c>
      <c r="N398">
        <v>2750</v>
      </c>
    </row>
    <row r="399" spans="1:14" x14ac:dyDescent="0.25">
      <c r="A399">
        <v>133.93053599999999</v>
      </c>
      <c r="B399" s="1">
        <f>DATE(2010,9,11) + TIME(22,19,58)</f>
        <v>40432.930532407408</v>
      </c>
      <c r="C399">
        <v>80</v>
      </c>
      <c r="D399">
        <v>79.924819946</v>
      </c>
      <c r="E399">
        <v>50</v>
      </c>
      <c r="F399">
        <v>15.022714615</v>
      </c>
      <c r="G399">
        <v>1390.3094481999999</v>
      </c>
      <c r="H399">
        <v>1375.0635986</v>
      </c>
      <c r="I399">
        <v>1241.7677002</v>
      </c>
      <c r="J399">
        <v>1196.3767089999999</v>
      </c>
      <c r="K399">
        <v>2750</v>
      </c>
      <c r="L399">
        <v>0</v>
      </c>
      <c r="M399">
        <v>0</v>
      </c>
      <c r="N399">
        <v>2750</v>
      </c>
    </row>
    <row r="400" spans="1:14" x14ac:dyDescent="0.25">
      <c r="A400">
        <v>134.429528</v>
      </c>
      <c r="B400" s="1">
        <f>DATE(2010,9,12) + TIME(10,18,31)</f>
        <v>40433.429525462961</v>
      </c>
      <c r="C400">
        <v>80</v>
      </c>
      <c r="D400">
        <v>79.924873352000006</v>
      </c>
      <c r="E400">
        <v>50</v>
      </c>
      <c r="F400">
        <v>15.024367332000001</v>
      </c>
      <c r="G400">
        <v>1390.2774658000001</v>
      </c>
      <c r="H400">
        <v>1375.0332031</v>
      </c>
      <c r="I400">
        <v>1241.7955322</v>
      </c>
      <c r="J400">
        <v>1196.4024658000001</v>
      </c>
      <c r="K400">
        <v>2750</v>
      </c>
      <c r="L400">
        <v>0</v>
      </c>
      <c r="M400">
        <v>0</v>
      </c>
      <c r="N400">
        <v>2750</v>
      </c>
    </row>
    <row r="401" spans="1:14" x14ac:dyDescent="0.25">
      <c r="A401">
        <v>134.92852099999999</v>
      </c>
      <c r="B401" s="1">
        <f>DATE(2010,9,12) + TIME(22,17,4)</f>
        <v>40433.928518518522</v>
      </c>
      <c r="C401">
        <v>80</v>
      </c>
      <c r="D401">
        <v>79.924926757999998</v>
      </c>
      <c r="E401">
        <v>50</v>
      </c>
      <c r="F401">
        <v>15.026124000999999</v>
      </c>
      <c r="G401">
        <v>1390.2456055</v>
      </c>
      <c r="H401">
        <v>1375.0029297000001</v>
      </c>
      <c r="I401">
        <v>1241.8236084</v>
      </c>
      <c r="J401">
        <v>1196.4284668</v>
      </c>
      <c r="K401">
        <v>2750</v>
      </c>
      <c r="L401">
        <v>0</v>
      </c>
      <c r="M401">
        <v>0</v>
      </c>
      <c r="N401">
        <v>2750</v>
      </c>
    </row>
    <row r="402" spans="1:14" x14ac:dyDescent="0.25">
      <c r="A402">
        <v>135.42603700000001</v>
      </c>
      <c r="B402" s="1">
        <f>DATE(2010,9,13) + TIME(10,13,29)</f>
        <v>40434.426030092596</v>
      </c>
      <c r="C402">
        <v>80</v>
      </c>
      <c r="D402">
        <v>79.924972534000005</v>
      </c>
      <c r="E402">
        <v>50</v>
      </c>
      <c r="F402">
        <v>15.027988433999999</v>
      </c>
      <c r="G402">
        <v>1390.2137451000001</v>
      </c>
      <c r="H402">
        <v>1374.9727783000001</v>
      </c>
      <c r="I402">
        <v>1241.8520507999999</v>
      </c>
      <c r="J402">
        <v>1196.4548339999999</v>
      </c>
      <c r="K402">
        <v>2750</v>
      </c>
      <c r="L402">
        <v>0</v>
      </c>
      <c r="M402">
        <v>0</v>
      </c>
      <c r="N402">
        <v>2750</v>
      </c>
    </row>
    <row r="403" spans="1:14" x14ac:dyDescent="0.25">
      <c r="A403">
        <v>135.92204699999999</v>
      </c>
      <c r="B403" s="1">
        <f>DATE(2010,9,13) + TIME(22,7,44)</f>
        <v>40434.922037037039</v>
      </c>
      <c r="C403">
        <v>80</v>
      </c>
      <c r="D403">
        <v>79.925025939999998</v>
      </c>
      <c r="E403">
        <v>50</v>
      </c>
      <c r="F403">
        <v>15.029965401</v>
      </c>
      <c r="G403">
        <v>1390.1821289</v>
      </c>
      <c r="H403">
        <v>1374.9426269999999</v>
      </c>
      <c r="I403">
        <v>1241.8807373</v>
      </c>
      <c r="J403">
        <v>1196.4815673999999</v>
      </c>
      <c r="K403">
        <v>2750</v>
      </c>
      <c r="L403">
        <v>0</v>
      </c>
      <c r="M403">
        <v>0</v>
      </c>
      <c r="N403">
        <v>2750</v>
      </c>
    </row>
    <row r="404" spans="1:14" x14ac:dyDescent="0.25">
      <c r="A404">
        <v>136.416752</v>
      </c>
      <c r="B404" s="1">
        <f>DATE(2010,9,14) + TIME(10,0,7)</f>
        <v>40435.416747685187</v>
      </c>
      <c r="C404">
        <v>80</v>
      </c>
      <c r="D404">
        <v>79.925071716000005</v>
      </c>
      <c r="E404">
        <v>50</v>
      </c>
      <c r="F404">
        <v>15.032060623</v>
      </c>
      <c r="G404">
        <v>1390.1506348</v>
      </c>
      <c r="H404">
        <v>1374.9127197</v>
      </c>
      <c r="I404">
        <v>1241.9097899999999</v>
      </c>
      <c r="J404">
        <v>1196.5085449000001</v>
      </c>
      <c r="K404">
        <v>2750</v>
      </c>
      <c r="L404">
        <v>0</v>
      </c>
      <c r="M404">
        <v>0</v>
      </c>
      <c r="N404">
        <v>2750</v>
      </c>
    </row>
    <row r="405" spans="1:14" x14ac:dyDescent="0.25">
      <c r="A405">
        <v>136.91034300000001</v>
      </c>
      <c r="B405" s="1">
        <f>DATE(2010,9,14) + TIME(21,50,53)</f>
        <v>40435.91033564815</v>
      </c>
      <c r="C405">
        <v>80</v>
      </c>
      <c r="D405">
        <v>79.925125121999997</v>
      </c>
      <c r="E405">
        <v>50</v>
      </c>
      <c r="F405">
        <v>15.034280776999999</v>
      </c>
      <c r="G405">
        <v>1390.1193848</v>
      </c>
      <c r="H405">
        <v>1374.8829346</v>
      </c>
      <c r="I405">
        <v>1241.9390868999999</v>
      </c>
      <c r="J405">
        <v>1196.5358887</v>
      </c>
      <c r="K405">
        <v>2750</v>
      </c>
      <c r="L405">
        <v>0</v>
      </c>
      <c r="M405">
        <v>0</v>
      </c>
      <c r="N405">
        <v>2750</v>
      </c>
    </row>
    <row r="406" spans="1:14" x14ac:dyDescent="0.25">
      <c r="A406">
        <v>137.403019</v>
      </c>
      <c r="B406" s="1">
        <f>DATE(2010,9,15) + TIME(9,40,20)</f>
        <v>40436.403009259258</v>
      </c>
      <c r="C406">
        <v>80</v>
      </c>
      <c r="D406">
        <v>79.925170898000005</v>
      </c>
      <c r="E406">
        <v>50</v>
      </c>
      <c r="F406">
        <v>15.036630629999999</v>
      </c>
      <c r="G406">
        <v>1390.0881348</v>
      </c>
      <c r="H406">
        <v>1374.8532714999999</v>
      </c>
      <c r="I406">
        <v>1241.9686279</v>
      </c>
      <c r="J406">
        <v>1196.5635986</v>
      </c>
      <c r="K406">
        <v>2750</v>
      </c>
      <c r="L406">
        <v>0</v>
      </c>
      <c r="M406">
        <v>0</v>
      </c>
      <c r="N406">
        <v>2750</v>
      </c>
    </row>
    <row r="407" spans="1:14" x14ac:dyDescent="0.25">
      <c r="A407">
        <v>137.89497299999999</v>
      </c>
      <c r="B407" s="1">
        <f>DATE(2010,9,15) + TIME(21,28,45)</f>
        <v>40436.894965277781</v>
      </c>
      <c r="C407">
        <v>80</v>
      </c>
      <c r="D407">
        <v>79.925224303999997</v>
      </c>
      <c r="E407">
        <v>50</v>
      </c>
      <c r="F407">
        <v>15.039120673999999</v>
      </c>
      <c r="G407">
        <v>1390.0571289</v>
      </c>
      <c r="H407">
        <v>1374.8237305</v>
      </c>
      <c r="I407">
        <v>1241.9986572</v>
      </c>
      <c r="J407">
        <v>1196.5915527</v>
      </c>
      <c r="K407">
        <v>2750</v>
      </c>
      <c r="L407">
        <v>0</v>
      </c>
      <c r="M407">
        <v>0</v>
      </c>
      <c r="N407">
        <v>2750</v>
      </c>
    </row>
    <row r="408" spans="1:14" x14ac:dyDescent="0.25">
      <c r="A408">
        <v>138.877825</v>
      </c>
      <c r="B408" s="1">
        <f>DATE(2010,9,16) + TIME(21,4,4)</f>
        <v>40437.877824074072</v>
      </c>
      <c r="C408">
        <v>80</v>
      </c>
      <c r="D408">
        <v>79.925331115999995</v>
      </c>
      <c r="E408">
        <v>50</v>
      </c>
      <c r="F408">
        <v>15.04291153</v>
      </c>
      <c r="G408">
        <v>1390.0263672000001</v>
      </c>
      <c r="H408">
        <v>1374.7945557</v>
      </c>
      <c r="I408">
        <v>1242.0288086</v>
      </c>
      <c r="J408">
        <v>1196.6209716999999</v>
      </c>
      <c r="K408">
        <v>2750</v>
      </c>
      <c r="L408">
        <v>0</v>
      </c>
      <c r="M408">
        <v>0</v>
      </c>
      <c r="N408">
        <v>2750</v>
      </c>
    </row>
    <row r="409" spans="1:14" x14ac:dyDescent="0.25">
      <c r="A409">
        <v>139.865566</v>
      </c>
      <c r="B409" s="1">
        <f>DATE(2010,9,17) + TIME(20,46,24)</f>
        <v>40438.865555555552</v>
      </c>
      <c r="C409">
        <v>80</v>
      </c>
      <c r="D409">
        <v>79.925430297999995</v>
      </c>
      <c r="E409">
        <v>50</v>
      </c>
      <c r="F409">
        <v>15.047995566999999</v>
      </c>
      <c r="G409">
        <v>1389.9652100000001</v>
      </c>
      <c r="H409">
        <v>1374.7364502</v>
      </c>
      <c r="I409">
        <v>1242.0899658000001</v>
      </c>
      <c r="J409">
        <v>1196.6781006000001</v>
      </c>
      <c r="K409">
        <v>2750</v>
      </c>
      <c r="L409">
        <v>0</v>
      </c>
      <c r="M409">
        <v>0</v>
      </c>
      <c r="N409">
        <v>2750</v>
      </c>
    </row>
    <row r="410" spans="1:14" x14ac:dyDescent="0.25">
      <c r="A410">
        <v>140.87177399999999</v>
      </c>
      <c r="B410" s="1">
        <f>DATE(2010,9,18) + TIME(20,55,21)</f>
        <v>40439.871770833335</v>
      </c>
      <c r="C410">
        <v>80</v>
      </c>
      <c r="D410">
        <v>79.925529479999994</v>
      </c>
      <c r="E410">
        <v>50</v>
      </c>
      <c r="F410">
        <v>15.054109573</v>
      </c>
      <c r="G410">
        <v>1389.9035644999999</v>
      </c>
      <c r="H410">
        <v>1374.6778564000001</v>
      </c>
      <c r="I410">
        <v>1242.1531981999999</v>
      </c>
      <c r="J410">
        <v>1196.7376709</v>
      </c>
      <c r="K410">
        <v>2750</v>
      </c>
      <c r="L410">
        <v>0</v>
      </c>
      <c r="M410">
        <v>0</v>
      </c>
      <c r="N410">
        <v>2750</v>
      </c>
    </row>
    <row r="411" spans="1:14" x14ac:dyDescent="0.25">
      <c r="A411">
        <v>141.38194799999999</v>
      </c>
      <c r="B411" s="1">
        <f>DATE(2010,9,19) + TIME(9,10,0)</f>
        <v>40440.381944444445</v>
      </c>
      <c r="C411">
        <v>80</v>
      </c>
      <c r="D411">
        <v>79.925575256000002</v>
      </c>
      <c r="E411">
        <v>50</v>
      </c>
      <c r="F411">
        <v>15.059080123999999</v>
      </c>
      <c r="G411">
        <v>1389.8411865</v>
      </c>
      <c r="H411">
        <v>1374.6184082</v>
      </c>
      <c r="I411">
        <v>1242.2197266000001</v>
      </c>
      <c r="J411">
        <v>1196.7987060999999</v>
      </c>
      <c r="K411">
        <v>2750</v>
      </c>
      <c r="L411">
        <v>0</v>
      </c>
      <c r="M411">
        <v>0</v>
      </c>
      <c r="N411">
        <v>2750</v>
      </c>
    </row>
    <row r="412" spans="1:14" x14ac:dyDescent="0.25">
      <c r="A412">
        <v>142.35244399999999</v>
      </c>
      <c r="B412" s="1">
        <f>DATE(2010,9,20) + TIME(8,27,31)</f>
        <v>40441.352442129632</v>
      </c>
      <c r="C412">
        <v>80</v>
      </c>
      <c r="D412">
        <v>79.925674438000001</v>
      </c>
      <c r="E412">
        <v>50</v>
      </c>
      <c r="F412">
        <v>15.06571579</v>
      </c>
      <c r="G412">
        <v>1389.8089600000001</v>
      </c>
      <c r="H412">
        <v>1374.5877685999999</v>
      </c>
      <c r="I412">
        <v>1242.2537841999999</v>
      </c>
      <c r="J412">
        <v>1196.8336182</v>
      </c>
      <c r="K412">
        <v>2750</v>
      </c>
      <c r="L412">
        <v>0</v>
      </c>
      <c r="M412">
        <v>0</v>
      </c>
      <c r="N412">
        <v>2750</v>
      </c>
    </row>
    <row r="413" spans="1:14" x14ac:dyDescent="0.25">
      <c r="A413">
        <v>143.36162300000001</v>
      </c>
      <c r="B413" s="1">
        <f>DATE(2010,9,21) + TIME(8,40,44)</f>
        <v>40442.361620370371</v>
      </c>
      <c r="C413">
        <v>80</v>
      </c>
      <c r="D413">
        <v>79.925773621000005</v>
      </c>
      <c r="E413">
        <v>50</v>
      </c>
      <c r="F413">
        <v>15.073749542</v>
      </c>
      <c r="G413">
        <v>1389.7493896000001</v>
      </c>
      <c r="H413">
        <v>1374.5310059000001</v>
      </c>
      <c r="I413">
        <v>1242.3201904</v>
      </c>
      <c r="J413">
        <v>1196.8970947</v>
      </c>
      <c r="K413">
        <v>2750</v>
      </c>
      <c r="L413">
        <v>0</v>
      </c>
      <c r="M413">
        <v>0</v>
      </c>
      <c r="N413">
        <v>2750</v>
      </c>
    </row>
    <row r="414" spans="1:14" x14ac:dyDescent="0.25">
      <c r="A414">
        <v>144.370878</v>
      </c>
      <c r="B414" s="1">
        <f>DATE(2010,9,22) + TIME(8,54,3)</f>
        <v>40443.370868055557</v>
      </c>
      <c r="C414">
        <v>80</v>
      </c>
      <c r="D414">
        <v>79.925880432</v>
      </c>
      <c r="E414">
        <v>50</v>
      </c>
      <c r="F414">
        <v>15.083069801000001</v>
      </c>
      <c r="G414">
        <v>1389.6872559000001</v>
      </c>
      <c r="H414">
        <v>1374.4718018000001</v>
      </c>
      <c r="I414">
        <v>1242.3913574000001</v>
      </c>
      <c r="J414">
        <v>1196.9654541</v>
      </c>
      <c r="K414">
        <v>2750</v>
      </c>
      <c r="L414">
        <v>0</v>
      </c>
      <c r="M414">
        <v>0</v>
      </c>
      <c r="N414">
        <v>2750</v>
      </c>
    </row>
    <row r="415" spans="1:14" x14ac:dyDescent="0.25">
      <c r="A415">
        <v>144.87707700000001</v>
      </c>
      <c r="B415" s="1">
        <f>DATE(2010,9,22) + TIME(21,2,59)</f>
        <v>40443.877071759256</v>
      </c>
      <c r="C415">
        <v>80</v>
      </c>
      <c r="D415">
        <v>79.925926208000007</v>
      </c>
      <c r="E415">
        <v>50</v>
      </c>
      <c r="F415">
        <v>15.090463637999999</v>
      </c>
      <c r="G415">
        <v>1389.6253661999999</v>
      </c>
      <c r="H415">
        <v>1374.4128418</v>
      </c>
      <c r="I415">
        <v>1242.4654541</v>
      </c>
      <c r="J415">
        <v>1197.0344238</v>
      </c>
      <c r="K415">
        <v>2750</v>
      </c>
      <c r="L415">
        <v>0</v>
      </c>
      <c r="M415">
        <v>0</v>
      </c>
      <c r="N415">
        <v>2750</v>
      </c>
    </row>
    <row r="416" spans="1:14" x14ac:dyDescent="0.25">
      <c r="A416">
        <v>145.383276</v>
      </c>
      <c r="B416" s="1">
        <f>DATE(2010,9,23) + TIME(9,11,55)</f>
        <v>40444.383275462962</v>
      </c>
      <c r="C416">
        <v>80</v>
      </c>
      <c r="D416">
        <v>79.925971985000004</v>
      </c>
      <c r="E416">
        <v>50</v>
      </c>
      <c r="F416">
        <v>15.097474097999999</v>
      </c>
      <c r="G416">
        <v>1389.5935059000001</v>
      </c>
      <c r="H416">
        <v>1374.3825684000001</v>
      </c>
      <c r="I416">
        <v>1242.5031738</v>
      </c>
      <c r="J416">
        <v>1197.0723877</v>
      </c>
      <c r="K416">
        <v>2750</v>
      </c>
      <c r="L416">
        <v>0</v>
      </c>
      <c r="M416">
        <v>0</v>
      </c>
      <c r="N416">
        <v>2750</v>
      </c>
    </row>
    <row r="417" spans="1:14" x14ac:dyDescent="0.25">
      <c r="A417">
        <v>145.88947400000001</v>
      </c>
      <c r="B417" s="1">
        <f>DATE(2010,9,23) + TIME(21,20,50)</f>
        <v>40444.889467592591</v>
      </c>
      <c r="C417">
        <v>80</v>
      </c>
      <c r="D417">
        <v>79.926017760999997</v>
      </c>
      <c r="E417">
        <v>50</v>
      </c>
      <c r="F417">
        <v>15.104400634999999</v>
      </c>
      <c r="G417">
        <v>1389.5623779</v>
      </c>
      <c r="H417">
        <v>1374.3529053</v>
      </c>
      <c r="I417">
        <v>1242.5413818</v>
      </c>
      <c r="J417">
        <v>1197.1104736</v>
      </c>
      <c r="K417">
        <v>2750</v>
      </c>
      <c r="L417">
        <v>0</v>
      </c>
      <c r="M417">
        <v>0</v>
      </c>
      <c r="N417">
        <v>2750</v>
      </c>
    </row>
    <row r="418" spans="1:14" x14ac:dyDescent="0.25">
      <c r="A418">
        <v>146.39567299999999</v>
      </c>
      <c r="B418" s="1">
        <f>DATE(2010,9,24) + TIME(9,29,46)</f>
        <v>40445.395671296297</v>
      </c>
      <c r="C418">
        <v>80</v>
      </c>
      <c r="D418">
        <v>79.926071167000003</v>
      </c>
      <c r="E418">
        <v>50</v>
      </c>
      <c r="F418">
        <v>15.111432076</v>
      </c>
      <c r="G418">
        <v>1389.5314940999999</v>
      </c>
      <c r="H418">
        <v>1374.3233643000001</v>
      </c>
      <c r="I418">
        <v>1242.5803223</v>
      </c>
      <c r="J418">
        <v>1197.1491699000001</v>
      </c>
      <c r="K418">
        <v>2750</v>
      </c>
      <c r="L418">
        <v>0</v>
      </c>
      <c r="M418">
        <v>0</v>
      </c>
      <c r="N418">
        <v>2750</v>
      </c>
    </row>
    <row r="419" spans="1:14" x14ac:dyDescent="0.25">
      <c r="A419">
        <v>146.901872</v>
      </c>
      <c r="B419" s="1">
        <f>DATE(2010,9,24) + TIME(21,38,41)</f>
        <v>40445.901863425926</v>
      </c>
      <c r="C419">
        <v>80</v>
      </c>
      <c r="D419">
        <v>79.926124572999996</v>
      </c>
      <c r="E419">
        <v>50</v>
      </c>
      <c r="F419">
        <v>15.118688583000001</v>
      </c>
      <c r="G419">
        <v>1389.5004882999999</v>
      </c>
      <c r="H419">
        <v>1374.2939452999999</v>
      </c>
      <c r="I419">
        <v>1242.6198730000001</v>
      </c>
      <c r="J419">
        <v>1197.1887207</v>
      </c>
      <c r="K419">
        <v>2750</v>
      </c>
      <c r="L419">
        <v>0</v>
      </c>
      <c r="M419">
        <v>0</v>
      </c>
      <c r="N419">
        <v>2750</v>
      </c>
    </row>
    <row r="420" spans="1:14" x14ac:dyDescent="0.25">
      <c r="A420">
        <v>147.40807100000001</v>
      </c>
      <c r="B420" s="1">
        <f>DATE(2010,9,25) + TIME(9,47,37)</f>
        <v>40446.408067129632</v>
      </c>
      <c r="C420">
        <v>80</v>
      </c>
      <c r="D420">
        <v>79.926170349000003</v>
      </c>
      <c r="E420">
        <v>50</v>
      </c>
      <c r="F420">
        <v>15.126250267</v>
      </c>
      <c r="G420">
        <v>1389.4696045000001</v>
      </c>
      <c r="H420">
        <v>1374.2644043</v>
      </c>
      <c r="I420">
        <v>1242.6600341999999</v>
      </c>
      <c r="J420">
        <v>1197.2288818</v>
      </c>
      <c r="K420">
        <v>2750</v>
      </c>
      <c r="L420">
        <v>0</v>
      </c>
      <c r="M420">
        <v>0</v>
      </c>
      <c r="N420">
        <v>2750</v>
      </c>
    </row>
    <row r="421" spans="1:14" x14ac:dyDescent="0.25">
      <c r="A421">
        <v>147.91426999999999</v>
      </c>
      <c r="B421" s="1">
        <f>DATE(2010,9,25) + TIME(21,56,32)</f>
        <v>40446.914259259262</v>
      </c>
      <c r="C421">
        <v>80</v>
      </c>
      <c r="D421">
        <v>79.926223754999995</v>
      </c>
      <c r="E421">
        <v>50</v>
      </c>
      <c r="F421">
        <v>15.134174347</v>
      </c>
      <c r="G421">
        <v>1389.4388428</v>
      </c>
      <c r="H421">
        <v>1374.2349853999999</v>
      </c>
      <c r="I421">
        <v>1242.7009277</v>
      </c>
      <c r="J421">
        <v>1197.2698975000001</v>
      </c>
      <c r="K421">
        <v>2750</v>
      </c>
      <c r="L421">
        <v>0</v>
      </c>
      <c r="M421">
        <v>0</v>
      </c>
      <c r="N421">
        <v>2750</v>
      </c>
    </row>
    <row r="422" spans="1:14" x14ac:dyDescent="0.25">
      <c r="A422">
        <v>148.420468</v>
      </c>
      <c r="B422" s="1">
        <f>DATE(2010,9,26) + TIME(10,5,28)</f>
        <v>40447.42046296296</v>
      </c>
      <c r="C422">
        <v>80</v>
      </c>
      <c r="D422">
        <v>79.926269531000003</v>
      </c>
      <c r="E422">
        <v>50</v>
      </c>
      <c r="F422">
        <v>15.142503738</v>
      </c>
      <c r="G422">
        <v>1389.4079589999999</v>
      </c>
      <c r="H422">
        <v>1374.2056885</v>
      </c>
      <c r="I422">
        <v>1242.7424315999999</v>
      </c>
      <c r="J422">
        <v>1197.3117675999999</v>
      </c>
      <c r="K422">
        <v>2750</v>
      </c>
      <c r="L422">
        <v>0</v>
      </c>
      <c r="M422">
        <v>0</v>
      </c>
      <c r="N422">
        <v>2750</v>
      </c>
    </row>
    <row r="423" spans="1:14" x14ac:dyDescent="0.25">
      <c r="A423">
        <v>148.92666700000001</v>
      </c>
      <c r="B423" s="1">
        <f>DATE(2010,9,26) + TIME(22,14,24)</f>
        <v>40447.926666666666</v>
      </c>
      <c r="C423">
        <v>80</v>
      </c>
      <c r="D423">
        <v>79.926322936999995</v>
      </c>
      <c r="E423">
        <v>50</v>
      </c>
      <c r="F423">
        <v>15.151272774000001</v>
      </c>
      <c r="G423">
        <v>1389.3771973</v>
      </c>
      <c r="H423">
        <v>1374.1762695</v>
      </c>
      <c r="I423">
        <v>1242.784668</v>
      </c>
      <c r="J423">
        <v>1197.3544922000001</v>
      </c>
      <c r="K423">
        <v>2750</v>
      </c>
      <c r="L423">
        <v>0</v>
      </c>
      <c r="M423">
        <v>0</v>
      </c>
      <c r="N423">
        <v>2750</v>
      </c>
    </row>
    <row r="424" spans="1:14" x14ac:dyDescent="0.25">
      <c r="A424">
        <v>149.43163000000001</v>
      </c>
      <c r="B424" s="1">
        <f>DATE(2010,9,27) + TIME(10,21,32)</f>
        <v>40448.431620370371</v>
      </c>
      <c r="C424">
        <v>80</v>
      </c>
      <c r="D424">
        <v>79.926368713000002</v>
      </c>
      <c r="E424">
        <v>50</v>
      </c>
      <c r="F424">
        <v>15.160499572999999</v>
      </c>
      <c r="G424">
        <v>1389.3465576000001</v>
      </c>
      <c r="H424">
        <v>1374.1469727000001</v>
      </c>
      <c r="I424">
        <v>1242.8275146000001</v>
      </c>
      <c r="J424">
        <v>1197.3981934000001</v>
      </c>
      <c r="K424">
        <v>2750</v>
      </c>
      <c r="L424">
        <v>0</v>
      </c>
      <c r="M424">
        <v>0</v>
      </c>
      <c r="N424">
        <v>2750</v>
      </c>
    </row>
    <row r="425" spans="1:14" x14ac:dyDescent="0.25">
      <c r="A425">
        <v>149.93530699999999</v>
      </c>
      <c r="B425" s="1">
        <f>DATE(2010,9,27) + TIME(22,26,50)</f>
        <v>40448.935300925928</v>
      </c>
      <c r="C425">
        <v>80</v>
      </c>
      <c r="D425">
        <v>79.926422118999994</v>
      </c>
      <c r="E425">
        <v>50</v>
      </c>
      <c r="F425">
        <v>15.170206070000001</v>
      </c>
      <c r="G425">
        <v>1389.315918</v>
      </c>
      <c r="H425">
        <v>1374.1176757999999</v>
      </c>
      <c r="I425">
        <v>1242.8709716999999</v>
      </c>
      <c r="J425">
        <v>1197.4426269999999</v>
      </c>
      <c r="K425">
        <v>2750</v>
      </c>
      <c r="L425">
        <v>0</v>
      </c>
      <c r="M425">
        <v>0</v>
      </c>
      <c r="N425">
        <v>2750</v>
      </c>
    </row>
    <row r="426" spans="1:14" x14ac:dyDescent="0.25">
      <c r="A426">
        <v>150.43782100000001</v>
      </c>
      <c r="B426" s="1">
        <f>DATE(2010,9,28) + TIME(10,30,27)</f>
        <v>40449.4378125</v>
      </c>
      <c r="C426">
        <v>80</v>
      </c>
      <c r="D426">
        <v>79.926467896000005</v>
      </c>
      <c r="E426">
        <v>50</v>
      </c>
      <c r="F426">
        <v>15.180413246000001</v>
      </c>
      <c r="G426">
        <v>1389.2854004000001</v>
      </c>
      <c r="H426">
        <v>1374.0886230000001</v>
      </c>
      <c r="I426">
        <v>1242.9150391000001</v>
      </c>
      <c r="J426">
        <v>1197.4880370999999</v>
      </c>
      <c r="K426">
        <v>2750</v>
      </c>
      <c r="L426">
        <v>0</v>
      </c>
      <c r="M426">
        <v>0</v>
      </c>
      <c r="N426">
        <v>2750</v>
      </c>
    </row>
    <row r="427" spans="1:14" x14ac:dyDescent="0.25">
      <c r="A427">
        <v>150.93929399999999</v>
      </c>
      <c r="B427" s="1">
        <f>DATE(2010,9,28) + TIME(22,32,34)</f>
        <v>40449.939282407409</v>
      </c>
      <c r="C427">
        <v>80</v>
      </c>
      <c r="D427">
        <v>79.926521300999994</v>
      </c>
      <c r="E427">
        <v>50</v>
      </c>
      <c r="F427">
        <v>15.191147804</v>
      </c>
      <c r="G427">
        <v>1389.2550048999999</v>
      </c>
      <c r="H427">
        <v>1374.0595702999999</v>
      </c>
      <c r="I427">
        <v>1242.9597168</v>
      </c>
      <c r="J427">
        <v>1197.5343018000001</v>
      </c>
      <c r="K427">
        <v>2750</v>
      </c>
      <c r="L427">
        <v>0</v>
      </c>
      <c r="M427">
        <v>0</v>
      </c>
      <c r="N427">
        <v>2750</v>
      </c>
    </row>
    <row r="428" spans="1:14" x14ac:dyDescent="0.25">
      <c r="A428">
        <v>151.43986000000001</v>
      </c>
      <c r="B428" s="1">
        <f>DATE(2010,9,29) + TIME(10,33,23)</f>
        <v>40450.439849537041</v>
      </c>
      <c r="C428">
        <v>80</v>
      </c>
      <c r="D428">
        <v>79.926567078000005</v>
      </c>
      <c r="E428">
        <v>50</v>
      </c>
      <c r="F428">
        <v>15.202432632000001</v>
      </c>
      <c r="G428">
        <v>1389.2247314000001</v>
      </c>
      <c r="H428">
        <v>1374.0306396000001</v>
      </c>
      <c r="I428">
        <v>1243.0050048999999</v>
      </c>
      <c r="J428">
        <v>1197.581543</v>
      </c>
      <c r="K428">
        <v>2750</v>
      </c>
      <c r="L428">
        <v>0</v>
      </c>
      <c r="M428">
        <v>0</v>
      </c>
      <c r="N428">
        <v>2750</v>
      </c>
    </row>
    <row r="429" spans="1:14" x14ac:dyDescent="0.25">
      <c r="A429">
        <v>151.93966499999999</v>
      </c>
      <c r="B429" s="1">
        <f>DATE(2010,9,29) + TIME(22,33,7)</f>
        <v>40450.939664351848</v>
      </c>
      <c r="C429">
        <v>80</v>
      </c>
      <c r="D429">
        <v>79.926612853999998</v>
      </c>
      <c r="E429">
        <v>50</v>
      </c>
      <c r="F429">
        <v>15.214296341000001</v>
      </c>
      <c r="G429">
        <v>1389.1944579999999</v>
      </c>
      <c r="H429">
        <v>1374.0017089999999</v>
      </c>
      <c r="I429">
        <v>1243.0510254000001</v>
      </c>
      <c r="J429">
        <v>1197.6298827999999</v>
      </c>
      <c r="K429">
        <v>2750</v>
      </c>
      <c r="L429">
        <v>0</v>
      </c>
      <c r="M429">
        <v>0</v>
      </c>
      <c r="N429">
        <v>2750</v>
      </c>
    </row>
    <row r="430" spans="1:14" x14ac:dyDescent="0.25">
      <c r="A430">
        <v>152.438862</v>
      </c>
      <c r="B430" s="1">
        <f>DATE(2010,9,30) + TIME(10,31,57)</f>
        <v>40451.438854166663</v>
      </c>
      <c r="C430">
        <v>80</v>
      </c>
      <c r="D430">
        <v>79.926666260000005</v>
      </c>
      <c r="E430">
        <v>50</v>
      </c>
      <c r="F430">
        <v>15.226764679</v>
      </c>
      <c r="G430">
        <v>1389.1643065999999</v>
      </c>
      <c r="H430">
        <v>1373.9729004000001</v>
      </c>
      <c r="I430">
        <v>1243.0976562000001</v>
      </c>
      <c r="J430">
        <v>1197.6791992000001</v>
      </c>
      <c r="K430">
        <v>2750</v>
      </c>
      <c r="L430">
        <v>0</v>
      </c>
      <c r="M430">
        <v>0</v>
      </c>
      <c r="N430">
        <v>2750</v>
      </c>
    </row>
    <row r="431" spans="1:14" x14ac:dyDescent="0.25">
      <c r="A431">
        <v>153</v>
      </c>
      <c r="B431" s="1">
        <f>DATE(2010,10,1) + TIME(0,0,0)</f>
        <v>40452</v>
      </c>
      <c r="C431">
        <v>80</v>
      </c>
      <c r="D431">
        <v>79.926719665999997</v>
      </c>
      <c r="E431">
        <v>50</v>
      </c>
      <c r="F431">
        <v>15.240813255000001</v>
      </c>
      <c r="G431">
        <v>1389.1342772999999</v>
      </c>
      <c r="H431">
        <v>1373.9443358999999</v>
      </c>
      <c r="I431">
        <v>1243.1442870999999</v>
      </c>
      <c r="J431">
        <v>1197.7298584</v>
      </c>
      <c r="K431">
        <v>2750</v>
      </c>
      <c r="L431">
        <v>0</v>
      </c>
      <c r="M431">
        <v>0</v>
      </c>
      <c r="N431">
        <v>2750</v>
      </c>
    </row>
    <row r="432" spans="1:14" x14ac:dyDescent="0.25">
      <c r="A432">
        <v>153.498751</v>
      </c>
      <c r="B432" s="1">
        <f>DATE(2010,10,1) + TIME(11,58,12)</f>
        <v>40452.498749999999</v>
      </c>
      <c r="C432">
        <v>80</v>
      </c>
      <c r="D432">
        <v>79.926765442000004</v>
      </c>
      <c r="E432">
        <v>50</v>
      </c>
      <c r="F432">
        <v>15.254949570000001</v>
      </c>
      <c r="G432">
        <v>1389.1005858999999</v>
      </c>
      <c r="H432">
        <v>1373.9119873</v>
      </c>
      <c r="I432">
        <v>1243.1990966999999</v>
      </c>
      <c r="J432">
        <v>1197.7872314000001</v>
      </c>
      <c r="K432">
        <v>2750</v>
      </c>
      <c r="L432">
        <v>0</v>
      </c>
      <c r="M432">
        <v>0</v>
      </c>
      <c r="N432">
        <v>2750</v>
      </c>
    </row>
    <row r="433" spans="1:14" x14ac:dyDescent="0.25">
      <c r="A433">
        <v>154.48449299999999</v>
      </c>
      <c r="B433" s="1">
        <f>DATE(2010,10,2) + TIME(11,37,40)</f>
        <v>40453.484490740739</v>
      </c>
      <c r="C433">
        <v>80</v>
      </c>
      <c r="D433">
        <v>79.926872252999999</v>
      </c>
      <c r="E433">
        <v>50</v>
      </c>
      <c r="F433">
        <v>15.275957108</v>
      </c>
      <c r="G433">
        <v>1389.0706786999999</v>
      </c>
      <c r="H433">
        <v>1373.8834228999999</v>
      </c>
      <c r="I433">
        <v>1243.2458495999999</v>
      </c>
      <c r="J433">
        <v>1197.8439940999999</v>
      </c>
      <c r="K433">
        <v>2750</v>
      </c>
      <c r="L433">
        <v>0</v>
      </c>
      <c r="M433">
        <v>0</v>
      </c>
      <c r="N433">
        <v>2750</v>
      </c>
    </row>
    <row r="434" spans="1:14" x14ac:dyDescent="0.25">
      <c r="A434">
        <v>155.47351399999999</v>
      </c>
      <c r="B434" s="1">
        <f>DATE(2010,10,3) + TIME(11,21,51)</f>
        <v>40454.473506944443</v>
      </c>
      <c r="C434">
        <v>80</v>
      </c>
      <c r="D434">
        <v>79.926963806000003</v>
      </c>
      <c r="E434">
        <v>50</v>
      </c>
      <c r="F434">
        <v>15.303488731</v>
      </c>
      <c r="G434">
        <v>1389.0119629000001</v>
      </c>
      <c r="H434">
        <v>1373.8273925999999</v>
      </c>
      <c r="I434">
        <v>1243.3449707</v>
      </c>
      <c r="J434">
        <v>1197.9492187999999</v>
      </c>
      <c r="K434">
        <v>2750</v>
      </c>
      <c r="L434">
        <v>0</v>
      </c>
      <c r="M434">
        <v>0</v>
      </c>
      <c r="N434">
        <v>2750</v>
      </c>
    </row>
    <row r="435" spans="1:14" x14ac:dyDescent="0.25">
      <c r="A435">
        <v>156.480593</v>
      </c>
      <c r="B435" s="1">
        <f>DATE(2010,10,4) + TIME(11,32,3)</f>
        <v>40455.480590277781</v>
      </c>
      <c r="C435">
        <v>80</v>
      </c>
      <c r="D435">
        <v>79.927062988000003</v>
      </c>
      <c r="E435">
        <v>50</v>
      </c>
      <c r="F435">
        <v>15.335979461999999</v>
      </c>
      <c r="G435">
        <v>1388.9527588000001</v>
      </c>
      <c r="H435">
        <v>1373.7707519999999</v>
      </c>
      <c r="I435">
        <v>1243.4471435999999</v>
      </c>
      <c r="J435">
        <v>1198.0611572</v>
      </c>
      <c r="K435">
        <v>2750</v>
      </c>
      <c r="L435">
        <v>0</v>
      </c>
      <c r="M435">
        <v>0</v>
      </c>
      <c r="N435">
        <v>2750</v>
      </c>
    </row>
    <row r="436" spans="1:14" x14ac:dyDescent="0.25">
      <c r="A436">
        <v>156.993865</v>
      </c>
      <c r="B436" s="1">
        <f>DATE(2010,10,4) + TIME(23,51,9)</f>
        <v>40455.993854166663</v>
      </c>
      <c r="C436">
        <v>80</v>
      </c>
      <c r="D436">
        <v>79.927108765</v>
      </c>
      <c r="E436">
        <v>50</v>
      </c>
      <c r="F436">
        <v>15.362036705</v>
      </c>
      <c r="G436">
        <v>1388.8927002</v>
      </c>
      <c r="H436">
        <v>1373.7132568</v>
      </c>
      <c r="I436">
        <v>1243.5583495999999</v>
      </c>
      <c r="J436">
        <v>1198.1745605000001</v>
      </c>
      <c r="K436">
        <v>2750</v>
      </c>
      <c r="L436">
        <v>0</v>
      </c>
      <c r="M436">
        <v>0</v>
      </c>
      <c r="N436">
        <v>2750</v>
      </c>
    </row>
    <row r="437" spans="1:14" x14ac:dyDescent="0.25">
      <c r="A437">
        <v>157.948846</v>
      </c>
      <c r="B437" s="1">
        <f>DATE(2010,10,5) + TIME(22,46,20)</f>
        <v>40456.948842592596</v>
      </c>
      <c r="C437">
        <v>80</v>
      </c>
      <c r="D437">
        <v>79.927207946999999</v>
      </c>
      <c r="E437">
        <v>50</v>
      </c>
      <c r="F437">
        <v>15.396021843</v>
      </c>
      <c r="G437">
        <v>1388.8613281</v>
      </c>
      <c r="H437">
        <v>1373.6832274999999</v>
      </c>
      <c r="I437">
        <v>1243.6101074000001</v>
      </c>
      <c r="J437">
        <v>1198.2469481999999</v>
      </c>
      <c r="K437">
        <v>2750</v>
      </c>
      <c r="L437">
        <v>0</v>
      </c>
      <c r="M437">
        <v>0</v>
      </c>
      <c r="N437">
        <v>2750</v>
      </c>
    </row>
    <row r="438" spans="1:14" x14ac:dyDescent="0.25">
      <c r="A438">
        <v>158.456051</v>
      </c>
      <c r="B438" s="1">
        <f>DATE(2010,10,6) + TIME(10,56,42)</f>
        <v>40457.456041666665</v>
      </c>
      <c r="C438">
        <v>80</v>
      </c>
      <c r="D438">
        <v>79.927253723000007</v>
      </c>
      <c r="E438">
        <v>50</v>
      </c>
      <c r="F438">
        <v>15.424416541999999</v>
      </c>
      <c r="G438">
        <v>1388.8049315999999</v>
      </c>
      <c r="H438">
        <v>1373.6291504000001</v>
      </c>
      <c r="I438">
        <v>1243.7213135</v>
      </c>
      <c r="J438">
        <v>1198.3621826000001</v>
      </c>
      <c r="K438">
        <v>2750</v>
      </c>
      <c r="L438">
        <v>0</v>
      </c>
      <c r="M438">
        <v>0</v>
      </c>
      <c r="N438">
        <v>2750</v>
      </c>
    </row>
    <row r="439" spans="1:14" x14ac:dyDescent="0.25">
      <c r="A439">
        <v>159.407433</v>
      </c>
      <c r="B439" s="1">
        <f>DATE(2010,10,7) + TIME(9,46,42)</f>
        <v>40458.407430555555</v>
      </c>
      <c r="C439">
        <v>80</v>
      </c>
      <c r="D439">
        <v>79.927345275999997</v>
      </c>
      <c r="E439">
        <v>50</v>
      </c>
      <c r="F439">
        <v>15.46218586</v>
      </c>
      <c r="G439">
        <v>1388.7740478999999</v>
      </c>
      <c r="H439">
        <v>1373.5996094</v>
      </c>
      <c r="I439">
        <v>1243.7747803</v>
      </c>
      <c r="J439">
        <v>1198.4393310999999</v>
      </c>
      <c r="K439">
        <v>2750</v>
      </c>
      <c r="L439">
        <v>0</v>
      </c>
      <c r="M439">
        <v>0</v>
      </c>
      <c r="N439">
        <v>2750</v>
      </c>
    </row>
    <row r="440" spans="1:14" x14ac:dyDescent="0.25">
      <c r="A440">
        <v>160.41775100000001</v>
      </c>
      <c r="B440" s="1">
        <f>DATE(2010,10,8) + TIME(10,1,33)</f>
        <v>40459.417743055557</v>
      </c>
      <c r="C440">
        <v>80</v>
      </c>
      <c r="D440">
        <v>79.927444457999997</v>
      </c>
      <c r="E440">
        <v>50</v>
      </c>
      <c r="F440">
        <v>15.507930756</v>
      </c>
      <c r="G440">
        <v>1388.7176514</v>
      </c>
      <c r="H440">
        <v>1373.5456543</v>
      </c>
      <c r="I440">
        <v>1243.8864745999999</v>
      </c>
      <c r="J440">
        <v>1198.5704346</v>
      </c>
      <c r="K440">
        <v>2750</v>
      </c>
      <c r="L440">
        <v>0</v>
      </c>
      <c r="M440">
        <v>0</v>
      </c>
      <c r="N440">
        <v>2750</v>
      </c>
    </row>
    <row r="441" spans="1:14" x14ac:dyDescent="0.25">
      <c r="A441">
        <v>160.92568600000001</v>
      </c>
      <c r="B441" s="1">
        <f>DATE(2010,10,8) + TIME(22,12,59)</f>
        <v>40459.925682870373</v>
      </c>
      <c r="C441">
        <v>80</v>
      </c>
      <c r="D441">
        <v>79.927490234000004</v>
      </c>
      <c r="E441">
        <v>50</v>
      </c>
      <c r="F441">
        <v>15.544897079</v>
      </c>
      <c r="G441">
        <v>1388.6577147999999</v>
      </c>
      <c r="H441">
        <v>1373.4881591999999</v>
      </c>
      <c r="I441">
        <v>1244.0151367000001</v>
      </c>
      <c r="J441">
        <v>1198.7071533000001</v>
      </c>
      <c r="K441">
        <v>2750</v>
      </c>
      <c r="L441">
        <v>0</v>
      </c>
      <c r="M441">
        <v>0</v>
      </c>
      <c r="N441">
        <v>2750</v>
      </c>
    </row>
    <row r="442" spans="1:14" x14ac:dyDescent="0.25">
      <c r="A442">
        <v>161.899148</v>
      </c>
      <c r="B442" s="1">
        <f>DATE(2010,10,9) + TIME(21,34,46)</f>
        <v>40460.899143518516</v>
      </c>
      <c r="C442">
        <v>80</v>
      </c>
      <c r="D442">
        <v>79.927581786999994</v>
      </c>
      <c r="E442">
        <v>50</v>
      </c>
      <c r="F442">
        <v>15.593727112</v>
      </c>
      <c r="G442">
        <v>1388.6267089999999</v>
      </c>
      <c r="H442">
        <v>1373.4584961</v>
      </c>
      <c r="I442">
        <v>1244.0714111</v>
      </c>
      <c r="J442">
        <v>1198.7966309000001</v>
      </c>
      <c r="K442">
        <v>2750</v>
      </c>
      <c r="L442">
        <v>0</v>
      </c>
      <c r="M442">
        <v>0</v>
      </c>
      <c r="N442">
        <v>2750</v>
      </c>
    </row>
    <row r="443" spans="1:14" x14ac:dyDescent="0.25">
      <c r="A443">
        <v>162.40104500000001</v>
      </c>
      <c r="B443" s="1">
        <f>DATE(2010,10,10) + TIME(9,37,30)</f>
        <v>40461.401041666664</v>
      </c>
      <c r="C443">
        <v>80</v>
      </c>
      <c r="D443">
        <v>79.927627563000001</v>
      </c>
      <c r="E443">
        <v>50</v>
      </c>
      <c r="F443">
        <v>15.634230614</v>
      </c>
      <c r="G443">
        <v>1388.5694579999999</v>
      </c>
      <c r="H443">
        <v>1373.4035644999999</v>
      </c>
      <c r="I443">
        <v>1244.2019043</v>
      </c>
      <c r="J443">
        <v>1198.9381103999999</v>
      </c>
      <c r="K443">
        <v>2750</v>
      </c>
      <c r="L443">
        <v>0</v>
      </c>
      <c r="M443">
        <v>0</v>
      </c>
      <c r="N443">
        <v>2750</v>
      </c>
    </row>
    <row r="444" spans="1:14" x14ac:dyDescent="0.25">
      <c r="A444">
        <v>163.36473899999999</v>
      </c>
      <c r="B444" s="1">
        <f>DATE(2010,10,11) + TIME(8,45,13)</f>
        <v>40462.364733796298</v>
      </c>
      <c r="C444">
        <v>80</v>
      </c>
      <c r="D444">
        <v>79.927726746000005</v>
      </c>
      <c r="E444">
        <v>50</v>
      </c>
      <c r="F444">
        <v>15.688351631</v>
      </c>
      <c r="G444">
        <v>1388.5388184000001</v>
      </c>
      <c r="H444">
        <v>1373.3741454999999</v>
      </c>
      <c r="I444">
        <v>1244.2600098</v>
      </c>
      <c r="J444">
        <v>1199.0338135</v>
      </c>
      <c r="K444">
        <v>2750</v>
      </c>
      <c r="L444">
        <v>0</v>
      </c>
      <c r="M444">
        <v>0</v>
      </c>
      <c r="N444">
        <v>2750</v>
      </c>
    </row>
    <row r="445" spans="1:14" x14ac:dyDescent="0.25">
      <c r="A445">
        <v>164.35928200000001</v>
      </c>
      <c r="B445" s="1">
        <f>DATE(2010,10,12) + TIME(8,37,21)</f>
        <v>40463.359270833331</v>
      </c>
      <c r="C445">
        <v>80</v>
      </c>
      <c r="D445">
        <v>79.927818298000005</v>
      </c>
      <c r="E445">
        <v>50</v>
      </c>
      <c r="F445">
        <v>15.753004074</v>
      </c>
      <c r="G445">
        <v>1388.4819336</v>
      </c>
      <c r="H445">
        <v>1373.3195800999999</v>
      </c>
      <c r="I445">
        <v>1244.3886719</v>
      </c>
      <c r="J445">
        <v>1199.1958007999999</v>
      </c>
      <c r="K445">
        <v>2750</v>
      </c>
      <c r="L445">
        <v>0</v>
      </c>
      <c r="M445">
        <v>0</v>
      </c>
      <c r="N445">
        <v>2750</v>
      </c>
    </row>
    <row r="446" spans="1:14" x14ac:dyDescent="0.25">
      <c r="A446">
        <v>165.35615999999999</v>
      </c>
      <c r="B446" s="1">
        <f>DATE(2010,10,13) + TIME(8,32,52)</f>
        <v>40464.356157407405</v>
      </c>
      <c r="C446">
        <v>80</v>
      </c>
      <c r="D446">
        <v>79.927917480000005</v>
      </c>
      <c r="E446">
        <v>50</v>
      </c>
      <c r="F446">
        <v>15.826279639999999</v>
      </c>
      <c r="G446">
        <v>1388.4227295000001</v>
      </c>
      <c r="H446">
        <v>1373.2628173999999</v>
      </c>
      <c r="I446">
        <v>1244.5251464999999</v>
      </c>
      <c r="J446">
        <v>1199.3721923999999</v>
      </c>
      <c r="K446">
        <v>2750</v>
      </c>
      <c r="L446">
        <v>0</v>
      </c>
      <c r="M446">
        <v>0</v>
      </c>
      <c r="N446">
        <v>2750</v>
      </c>
    </row>
    <row r="447" spans="1:14" x14ac:dyDescent="0.25">
      <c r="A447">
        <v>166.35792000000001</v>
      </c>
      <c r="B447" s="1">
        <f>DATE(2010,10,14) + TIME(8,35,24)</f>
        <v>40465.357916666668</v>
      </c>
      <c r="C447">
        <v>80</v>
      </c>
      <c r="D447">
        <v>79.928009032999995</v>
      </c>
      <c r="E447">
        <v>50</v>
      </c>
      <c r="F447">
        <v>15.907260895</v>
      </c>
      <c r="G447">
        <v>1388.3635254000001</v>
      </c>
      <c r="H447">
        <v>1373.2058105000001</v>
      </c>
      <c r="I447">
        <v>1244.6657714999999</v>
      </c>
      <c r="J447">
        <v>1199.5589600000001</v>
      </c>
      <c r="K447">
        <v>2750</v>
      </c>
      <c r="L447">
        <v>0</v>
      </c>
      <c r="M447">
        <v>0</v>
      </c>
      <c r="N447">
        <v>2750</v>
      </c>
    </row>
    <row r="448" spans="1:14" x14ac:dyDescent="0.25">
      <c r="A448">
        <v>166.86247299999999</v>
      </c>
      <c r="B448" s="1">
        <f>DATE(2010,10,14) + TIME(20,41,57)</f>
        <v>40465.86246527778</v>
      </c>
      <c r="C448">
        <v>80</v>
      </c>
      <c r="D448">
        <v>79.928054810000006</v>
      </c>
      <c r="E448">
        <v>50</v>
      </c>
      <c r="F448">
        <v>15.969408035000001</v>
      </c>
      <c r="G448">
        <v>1388.3043213000001</v>
      </c>
      <c r="H448">
        <v>1373.1489257999999</v>
      </c>
      <c r="I448">
        <v>1244.8211670000001</v>
      </c>
      <c r="J448">
        <v>1199.7408447</v>
      </c>
      <c r="K448">
        <v>2750</v>
      </c>
      <c r="L448">
        <v>0</v>
      </c>
      <c r="M448">
        <v>0</v>
      </c>
      <c r="N448">
        <v>2750</v>
      </c>
    </row>
    <row r="449" spans="1:14" x14ac:dyDescent="0.25">
      <c r="A449">
        <v>167.83898600000001</v>
      </c>
      <c r="B449" s="1">
        <f>DATE(2010,10,15) + TIME(20,8,8)</f>
        <v>40466.83898148148</v>
      </c>
      <c r="C449">
        <v>80</v>
      </c>
      <c r="D449">
        <v>79.928146362000007</v>
      </c>
      <c r="E449">
        <v>50</v>
      </c>
      <c r="F449">
        <v>16.050529480000002</v>
      </c>
      <c r="G449">
        <v>1388.2735596</v>
      </c>
      <c r="H449">
        <v>1373.1193848</v>
      </c>
      <c r="I449">
        <v>1244.8843993999999</v>
      </c>
      <c r="J449">
        <v>1199.8660889</v>
      </c>
      <c r="K449">
        <v>2750</v>
      </c>
      <c r="L449">
        <v>0</v>
      </c>
      <c r="M449">
        <v>0</v>
      </c>
      <c r="N449">
        <v>2750</v>
      </c>
    </row>
    <row r="450" spans="1:14" x14ac:dyDescent="0.25">
      <c r="A450">
        <v>168.33718400000001</v>
      </c>
      <c r="B450" s="1">
        <f>DATE(2010,10,16) + TIME(8,5,32)</f>
        <v>40467.337175925924</v>
      </c>
      <c r="C450">
        <v>80</v>
      </c>
      <c r="D450">
        <v>79.928192139000004</v>
      </c>
      <c r="E450">
        <v>50</v>
      </c>
      <c r="F450">
        <v>16.116329192999999</v>
      </c>
      <c r="G450">
        <v>1388.2161865</v>
      </c>
      <c r="H450">
        <v>1373.0643310999999</v>
      </c>
      <c r="I450">
        <v>1245.0437012</v>
      </c>
      <c r="J450">
        <v>1200.0549315999999</v>
      </c>
      <c r="K450">
        <v>2750</v>
      </c>
      <c r="L450">
        <v>0</v>
      </c>
      <c r="M450">
        <v>0</v>
      </c>
      <c r="N450">
        <v>2750</v>
      </c>
    </row>
    <row r="451" spans="1:14" x14ac:dyDescent="0.25">
      <c r="A451">
        <v>169.30510599999999</v>
      </c>
      <c r="B451" s="1">
        <f>DATE(2010,10,17) + TIME(7,19,21)</f>
        <v>40468.305104166669</v>
      </c>
      <c r="C451">
        <v>80</v>
      </c>
      <c r="D451">
        <v>79.928291321000003</v>
      </c>
      <c r="E451">
        <v>50</v>
      </c>
      <c r="F451">
        <v>16.203714371</v>
      </c>
      <c r="G451">
        <v>1388.1857910000001</v>
      </c>
      <c r="H451">
        <v>1373.0350341999999</v>
      </c>
      <c r="I451">
        <v>1245.1087646000001</v>
      </c>
      <c r="J451">
        <v>1200.1877440999999</v>
      </c>
      <c r="K451">
        <v>2750</v>
      </c>
      <c r="L451">
        <v>0</v>
      </c>
      <c r="M451">
        <v>0</v>
      </c>
      <c r="N451">
        <v>2750</v>
      </c>
    </row>
    <row r="452" spans="1:14" x14ac:dyDescent="0.25">
      <c r="A452">
        <v>170.29411099999999</v>
      </c>
      <c r="B452" s="1">
        <f>DATE(2010,10,18) + TIME(7,3,31)</f>
        <v>40469.294108796297</v>
      </c>
      <c r="C452">
        <v>80</v>
      </c>
      <c r="D452">
        <v>79.928382873999993</v>
      </c>
      <c r="E452">
        <v>50</v>
      </c>
      <c r="F452">
        <v>16.306447983000002</v>
      </c>
      <c r="G452">
        <v>1388.1287841999999</v>
      </c>
      <c r="H452">
        <v>1372.9801024999999</v>
      </c>
      <c r="I452">
        <v>1245.2625731999999</v>
      </c>
      <c r="J452">
        <v>1200.4064940999999</v>
      </c>
      <c r="K452">
        <v>2750</v>
      </c>
      <c r="L452">
        <v>0</v>
      </c>
      <c r="M452">
        <v>0</v>
      </c>
      <c r="N452">
        <v>2750</v>
      </c>
    </row>
    <row r="453" spans="1:14" x14ac:dyDescent="0.25">
      <c r="A453">
        <v>171.28815299999999</v>
      </c>
      <c r="B453" s="1">
        <f>DATE(2010,10,19) + TIME(6,54,56)</f>
        <v>40470.288148148145</v>
      </c>
      <c r="C453">
        <v>80</v>
      </c>
      <c r="D453">
        <v>79.928474425999994</v>
      </c>
      <c r="E453">
        <v>50</v>
      </c>
      <c r="F453">
        <v>16.421123505000001</v>
      </c>
      <c r="G453">
        <v>1388.0700684000001</v>
      </c>
      <c r="H453">
        <v>1372.9237060999999</v>
      </c>
      <c r="I453">
        <v>1245.4230957</v>
      </c>
      <c r="J453">
        <v>1200.6422118999999</v>
      </c>
      <c r="K453">
        <v>2750</v>
      </c>
      <c r="L453">
        <v>0</v>
      </c>
      <c r="M453">
        <v>0</v>
      </c>
      <c r="N453">
        <v>2750</v>
      </c>
    </row>
    <row r="454" spans="1:14" x14ac:dyDescent="0.25">
      <c r="A454">
        <v>172.28982099999999</v>
      </c>
      <c r="B454" s="1">
        <f>DATE(2010,10,20) + TIME(6,57,20)</f>
        <v>40471.289814814816</v>
      </c>
      <c r="C454">
        <v>80</v>
      </c>
      <c r="D454">
        <v>79.928565978999998</v>
      </c>
      <c r="E454">
        <v>50</v>
      </c>
      <c r="F454">
        <v>16.546222687</v>
      </c>
      <c r="G454">
        <v>1388.0111084</v>
      </c>
      <c r="H454">
        <v>1372.8669434000001</v>
      </c>
      <c r="I454">
        <v>1245.5880127</v>
      </c>
      <c r="J454">
        <v>1200.8916016000001</v>
      </c>
      <c r="K454">
        <v>2750</v>
      </c>
      <c r="L454">
        <v>0</v>
      </c>
      <c r="M454">
        <v>0</v>
      </c>
      <c r="N454">
        <v>2750</v>
      </c>
    </row>
    <row r="455" spans="1:14" x14ac:dyDescent="0.25">
      <c r="A455">
        <v>173.301481</v>
      </c>
      <c r="B455" s="1">
        <f>DATE(2010,10,21) + TIME(7,14,7)</f>
        <v>40472.301469907405</v>
      </c>
      <c r="C455">
        <v>80</v>
      </c>
      <c r="D455">
        <v>79.928665160999998</v>
      </c>
      <c r="E455">
        <v>50</v>
      </c>
      <c r="F455">
        <v>16.681476592999999</v>
      </c>
      <c r="G455">
        <v>1387.9517822</v>
      </c>
      <c r="H455">
        <v>1372.8096923999999</v>
      </c>
      <c r="I455">
        <v>1245.7578125</v>
      </c>
      <c r="J455">
        <v>1201.1549072</v>
      </c>
      <c r="K455">
        <v>2750</v>
      </c>
      <c r="L455">
        <v>0</v>
      </c>
      <c r="M455">
        <v>0</v>
      </c>
      <c r="N455">
        <v>2750</v>
      </c>
    </row>
    <row r="456" spans="1:14" x14ac:dyDescent="0.25">
      <c r="A456">
        <v>173.81363300000001</v>
      </c>
      <c r="B456" s="1">
        <f>DATE(2010,10,21) + TIME(19,31,37)</f>
        <v>40472.813622685186</v>
      </c>
      <c r="C456">
        <v>80</v>
      </c>
      <c r="D456">
        <v>79.928703307999996</v>
      </c>
      <c r="E456">
        <v>50</v>
      </c>
      <c r="F456">
        <v>16.784059525</v>
      </c>
      <c r="G456">
        <v>1387.8922118999999</v>
      </c>
      <c r="H456">
        <v>1372.7524414</v>
      </c>
      <c r="I456">
        <v>1245.9487305</v>
      </c>
      <c r="J456">
        <v>1201.4061279</v>
      </c>
      <c r="K456">
        <v>2750</v>
      </c>
      <c r="L456">
        <v>0</v>
      </c>
      <c r="M456">
        <v>0</v>
      </c>
      <c r="N456">
        <v>2750</v>
      </c>
    </row>
    <row r="457" spans="1:14" x14ac:dyDescent="0.25">
      <c r="A457">
        <v>174.79477199999999</v>
      </c>
      <c r="B457" s="1">
        <f>DATE(2010,10,22) + TIME(19,4,28)</f>
        <v>40473.794768518521</v>
      </c>
      <c r="C457">
        <v>80</v>
      </c>
      <c r="D457">
        <v>79.928802489999995</v>
      </c>
      <c r="E457">
        <v>50</v>
      </c>
      <c r="F457">
        <v>16.915031432999999</v>
      </c>
      <c r="G457">
        <v>1387.8610839999999</v>
      </c>
      <c r="H457">
        <v>1372.7222899999999</v>
      </c>
      <c r="I457">
        <v>1246.0213623</v>
      </c>
      <c r="J457">
        <v>1201.5870361</v>
      </c>
      <c r="K457">
        <v>2750</v>
      </c>
      <c r="L457">
        <v>0</v>
      </c>
      <c r="M457">
        <v>0</v>
      </c>
      <c r="N457">
        <v>2750</v>
      </c>
    </row>
    <row r="458" spans="1:14" x14ac:dyDescent="0.25">
      <c r="A458">
        <v>175.806588</v>
      </c>
      <c r="B458" s="1">
        <f>DATE(2010,10,23) + TIME(19,21,29)</f>
        <v>40474.806585648148</v>
      </c>
      <c r="C458">
        <v>80</v>
      </c>
      <c r="D458">
        <v>79.928894043</v>
      </c>
      <c r="E458">
        <v>50</v>
      </c>
      <c r="F458">
        <v>17.064752579</v>
      </c>
      <c r="G458">
        <v>1387.8034668</v>
      </c>
      <c r="H458">
        <v>1372.6667480000001</v>
      </c>
      <c r="I458">
        <v>1246.1984863</v>
      </c>
      <c r="J458">
        <v>1201.8710937999999</v>
      </c>
      <c r="K458">
        <v>2750</v>
      </c>
      <c r="L458">
        <v>0</v>
      </c>
      <c r="M458">
        <v>0</v>
      </c>
      <c r="N458">
        <v>2750</v>
      </c>
    </row>
    <row r="459" spans="1:14" x14ac:dyDescent="0.25">
      <c r="A459">
        <v>176.82558700000001</v>
      </c>
      <c r="B459" s="1">
        <f>DATE(2010,10,24) + TIME(19,48,50)</f>
        <v>40475.825578703705</v>
      </c>
      <c r="C459">
        <v>80</v>
      </c>
      <c r="D459">
        <v>79.928993224999999</v>
      </c>
      <c r="E459">
        <v>50</v>
      </c>
      <c r="F459">
        <v>17.229120255000002</v>
      </c>
      <c r="G459">
        <v>1387.7437743999999</v>
      </c>
      <c r="H459">
        <v>1372.6092529</v>
      </c>
      <c r="I459">
        <v>1246.3845214999999</v>
      </c>
      <c r="J459">
        <v>1202.1768798999999</v>
      </c>
      <c r="K459">
        <v>2750</v>
      </c>
      <c r="L459">
        <v>0</v>
      </c>
      <c r="M459">
        <v>0</v>
      </c>
      <c r="N459">
        <v>2750</v>
      </c>
    </row>
    <row r="460" spans="1:14" x14ac:dyDescent="0.25">
      <c r="A460">
        <v>177.85480100000001</v>
      </c>
      <c r="B460" s="1">
        <f>DATE(2010,10,25) + TIME(20,30,54)</f>
        <v>40476.854791666665</v>
      </c>
      <c r="C460">
        <v>80</v>
      </c>
      <c r="D460">
        <v>79.929084778000004</v>
      </c>
      <c r="E460">
        <v>50</v>
      </c>
      <c r="F460">
        <v>17.405864716</v>
      </c>
      <c r="G460">
        <v>1387.6837158000001</v>
      </c>
      <c r="H460">
        <v>1372.5512695</v>
      </c>
      <c r="I460">
        <v>1246.5749512</v>
      </c>
      <c r="J460">
        <v>1202.4984131000001</v>
      </c>
      <c r="K460">
        <v>2750</v>
      </c>
      <c r="L460">
        <v>0</v>
      </c>
      <c r="M460">
        <v>0</v>
      </c>
      <c r="N460">
        <v>2750</v>
      </c>
    </row>
    <row r="461" spans="1:14" x14ac:dyDescent="0.25">
      <c r="A461">
        <v>178.89774499999999</v>
      </c>
      <c r="B461" s="1">
        <f>DATE(2010,10,26) + TIME(21,32,45)</f>
        <v>40477.897743055553</v>
      </c>
      <c r="C461">
        <v>80</v>
      </c>
      <c r="D461">
        <v>79.929183960000003</v>
      </c>
      <c r="E461">
        <v>50</v>
      </c>
      <c r="F461">
        <v>17.594392775999999</v>
      </c>
      <c r="G461">
        <v>1387.6232910000001</v>
      </c>
      <c r="H461">
        <v>1372.4929199000001</v>
      </c>
      <c r="I461">
        <v>1246.7706298999999</v>
      </c>
      <c r="J461">
        <v>1202.8355713000001</v>
      </c>
      <c r="K461">
        <v>2750</v>
      </c>
      <c r="L461">
        <v>0</v>
      </c>
      <c r="M461">
        <v>0</v>
      </c>
      <c r="N461">
        <v>2750</v>
      </c>
    </row>
    <row r="462" spans="1:14" x14ac:dyDescent="0.25">
      <c r="A462">
        <v>179.95701500000001</v>
      </c>
      <c r="B462" s="1">
        <f>DATE(2010,10,27) + TIME(22,58,6)</f>
        <v>40478.957013888888</v>
      </c>
      <c r="C462">
        <v>80</v>
      </c>
      <c r="D462">
        <v>79.929283142000003</v>
      </c>
      <c r="E462">
        <v>50</v>
      </c>
      <c r="F462">
        <v>17.794822693</v>
      </c>
      <c r="G462">
        <v>1387.5621338000001</v>
      </c>
      <c r="H462">
        <v>1372.4338379000001</v>
      </c>
      <c r="I462">
        <v>1246.9722899999999</v>
      </c>
      <c r="J462">
        <v>1203.1894531</v>
      </c>
      <c r="K462">
        <v>2750</v>
      </c>
      <c r="L462">
        <v>0</v>
      </c>
      <c r="M462">
        <v>0</v>
      </c>
      <c r="N462">
        <v>2750</v>
      </c>
    </row>
    <row r="463" spans="1:14" x14ac:dyDescent="0.25">
      <c r="A463">
        <v>181.03522799999999</v>
      </c>
      <c r="B463" s="1">
        <f>DATE(2010,10,29) + TIME(0,50,43)</f>
        <v>40480.035219907404</v>
      </c>
      <c r="C463">
        <v>80</v>
      </c>
      <c r="D463">
        <v>79.929382324000002</v>
      </c>
      <c r="E463">
        <v>50</v>
      </c>
      <c r="F463">
        <v>18.007547378999998</v>
      </c>
      <c r="G463">
        <v>1387.5002440999999</v>
      </c>
      <c r="H463">
        <v>1372.3741454999999</v>
      </c>
      <c r="I463">
        <v>1247.1806641000001</v>
      </c>
      <c r="J463">
        <v>1203.5609131000001</v>
      </c>
      <c r="K463">
        <v>2750</v>
      </c>
      <c r="L463">
        <v>0</v>
      </c>
      <c r="M463">
        <v>0</v>
      </c>
      <c r="N463">
        <v>2750</v>
      </c>
    </row>
    <row r="464" spans="1:14" x14ac:dyDescent="0.25">
      <c r="A464">
        <v>182.122454</v>
      </c>
      <c r="B464" s="1">
        <f>DATE(2010,10,30) + TIME(2,56,20)</f>
        <v>40481.122453703705</v>
      </c>
      <c r="C464">
        <v>80</v>
      </c>
      <c r="D464">
        <v>79.929481506000002</v>
      </c>
      <c r="E464">
        <v>50</v>
      </c>
      <c r="F464">
        <v>18.232034682999998</v>
      </c>
      <c r="G464">
        <v>1387.4373779</v>
      </c>
      <c r="H464">
        <v>1372.3134766000001</v>
      </c>
      <c r="I464">
        <v>1247.3966064000001</v>
      </c>
      <c r="J464">
        <v>1203.9503173999999</v>
      </c>
      <c r="K464">
        <v>2750</v>
      </c>
      <c r="L464">
        <v>0</v>
      </c>
      <c r="M464">
        <v>0</v>
      </c>
      <c r="N464">
        <v>2750</v>
      </c>
    </row>
    <row r="465" spans="1:14" x14ac:dyDescent="0.25">
      <c r="A465">
        <v>183.221991</v>
      </c>
      <c r="B465" s="1">
        <f>DATE(2010,10,31) + TIME(5,19,40)</f>
        <v>40482.221990740742</v>
      </c>
      <c r="C465">
        <v>80</v>
      </c>
      <c r="D465">
        <v>79.929580688000001</v>
      </c>
      <c r="E465">
        <v>50</v>
      </c>
      <c r="F465">
        <v>18.467748642</v>
      </c>
      <c r="G465">
        <v>1387.3743896000001</v>
      </c>
      <c r="H465">
        <v>1372.2525635</v>
      </c>
      <c r="I465">
        <v>1247.6175536999999</v>
      </c>
      <c r="J465">
        <v>1204.3551024999999</v>
      </c>
      <c r="K465">
        <v>2750</v>
      </c>
      <c r="L465">
        <v>0</v>
      </c>
      <c r="M465">
        <v>0</v>
      </c>
      <c r="N465">
        <v>2750</v>
      </c>
    </row>
    <row r="466" spans="1:14" x14ac:dyDescent="0.25">
      <c r="A466">
        <v>184</v>
      </c>
      <c r="B466" s="1">
        <f>DATE(2010,11,1) + TIME(0,0,0)</f>
        <v>40483</v>
      </c>
      <c r="C466">
        <v>80</v>
      </c>
      <c r="D466">
        <v>79.929649353000002</v>
      </c>
      <c r="E466">
        <v>50</v>
      </c>
      <c r="F466">
        <v>18.678558349999999</v>
      </c>
      <c r="G466">
        <v>1387.3110352000001</v>
      </c>
      <c r="H466">
        <v>1372.1915283000001</v>
      </c>
      <c r="I466">
        <v>1247.8537598</v>
      </c>
      <c r="J466">
        <v>1204.7513428</v>
      </c>
      <c r="K466">
        <v>2750</v>
      </c>
      <c r="L466">
        <v>0</v>
      </c>
      <c r="M466">
        <v>0</v>
      </c>
      <c r="N466">
        <v>2750</v>
      </c>
    </row>
    <row r="467" spans="1:14" x14ac:dyDescent="0.25">
      <c r="A467">
        <v>184.000001</v>
      </c>
      <c r="B467" s="1">
        <f>DATE(2010,11,1) + TIME(0,0,0)</f>
        <v>40483</v>
      </c>
      <c r="C467">
        <v>80</v>
      </c>
      <c r="D467">
        <v>79.929504394999995</v>
      </c>
      <c r="E467">
        <v>50</v>
      </c>
      <c r="F467">
        <v>18.678710937999998</v>
      </c>
      <c r="G467">
        <v>1371.192749</v>
      </c>
      <c r="H467">
        <v>1357.3046875</v>
      </c>
      <c r="I467">
        <v>1291.5577393000001</v>
      </c>
      <c r="J467">
        <v>1248.9029541</v>
      </c>
      <c r="K467">
        <v>0</v>
      </c>
      <c r="L467">
        <v>2750</v>
      </c>
      <c r="M467">
        <v>2750</v>
      </c>
      <c r="N467">
        <v>0</v>
      </c>
    </row>
    <row r="468" spans="1:14" x14ac:dyDescent="0.25">
      <c r="A468">
        <v>184.00000399999999</v>
      </c>
      <c r="B468" s="1">
        <f>DATE(2010,11,1) + TIME(0,0,0)</f>
        <v>40483</v>
      </c>
      <c r="C468">
        <v>80</v>
      </c>
      <c r="D468">
        <v>79.929145813000005</v>
      </c>
      <c r="E468">
        <v>50</v>
      </c>
      <c r="F468">
        <v>18.679149628000001</v>
      </c>
      <c r="G468">
        <v>1368.6694336</v>
      </c>
      <c r="H468">
        <v>1354.7802733999999</v>
      </c>
      <c r="I468">
        <v>1294.3942870999999</v>
      </c>
      <c r="J468">
        <v>1251.8497314000001</v>
      </c>
      <c r="K468">
        <v>0</v>
      </c>
      <c r="L468">
        <v>2750</v>
      </c>
      <c r="M468">
        <v>2750</v>
      </c>
      <c r="N468">
        <v>0</v>
      </c>
    </row>
    <row r="469" spans="1:14" x14ac:dyDescent="0.25">
      <c r="A469">
        <v>184.000013</v>
      </c>
      <c r="B469" s="1">
        <f>DATE(2010,11,1) + TIME(0,0,1)</f>
        <v>40483.000011574077</v>
      </c>
      <c r="C469">
        <v>80</v>
      </c>
      <c r="D469">
        <v>79.928421021000005</v>
      </c>
      <c r="E469">
        <v>50</v>
      </c>
      <c r="F469">
        <v>18.68031311</v>
      </c>
      <c r="G469">
        <v>1363.5750731999999</v>
      </c>
      <c r="H469">
        <v>1349.6849365</v>
      </c>
      <c r="I469">
        <v>1301.5910644999999</v>
      </c>
      <c r="J469">
        <v>1259.2681885</v>
      </c>
      <c r="K469">
        <v>0</v>
      </c>
      <c r="L469">
        <v>2750</v>
      </c>
      <c r="M469">
        <v>2750</v>
      </c>
      <c r="N469">
        <v>0</v>
      </c>
    </row>
    <row r="470" spans="1:14" x14ac:dyDescent="0.25">
      <c r="A470">
        <v>184.00004000000001</v>
      </c>
      <c r="B470" s="1">
        <f>DATE(2010,11,1) + TIME(0,0,3)</f>
        <v>40483.000034722223</v>
      </c>
      <c r="C470">
        <v>80</v>
      </c>
      <c r="D470">
        <v>79.927360535000005</v>
      </c>
      <c r="E470">
        <v>50</v>
      </c>
      <c r="F470">
        <v>18.683019638000001</v>
      </c>
      <c r="G470">
        <v>1356.1331786999999</v>
      </c>
      <c r="H470">
        <v>1342.2442627</v>
      </c>
      <c r="I470">
        <v>1316.2491454999999</v>
      </c>
      <c r="J470">
        <v>1274.1835937999999</v>
      </c>
      <c r="K470">
        <v>0</v>
      </c>
      <c r="L470">
        <v>2750</v>
      </c>
      <c r="M470">
        <v>2750</v>
      </c>
      <c r="N470">
        <v>0</v>
      </c>
    </row>
    <row r="471" spans="1:14" x14ac:dyDescent="0.25">
      <c r="A471">
        <v>184.00012100000001</v>
      </c>
      <c r="B471" s="1">
        <f>DATE(2010,11,1) + TIME(0,0,10)</f>
        <v>40483.000115740739</v>
      </c>
      <c r="C471">
        <v>80</v>
      </c>
      <c r="D471">
        <v>79.926155089999995</v>
      </c>
      <c r="E471">
        <v>50</v>
      </c>
      <c r="F471">
        <v>18.688686370999999</v>
      </c>
      <c r="G471">
        <v>1347.8402100000001</v>
      </c>
      <c r="H471">
        <v>1333.9641113</v>
      </c>
      <c r="I471">
        <v>1337.8919678</v>
      </c>
      <c r="J471">
        <v>1295.9024658000001</v>
      </c>
      <c r="K471">
        <v>0</v>
      </c>
      <c r="L471">
        <v>2750</v>
      </c>
      <c r="M471">
        <v>2750</v>
      </c>
      <c r="N471">
        <v>0</v>
      </c>
    </row>
    <row r="472" spans="1:14" x14ac:dyDescent="0.25">
      <c r="A472">
        <v>184.00036399999999</v>
      </c>
      <c r="B472" s="1">
        <f>DATE(2010,11,1) + TIME(0,0,31)</f>
        <v>40483.000358796293</v>
      </c>
      <c r="C472">
        <v>80</v>
      </c>
      <c r="D472">
        <v>79.924880981000001</v>
      </c>
      <c r="E472">
        <v>50</v>
      </c>
      <c r="F472">
        <v>18.701375961</v>
      </c>
      <c r="G472">
        <v>1339.5008545000001</v>
      </c>
      <c r="H472">
        <v>1325.6407471</v>
      </c>
      <c r="I472">
        <v>1362.1781006000001</v>
      </c>
      <c r="J472">
        <v>1320.1669922000001</v>
      </c>
      <c r="K472">
        <v>0</v>
      </c>
      <c r="L472">
        <v>2750</v>
      </c>
      <c r="M472">
        <v>2750</v>
      </c>
      <c r="N472">
        <v>0</v>
      </c>
    </row>
    <row r="473" spans="1:14" x14ac:dyDescent="0.25">
      <c r="A473">
        <v>184.001093</v>
      </c>
      <c r="B473" s="1">
        <f>DATE(2010,11,1) + TIME(0,1,34)</f>
        <v>40483.001087962963</v>
      </c>
      <c r="C473">
        <v>80</v>
      </c>
      <c r="D473">
        <v>79.923416137999993</v>
      </c>
      <c r="E473">
        <v>50</v>
      </c>
      <c r="F473">
        <v>18.734325409</v>
      </c>
      <c r="G473">
        <v>1331.0922852000001</v>
      </c>
      <c r="H473">
        <v>1317.2333983999999</v>
      </c>
      <c r="I473">
        <v>1386.5692139</v>
      </c>
      <c r="J473">
        <v>1344.5640868999999</v>
      </c>
      <c r="K473">
        <v>0</v>
      </c>
      <c r="L473">
        <v>2750</v>
      </c>
      <c r="M473">
        <v>2750</v>
      </c>
      <c r="N473">
        <v>0</v>
      </c>
    </row>
    <row r="474" spans="1:14" x14ac:dyDescent="0.25">
      <c r="A474">
        <v>184.00327999999999</v>
      </c>
      <c r="B474" s="1">
        <f>DATE(2010,11,1) + TIME(0,4,43)</f>
        <v>40483.003275462965</v>
      </c>
      <c r="C474">
        <v>80</v>
      </c>
      <c r="D474">
        <v>79.921310425000001</v>
      </c>
      <c r="E474">
        <v>50</v>
      </c>
      <c r="F474">
        <v>18.827867508000001</v>
      </c>
      <c r="G474">
        <v>1322.109375</v>
      </c>
      <c r="H474">
        <v>1308.1832274999999</v>
      </c>
      <c r="I474">
        <v>1410.3438721</v>
      </c>
      <c r="J474">
        <v>1368.3565673999999</v>
      </c>
      <c r="K474">
        <v>0</v>
      </c>
      <c r="L474">
        <v>2750</v>
      </c>
      <c r="M474">
        <v>2750</v>
      </c>
      <c r="N474">
        <v>0</v>
      </c>
    </row>
    <row r="475" spans="1:14" x14ac:dyDescent="0.25">
      <c r="A475">
        <v>184.00984099999999</v>
      </c>
      <c r="B475" s="1">
        <f>DATE(2010,11,1) + TIME(0,14,10)</f>
        <v>40483.009837962964</v>
      </c>
      <c r="C475">
        <v>80</v>
      </c>
      <c r="D475">
        <v>79.917411803999997</v>
      </c>
      <c r="E475">
        <v>50</v>
      </c>
      <c r="F475">
        <v>19.102006912</v>
      </c>
      <c r="G475">
        <v>1312.1379394999999</v>
      </c>
      <c r="H475">
        <v>1298.1115723</v>
      </c>
      <c r="I475">
        <v>1431.5054932</v>
      </c>
      <c r="J475">
        <v>1389.6281738</v>
      </c>
      <c r="K475">
        <v>0</v>
      </c>
      <c r="L475">
        <v>2750</v>
      </c>
      <c r="M475">
        <v>2750</v>
      </c>
      <c r="N475">
        <v>0</v>
      </c>
    </row>
    <row r="476" spans="1:14" x14ac:dyDescent="0.25">
      <c r="A476">
        <v>184.02952400000001</v>
      </c>
      <c r="B476" s="1">
        <f>DATE(2010,11,1) + TIME(0,42,30)</f>
        <v>40483.029513888891</v>
      </c>
      <c r="C476">
        <v>80</v>
      </c>
      <c r="D476">
        <v>79.908767699999999</v>
      </c>
      <c r="E476">
        <v>50</v>
      </c>
      <c r="F476">
        <v>19.902114868000002</v>
      </c>
      <c r="G476">
        <v>1302.9645995999999</v>
      </c>
      <c r="H476">
        <v>1288.8826904</v>
      </c>
      <c r="I476">
        <v>1445.5866699000001</v>
      </c>
      <c r="J476">
        <v>1404.3546143000001</v>
      </c>
      <c r="K476">
        <v>0</v>
      </c>
      <c r="L476">
        <v>2750</v>
      </c>
      <c r="M476">
        <v>2750</v>
      </c>
      <c r="N476">
        <v>0</v>
      </c>
    </row>
    <row r="477" spans="1:14" x14ac:dyDescent="0.25">
      <c r="A477">
        <v>184.05345500000001</v>
      </c>
      <c r="B477" s="1">
        <f>DATE(2010,11,1) + TIME(1,16,58)</f>
        <v>40483.053449074076</v>
      </c>
      <c r="C477">
        <v>80</v>
      </c>
      <c r="D477">
        <v>79.899383545000006</v>
      </c>
      <c r="E477">
        <v>50</v>
      </c>
      <c r="F477">
        <v>20.846773148</v>
      </c>
      <c r="G477">
        <v>1299.0113524999999</v>
      </c>
      <c r="H477">
        <v>1284.9143065999999</v>
      </c>
      <c r="I477">
        <v>1449.4174805</v>
      </c>
      <c r="J477">
        <v>1409.0543213000001</v>
      </c>
      <c r="K477">
        <v>0</v>
      </c>
      <c r="L477">
        <v>2750</v>
      </c>
      <c r="M477">
        <v>2750</v>
      </c>
      <c r="N477">
        <v>0</v>
      </c>
    </row>
    <row r="478" spans="1:14" x14ac:dyDescent="0.25">
      <c r="A478">
        <v>184.07812899999999</v>
      </c>
      <c r="B478" s="1">
        <f>DATE(2010,11,1) + TIME(1,52,30)</f>
        <v>40483.078125</v>
      </c>
      <c r="C478">
        <v>80</v>
      </c>
      <c r="D478">
        <v>79.890136718999997</v>
      </c>
      <c r="E478">
        <v>50</v>
      </c>
      <c r="F478">
        <v>21.791137695</v>
      </c>
      <c r="G478">
        <v>1297.3809814000001</v>
      </c>
      <c r="H478">
        <v>1283.2788086</v>
      </c>
      <c r="I478">
        <v>1449.7326660000001</v>
      </c>
      <c r="J478">
        <v>1410.2476807</v>
      </c>
      <c r="K478">
        <v>0</v>
      </c>
      <c r="L478">
        <v>2750</v>
      </c>
      <c r="M478">
        <v>2750</v>
      </c>
      <c r="N478">
        <v>0</v>
      </c>
    </row>
    <row r="479" spans="1:14" x14ac:dyDescent="0.25">
      <c r="A479">
        <v>184.10353499999999</v>
      </c>
      <c r="B479" s="1">
        <f>DATE(2010,11,1) + TIME(2,29,5)</f>
        <v>40483.103530092594</v>
      </c>
      <c r="C479">
        <v>80</v>
      </c>
      <c r="D479">
        <v>79.880844116000006</v>
      </c>
      <c r="E479">
        <v>50</v>
      </c>
      <c r="F479">
        <v>22.732696532999999</v>
      </c>
      <c r="G479">
        <v>1296.6627197</v>
      </c>
      <c r="H479">
        <v>1282.5582274999999</v>
      </c>
      <c r="I479">
        <v>1448.9327393000001</v>
      </c>
      <c r="J479">
        <v>1410.3057861</v>
      </c>
      <c r="K479">
        <v>0</v>
      </c>
      <c r="L479">
        <v>2750</v>
      </c>
      <c r="M479">
        <v>2750</v>
      </c>
      <c r="N479">
        <v>0</v>
      </c>
    </row>
    <row r="480" spans="1:14" x14ac:dyDescent="0.25">
      <c r="A480">
        <v>184.12970200000001</v>
      </c>
      <c r="B480" s="1">
        <f>DATE(2010,11,1) + TIME(3,6,46)</f>
        <v>40483.129699074074</v>
      </c>
      <c r="C480">
        <v>80</v>
      </c>
      <c r="D480">
        <v>79.871437072999996</v>
      </c>
      <c r="E480">
        <v>50</v>
      </c>
      <c r="F480">
        <v>23.670675278000001</v>
      </c>
      <c r="G480">
        <v>1296.3304443</v>
      </c>
      <c r="H480">
        <v>1282.2246094</v>
      </c>
      <c r="I480">
        <v>1447.7877197</v>
      </c>
      <c r="J480">
        <v>1409.9891356999999</v>
      </c>
      <c r="K480">
        <v>0</v>
      </c>
      <c r="L480">
        <v>2750</v>
      </c>
      <c r="M480">
        <v>2750</v>
      </c>
      <c r="N480">
        <v>0</v>
      </c>
    </row>
    <row r="481" spans="1:14" x14ac:dyDescent="0.25">
      <c r="A481">
        <v>184.156665</v>
      </c>
      <c r="B481" s="1">
        <f>DATE(2010,11,1) + TIME(3,45,35)</f>
        <v>40483.156655092593</v>
      </c>
      <c r="C481">
        <v>80</v>
      </c>
      <c r="D481">
        <v>79.861869811999995</v>
      </c>
      <c r="E481">
        <v>50</v>
      </c>
      <c r="F481">
        <v>24.604455947999998</v>
      </c>
      <c r="G481">
        <v>1296.1696777</v>
      </c>
      <c r="H481">
        <v>1282.0629882999999</v>
      </c>
      <c r="I481">
        <v>1446.5637207</v>
      </c>
      <c r="J481">
        <v>1409.5617675999999</v>
      </c>
      <c r="K481">
        <v>0</v>
      </c>
      <c r="L481">
        <v>2750</v>
      </c>
      <c r="M481">
        <v>2750</v>
      </c>
      <c r="N481">
        <v>0</v>
      </c>
    </row>
    <row r="482" spans="1:14" x14ac:dyDescent="0.25">
      <c r="A482">
        <v>184.18447</v>
      </c>
      <c r="B482" s="1">
        <f>DATE(2010,11,1) + TIME(4,25,38)</f>
        <v>40483.184467592589</v>
      </c>
      <c r="C482">
        <v>80</v>
      </c>
      <c r="D482">
        <v>79.852127074999999</v>
      </c>
      <c r="E482">
        <v>50</v>
      </c>
      <c r="F482">
        <v>25.533994674999999</v>
      </c>
      <c r="G482">
        <v>1296.0888672000001</v>
      </c>
      <c r="H482">
        <v>1281.9814452999999</v>
      </c>
      <c r="I482">
        <v>1445.3519286999999</v>
      </c>
      <c r="J482">
        <v>1409.1147461</v>
      </c>
      <c r="K482">
        <v>0</v>
      </c>
      <c r="L482">
        <v>2750</v>
      </c>
      <c r="M482">
        <v>2750</v>
      </c>
      <c r="N482">
        <v>0</v>
      </c>
    </row>
    <row r="483" spans="1:14" x14ac:dyDescent="0.25">
      <c r="A483">
        <v>184.21319099999999</v>
      </c>
      <c r="B483" s="1">
        <f>DATE(2010,11,1) + TIME(5,6,59)</f>
        <v>40483.213182870371</v>
      </c>
      <c r="C483">
        <v>80</v>
      </c>
      <c r="D483">
        <v>79.842185974000003</v>
      </c>
      <c r="E483">
        <v>50</v>
      </c>
      <c r="F483">
        <v>26.459627150999999</v>
      </c>
      <c r="G483">
        <v>1296.0466309000001</v>
      </c>
      <c r="H483">
        <v>1281.9385986</v>
      </c>
      <c r="I483">
        <v>1444.1796875</v>
      </c>
      <c r="J483">
        <v>1408.6768798999999</v>
      </c>
      <c r="K483">
        <v>0</v>
      </c>
      <c r="L483">
        <v>2750</v>
      </c>
      <c r="M483">
        <v>2750</v>
      </c>
      <c r="N483">
        <v>0</v>
      </c>
    </row>
    <row r="484" spans="1:14" x14ac:dyDescent="0.25">
      <c r="A484">
        <v>184.242895</v>
      </c>
      <c r="B484" s="1">
        <f>DATE(2010,11,1) + TIME(5,49,46)</f>
        <v>40483.242893518516</v>
      </c>
      <c r="C484">
        <v>80</v>
      </c>
      <c r="D484">
        <v>79.832015991000006</v>
      </c>
      <c r="E484">
        <v>50</v>
      </c>
      <c r="F484">
        <v>27.380994797</v>
      </c>
      <c r="G484">
        <v>1296.0239257999999</v>
      </c>
      <c r="H484">
        <v>1281.9152832</v>
      </c>
      <c r="I484">
        <v>1443.0524902</v>
      </c>
      <c r="J484">
        <v>1408.2551269999999</v>
      </c>
      <c r="K484">
        <v>0</v>
      </c>
      <c r="L484">
        <v>2750</v>
      </c>
      <c r="M484">
        <v>2750</v>
      </c>
      <c r="N484">
        <v>0</v>
      </c>
    </row>
    <row r="485" spans="1:14" x14ac:dyDescent="0.25">
      <c r="A485">
        <v>184.27365900000001</v>
      </c>
      <c r="B485" s="1">
        <f>DATE(2010,11,1) + TIME(6,34,4)</f>
        <v>40483.273657407408</v>
      </c>
      <c r="C485">
        <v>80</v>
      </c>
      <c r="D485">
        <v>79.821609496999997</v>
      </c>
      <c r="E485">
        <v>50</v>
      </c>
      <c r="F485">
        <v>28.297992705999999</v>
      </c>
      <c r="G485">
        <v>1296.0114745999999</v>
      </c>
      <c r="H485">
        <v>1281.9022216999999</v>
      </c>
      <c r="I485">
        <v>1441.9691161999999</v>
      </c>
      <c r="J485">
        <v>1407.8496094</v>
      </c>
      <c r="K485">
        <v>0</v>
      </c>
      <c r="L485">
        <v>2750</v>
      </c>
      <c r="M485">
        <v>2750</v>
      </c>
      <c r="N485">
        <v>0</v>
      </c>
    </row>
    <row r="486" spans="1:14" x14ac:dyDescent="0.25">
      <c r="A486">
        <v>184.30556300000001</v>
      </c>
      <c r="B486" s="1">
        <f>DATE(2010,11,1) + TIME(7,20,0)</f>
        <v>40483.305555555555</v>
      </c>
      <c r="C486">
        <v>80</v>
      </c>
      <c r="D486">
        <v>79.810943604000002</v>
      </c>
      <c r="E486">
        <v>50</v>
      </c>
      <c r="F486">
        <v>29.210443497</v>
      </c>
      <c r="G486">
        <v>1296.0043945</v>
      </c>
      <c r="H486">
        <v>1281.8945312000001</v>
      </c>
      <c r="I486">
        <v>1440.9265137</v>
      </c>
      <c r="J486">
        <v>1407.458374</v>
      </c>
      <c r="K486">
        <v>0</v>
      </c>
      <c r="L486">
        <v>2750</v>
      </c>
      <c r="M486">
        <v>2750</v>
      </c>
      <c r="N486">
        <v>0</v>
      </c>
    </row>
    <row r="487" spans="1:14" x14ac:dyDescent="0.25">
      <c r="A487">
        <v>184.33868100000001</v>
      </c>
      <c r="B487" s="1">
        <f>DATE(2010,11,1) + TIME(8,7,42)</f>
        <v>40483.338680555556</v>
      </c>
      <c r="C487">
        <v>80</v>
      </c>
      <c r="D487">
        <v>79.800003051999994</v>
      </c>
      <c r="E487">
        <v>50</v>
      </c>
      <c r="F487">
        <v>30.117750168000001</v>
      </c>
      <c r="G487">
        <v>1296.0002440999999</v>
      </c>
      <c r="H487">
        <v>1281.8897704999999</v>
      </c>
      <c r="I487">
        <v>1439.9223632999999</v>
      </c>
      <c r="J487">
        <v>1407.0800781</v>
      </c>
      <c r="K487">
        <v>0</v>
      </c>
      <c r="L487">
        <v>2750</v>
      </c>
      <c r="M487">
        <v>2750</v>
      </c>
      <c r="N487">
        <v>0</v>
      </c>
    </row>
    <row r="488" spans="1:14" x14ac:dyDescent="0.25">
      <c r="A488">
        <v>184.37313700000001</v>
      </c>
      <c r="B488" s="1">
        <f>DATE(2010,11,1) + TIME(8,57,19)</f>
        <v>40483.373136574075</v>
      </c>
      <c r="C488">
        <v>80</v>
      </c>
      <c r="D488">
        <v>79.788749695000007</v>
      </c>
      <c r="E488">
        <v>50</v>
      </c>
      <c r="F488">
        <v>31.020429611000001</v>
      </c>
      <c r="G488">
        <v>1295.9975586</v>
      </c>
      <c r="H488">
        <v>1281.8864745999999</v>
      </c>
      <c r="I488">
        <v>1438.9528809000001</v>
      </c>
      <c r="J488">
        <v>1406.7126464999999</v>
      </c>
      <c r="K488">
        <v>0</v>
      </c>
      <c r="L488">
        <v>2750</v>
      </c>
      <c r="M488">
        <v>2750</v>
      </c>
      <c r="N488">
        <v>0</v>
      </c>
    </row>
    <row r="489" spans="1:14" x14ac:dyDescent="0.25">
      <c r="A489">
        <v>184.40904900000001</v>
      </c>
      <c r="B489" s="1">
        <f>DATE(2010,11,1) + TIME(9,49,1)</f>
        <v>40483.409039351849</v>
      </c>
      <c r="C489">
        <v>80</v>
      </c>
      <c r="D489">
        <v>79.777168274000005</v>
      </c>
      <c r="E489">
        <v>50</v>
      </c>
      <c r="F489">
        <v>31.918121337999999</v>
      </c>
      <c r="G489">
        <v>1295.9956055</v>
      </c>
      <c r="H489">
        <v>1281.8837891000001</v>
      </c>
      <c r="I489">
        <v>1438.0159911999999</v>
      </c>
      <c r="J489">
        <v>1406.3547363</v>
      </c>
      <c r="K489">
        <v>0</v>
      </c>
      <c r="L489">
        <v>2750</v>
      </c>
      <c r="M489">
        <v>2750</v>
      </c>
      <c r="N489">
        <v>0</v>
      </c>
    </row>
    <row r="490" spans="1:14" x14ac:dyDescent="0.25">
      <c r="A490">
        <v>184.44654800000001</v>
      </c>
      <c r="B490" s="1">
        <f>DATE(2010,11,1) + TIME(10,43,1)</f>
        <v>40483.446539351855</v>
      </c>
      <c r="C490">
        <v>80</v>
      </c>
      <c r="D490">
        <v>79.765228270999998</v>
      </c>
      <c r="E490">
        <v>50</v>
      </c>
      <c r="F490">
        <v>32.810600280999999</v>
      </c>
      <c r="G490">
        <v>1295.9940185999999</v>
      </c>
      <c r="H490">
        <v>1281.8815918</v>
      </c>
      <c r="I490">
        <v>1437.1092529</v>
      </c>
      <c r="J490">
        <v>1406.0051269999999</v>
      </c>
      <c r="K490">
        <v>0</v>
      </c>
      <c r="L490">
        <v>2750</v>
      </c>
      <c r="M490">
        <v>2750</v>
      </c>
      <c r="N490">
        <v>0</v>
      </c>
    </row>
    <row r="491" spans="1:14" x14ac:dyDescent="0.25">
      <c r="A491">
        <v>184.48578699999999</v>
      </c>
      <c r="B491" s="1">
        <f>DATE(2010,11,1) + TIME(11,39,31)</f>
        <v>40483.485775462963</v>
      </c>
      <c r="C491">
        <v>80</v>
      </c>
      <c r="D491">
        <v>79.752891540999997</v>
      </c>
      <c r="E491">
        <v>50</v>
      </c>
      <c r="F491">
        <v>33.697612761999999</v>
      </c>
      <c r="G491">
        <v>1295.9924315999999</v>
      </c>
      <c r="H491">
        <v>1281.8792725000001</v>
      </c>
      <c r="I491">
        <v>1436.2307129000001</v>
      </c>
      <c r="J491">
        <v>1405.6629639</v>
      </c>
      <c r="K491">
        <v>0</v>
      </c>
      <c r="L491">
        <v>2750</v>
      </c>
      <c r="M491">
        <v>2750</v>
      </c>
      <c r="N491">
        <v>0</v>
      </c>
    </row>
    <row r="492" spans="1:14" x14ac:dyDescent="0.25">
      <c r="A492">
        <v>184.52692999999999</v>
      </c>
      <c r="B492" s="1">
        <f>DATE(2010,11,1) + TIME(12,38,46)</f>
        <v>40483.526921296296</v>
      </c>
      <c r="C492">
        <v>80</v>
      </c>
      <c r="D492">
        <v>79.740112304999997</v>
      </c>
      <c r="E492">
        <v>50</v>
      </c>
      <c r="F492">
        <v>34.578685759999999</v>
      </c>
      <c r="G492">
        <v>1295.9908447</v>
      </c>
      <c r="H492">
        <v>1281.8770752</v>
      </c>
      <c r="I492">
        <v>1435.3790283000001</v>
      </c>
      <c r="J492">
        <v>1405.3273925999999</v>
      </c>
      <c r="K492">
        <v>0</v>
      </c>
      <c r="L492">
        <v>2750</v>
      </c>
      <c r="M492">
        <v>2750</v>
      </c>
      <c r="N492">
        <v>0</v>
      </c>
    </row>
    <row r="493" spans="1:14" x14ac:dyDescent="0.25">
      <c r="A493">
        <v>184.57018199999999</v>
      </c>
      <c r="B493" s="1">
        <f>DATE(2010,11,1) + TIME(13,41,3)</f>
        <v>40483.570173611108</v>
      </c>
      <c r="C493">
        <v>80</v>
      </c>
      <c r="D493">
        <v>79.726860045999999</v>
      </c>
      <c r="E493">
        <v>50</v>
      </c>
      <c r="F493">
        <v>35.453624724999997</v>
      </c>
      <c r="G493">
        <v>1295.9891356999999</v>
      </c>
      <c r="H493">
        <v>1281.8746338000001</v>
      </c>
      <c r="I493">
        <v>1434.552124</v>
      </c>
      <c r="J493">
        <v>1404.9973144999999</v>
      </c>
      <c r="K493">
        <v>0</v>
      </c>
      <c r="L493">
        <v>2750</v>
      </c>
      <c r="M493">
        <v>2750</v>
      </c>
      <c r="N493">
        <v>0</v>
      </c>
    </row>
    <row r="494" spans="1:14" x14ac:dyDescent="0.25">
      <c r="A494">
        <v>184.61577600000001</v>
      </c>
      <c r="B494" s="1">
        <f>DATE(2010,11,1) + TIME(14,46,43)</f>
        <v>40483.61577546296</v>
      </c>
      <c r="C494">
        <v>80</v>
      </c>
      <c r="D494">
        <v>79.713081360000004</v>
      </c>
      <c r="E494">
        <v>50</v>
      </c>
      <c r="F494">
        <v>36.322048187</v>
      </c>
      <c r="G494">
        <v>1295.9873047000001</v>
      </c>
      <c r="H494">
        <v>1281.8720702999999</v>
      </c>
      <c r="I494">
        <v>1433.7485352000001</v>
      </c>
      <c r="J494">
        <v>1404.6721190999999</v>
      </c>
      <c r="K494">
        <v>0</v>
      </c>
      <c r="L494">
        <v>2750</v>
      </c>
      <c r="M494">
        <v>2750</v>
      </c>
      <c r="N494">
        <v>0</v>
      </c>
    </row>
    <row r="495" spans="1:14" x14ac:dyDescent="0.25">
      <c r="A495">
        <v>184.66398100000001</v>
      </c>
      <c r="B495" s="1">
        <f>DATE(2010,11,1) + TIME(15,56,7)</f>
        <v>40483.663969907408</v>
      </c>
      <c r="C495">
        <v>80</v>
      </c>
      <c r="D495">
        <v>79.698707580999994</v>
      </c>
      <c r="E495">
        <v>50</v>
      </c>
      <c r="F495">
        <v>37.183506012000002</v>
      </c>
      <c r="G495">
        <v>1295.9852295000001</v>
      </c>
      <c r="H495">
        <v>1281.8692627</v>
      </c>
      <c r="I495">
        <v>1432.9667969</v>
      </c>
      <c r="J495">
        <v>1404.3507079999999</v>
      </c>
      <c r="K495">
        <v>0</v>
      </c>
      <c r="L495">
        <v>2750</v>
      </c>
      <c r="M495">
        <v>2750</v>
      </c>
      <c r="N495">
        <v>0</v>
      </c>
    </row>
    <row r="496" spans="1:14" x14ac:dyDescent="0.25">
      <c r="A496">
        <v>184.715113</v>
      </c>
      <c r="B496" s="1">
        <f>DATE(2010,11,1) + TIME(17,9,45)</f>
        <v>40483.715104166666</v>
      </c>
      <c r="C496">
        <v>80</v>
      </c>
      <c r="D496">
        <v>79.683677673000005</v>
      </c>
      <c r="E496">
        <v>50</v>
      </c>
      <c r="F496">
        <v>38.037456511999999</v>
      </c>
      <c r="G496">
        <v>1295.9830322</v>
      </c>
      <c r="H496">
        <v>1281.8662108999999</v>
      </c>
      <c r="I496">
        <v>1432.2052002</v>
      </c>
      <c r="J496">
        <v>1404.0324707</v>
      </c>
      <c r="K496">
        <v>0</v>
      </c>
      <c r="L496">
        <v>2750</v>
      </c>
      <c r="M496">
        <v>2750</v>
      </c>
      <c r="N496">
        <v>0</v>
      </c>
    </row>
    <row r="497" spans="1:14" x14ac:dyDescent="0.25">
      <c r="A497">
        <v>184.76954799999999</v>
      </c>
      <c r="B497" s="1">
        <f>DATE(2010,11,1) + TIME(18,28,8)</f>
        <v>40483.769537037035</v>
      </c>
      <c r="C497">
        <v>80</v>
      </c>
      <c r="D497">
        <v>79.667907714999998</v>
      </c>
      <c r="E497">
        <v>50</v>
      </c>
      <c r="F497">
        <v>38.883285522000001</v>
      </c>
      <c r="G497">
        <v>1295.9805908000001</v>
      </c>
      <c r="H497">
        <v>1281.8629149999999</v>
      </c>
      <c r="I497">
        <v>1431.4622803</v>
      </c>
      <c r="J497">
        <v>1403.7163086</v>
      </c>
      <c r="K497">
        <v>0</v>
      </c>
      <c r="L497">
        <v>2750</v>
      </c>
      <c r="M497">
        <v>2750</v>
      </c>
      <c r="N497">
        <v>0</v>
      </c>
    </row>
    <row r="498" spans="1:14" x14ac:dyDescent="0.25">
      <c r="A498">
        <v>184.82773800000001</v>
      </c>
      <c r="B498" s="1">
        <f>DATE(2010,11,1) + TIME(19,51,56)</f>
        <v>40483.827731481484</v>
      </c>
      <c r="C498">
        <v>80</v>
      </c>
      <c r="D498">
        <v>79.651298522999994</v>
      </c>
      <c r="E498">
        <v>50</v>
      </c>
      <c r="F498">
        <v>39.720272064</v>
      </c>
      <c r="G498">
        <v>1295.9779053</v>
      </c>
      <c r="H498">
        <v>1281.859375</v>
      </c>
      <c r="I498">
        <v>1430.7366943</v>
      </c>
      <c r="J498">
        <v>1403.4012451000001</v>
      </c>
      <c r="K498">
        <v>0</v>
      </c>
      <c r="L498">
        <v>2750</v>
      </c>
      <c r="M498">
        <v>2750</v>
      </c>
      <c r="N498">
        <v>0</v>
      </c>
    </row>
    <row r="499" spans="1:14" x14ac:dyDescent="0.25">
      <c r="A499">
        <v>184.89022900000001</v>
      </c>
      <c r="B499" s="1">
        <f>DATE(2010,11,1) + TIME(21,21,55)</f>
        <v>40483.890219907407</v>
      </c>
      <c r="C499">
        <v>80</v>
      </c>
      <c r="D499">
        <v>79.633735657000003</v>
      </c>
      <c r="E499">
        <v>50</v>
      </c>
      <c r="F499">
        <v>40.547702788999999</v>
      </c>
      <c r="G499">
        <v>1295.9750977000001</v>
      </c>
      <c r="H499">
        <v>1281.8555908000001</v>
      </c>
      <c r="I499">
        <v>1430.0269774999999</v>
      </c>
      <c r="J499">
        <v>1403.0861815999999</v>
      </c>
      <c r="K499">
        <v>0</v>
      </c>
      <c r="L499">
        <v>2750</v>
      </c>
      <c r="M499">
        <v>2750</v>
      </c>
      <c r="N499">
        <v>0</v>
      </c>
    </row>
    <row r="500" spans="1:14" x14ac:dyDescent="0.25">
      <c r="A500">
        <v>184.95769100000001</v>
      </c>
      <c r="B500" s="1">
        <f>DATE(2010,11,1) + TIME(22,59,4)</f>
        <v>40483.957685185182</v>
      </c>
      <c r="C500">
        <v>80</v>
      </c>
      <c r="D500">
        <v>79.615081786999994</v>
      </c>
      <c r="E500">
        <v>50</v>
      </c>
      <c r="F500">
        <v>41.364521027000002</v>
      </c>
      <c r="G500">
        <v>1295.9719238</v>
      </c>
      <c r="H500">
        <v>1281.8514404</v>
      </c>
      <c r="I500">
        <v>1429.3314209</v>
      </c>
      <c r="J500">
        <v>1402.7701416</v>
      </c>
      <c r="K500">
        <v>0</v>
      </c>
      <c r="L500">
        <v>2750</v>
      </c>
      <c r="M500">
        <v>2750</v>
      </c>
      <c r="N500">
        <v>0</v>
      </c>
    </row>
    <row r="501" spans="1:14" x14ac:dyDescent="0.25">
      <c r="A501">
        <v>185.030959</v>
      </c>
      <c r="B501" s="1">
        <f>DATE(2010,11,2) + TIME(0,44,34)</f>
        <v>40484.030949074076</v>
      </c>
      <c r="C501">
        <v>80</v>
      </c>
      <c r="D501">
        <v>79.595169067</v>
      </c>
      <c r="E501">
        <v>50</v>
      </c>
      <c r="F501">
        <v>42.169483184999997</v>
      </c>
      <c r="G501">
        <v>1295.9685059000001</v>
      </c>
      <c r="H501">
        <v>1281.8470459</v>
      </c>
      <c r="I501">
        <v>1428.6485596</v>
      </c>
      <c r="J501">
        <v>1402.4516602000001</v>
      </c>
      <c r="K501">
        <v>0</v>
      </c>
      <c r="L501">
        <v>2750</v>
      </c>
      <c r="M501">
        <v>2750</v>
      </c>
      <c r="N501">
        <v>0</v>
      </c>
    </row>
    <row r="502" spans="1:14" x14ac:dyDescent="0.25">
      <c r="A502">
        <v>185.11108200000001</v>
      </c>
      <c r="B502" s="1">
        <f>DATE(2010,11,2) + TIME(2,39,57)</f>
        <v>40484.111076388886</v>
      </c>
      <c r="C502">
        <v>80</v>
      </c>
      <c r="D502">
        <v>79.573776245000005</v>
      </c>
      <c r="E502">
        <v>50</v>
      </c>
      <c r="F502">
        <v>42.961128234999997</v>
      </c>
      <c r="G502">
        <v>1295.9647216999999</v>
      </c>
      <c r="H502">
        <v>1281.8421631000001</v>
      </c>
      <c r="I502">
        <v>1427.9765625</v>
      </c>
      <c r="J502">
        <v>1402.1292725000001</v>
      </c>
      <c r="K502">
        <v>0</v>
      </c>
      <c r="L502">
        <v>2750</v>
      </c>
      <c r="M502">
        <v>2750</v>
      </c>
      <c r="N502">
        <v>0</v>
      </c>
    </row>
    <row r="503" spans="1:14" x14ac:dyDescent="0.25">
      <c r="A503">
        <v>185.19940500000001</v>
      </c>
      <c r="B503" s="1">
        <f>DATE(2010,11,2) + TIME(4,47,8)</f>
        <v>40484.19939814815</v>
      </c>
      <c r="C503">
        <v>80</v>
      </c>
      <c r="D503">
        <v>79.550628661999994</v>
      </c>
      <c r="E503">
        <v>50</v>
      </c>
      <c r="F503">
        <v>43.737636565999999</v>
      </c>
      <c r="G503">
        <v>1295.9605713000001</v>
      </c>
      <c r="H503">
        <v>1281.8369141000001</v>
      </c>
      <c r="I503">
        <v>1427.3139647999999</v>
      </c>
      <c r="J503">
        <v>1401.8012695</v>
      </c>
      <c r="K503">
        <v>0</v>
      </c>
      <c r="L503">
        <v>2750</v>
      </c>
      <c r="M503">
        <v>2750</v>
      </c>
      <c r="N503">
        <v>0</v>
      </c>
    </row>
    <row r="504" spans="1:14" x14ac:dyDescent="0.25">
      <c r="A504">
        <v>185.29772299999999</v>
      </c>
      <c r="B504" s="1">
        <f>DATE(2010,11,2) + TIME(7,8,43)</f>
        <v>40484.297719907408</v>
      </c>
      <c r="C504">
        <v>80</v>
      </c>
      <c r="D504">
        <v>79.525382996000005</v>
      </c>
      <c r="E504">
        <v>50</v>
      </c>
      <c r="F504">
        <v>44.497039794999999</v>
      </c>
      <c r="G504">
        <v>1295.9559326000001</v>
      </c>
      <c r="H504">
        <v>1281.8310547000001</v>
      </c>
      <c r="I504">
        <v>1426.6584473</v>
      </c>
      <c r="J504">
        <v>1401.4656981999999</v>
      </c>
      <c r="K504">
        <v>0</v>
      </c>
      <c r="L504">
        <v>2750</v>
      </c>
      <c r="M504">
        <v>2750</v>
      </c>
      <c r="N504">
        <v>0</v>
      </c>
    </row>
    <row r="505" spans="1:14" x14ac:dyDescent="0.25">
      <c r="A505">
        <v>185.399564</v>
      </c>
      <c r="B505" s="1">
        <f>DATE(2010,11,2) + TIME(9,35,22)</f>
        <v>40484.399560185186</v>
      </c>
      <c r="C505">
        <v>80</v>
      </c>
      <c r="D505">
        <v>79.499526978000006</v>
      </c>
      <c r="E505">
        <v>50</v>
      </c>
      <c r="F505">
        <v>45.184921265</v>
      </c>
      <c r="G505">
        <v>1295.9506836</v>
      </c>
      <c r="H505">
        <v>1281.8245850000001</v>
      </c>
      <c r="I505">
        <v>1426.0444336</v>
      </c>
      <c r="J505">
        <v>1401.1336670000001</v>
      </c>
      <c r="K505">
        <v>0</v>
      </c>
      <c r="L505">
        <v>2750</v>
      </c>
      <c r="M505">
        <v>2750</v>
      </c>
      <c r="N505">
        <v>0</v>
      </c>
    </row>
    <row r="506" spans="1:14" x14ac:dyDescent="0.25">
      <c r="A506">
        <v>185.50258400000001</v>
      </c>
      <c r="B506" s="1">
        <f>DATE(2010,11,2) + TIME(12,3,43)</f>
        <v>40484.502581018518</v>
      </c>
      <c r="C506">
        <v>80</v>
      </c>
      <c r="D506">
        <v>79.473587035999998</v>
      </c>
      <c r="E506">
        <v>50</v>
      </c>
      <c r="F506">
        <v>45.792366028000004</v>
      </c>
      <c r="G506">
        <v>1295.9451904</v>
      </c>
      <c r="H506">
        <v>1281.8179932</v>
      </c>
      <c r="I506">
        <v>1425.4841309000001</v>
      </c>
      <c r="J506">
        <v>1400.8175048999999</v>
      </c>
      <c r="K506">
        <v>0</v>
      </c>
      <c r="L506">
        <v>2750</v>
      </c>
      <c r="M506">
        <v>2750</v>
      </c>
      <c r="N506">
        <v>0</v>
      </c>
    </row>
    <row r="507" spans="1:14" x14ac:dyDescent="0.25">
      <c r="A507">
        <v>185.60741899999999</v>
      </c>
      <c r="B507" s="1">
        <f>DATE(2010,11,2) + TIME(14,34,41)</f>
        <v>40484.607418981483</v>
      </c>
      <c r="C507">
        <v>80</v>
      </c>
      <c r="D507">
        <v>79.447402953999998</v>
      </c>
      <c r="E507">
        <v>50</v>
      </c>
      <c r="F507">
        <v>46.330608368</v>
      </c>
      <c r="G507">
        <v>1295.9395752</v>
      </c>
      <c r="H507">
        <v>1281.8112793</v>
      </c>
      <c r="I507">
        <v>1424.9710693</v>
      </c>
      <c r="J507">
        <v>1400.5177002</v>
      </c>
      <c r="K507">
        <v>0</v>
      </c>
      <c r="L507">
        <v>2750</v>
      </c>
      <c r="M507">
        <v>2750</v>
      </c>
      <c r="N507">
        <v>0</v>
      </c>
    </row>
    <row r="508" spans="1:14" x14ac:dyDescent="0.25">
      <c r="A508">
        <v>185.714538</v>
      </c>
      <c r="B508" s="1">
        <f>DATE(2010,11,2) + TIME(17,8,56)</f>
        <v>40484.714537037034</v>
      </c>
      <c r="C508">
        <v>80</v>
      </c>
      <c r="D508">
        <v>79.420883179</v>
      </c>
      <c r="E508">
        <v>50</v>
      </c>
      <c r="F508">
        <v>46.808006286999998</v>
      </c>
      <c r="G508">
        <v>1295.9339600000001</v>
      </c>
      <c r="H508">
        <v>1281.8043213000001</v>
      </c>
      <c r="I508">
        <v>1424.4980469</v>
      </c>
      <c r="J508">
        <v>1400.2313231999999</v>
      </c>
      <c r="K508">
        <v>0</v>
      </c>
      <c r="L508">
        <v>2750</v>
      </c>
      <c r="M508">
        <v>2750</v>
      </c>
      <c r="N508">
        <v>0</v>
      </c>
    </row>
    <row r="509" spans="1:14" x14ac:dyDescent="0.25">
      <c r="A509">
        <v>185.82442399999999</v>
      </c>
      <c r="B509" s="1">
        <f>DATE(2010,11,2) + TIME(19,47,10)</f>
        <v>40484.824421296296</v>
      </c>
      <c r="C509">
        <v>80</v>
      </c>
      <c r="D509">
        <v>79.393913268999995</v>
      </c>
      <c r="E509">
        <v>50</v>
      </c>
      <c r="F509">
        <v>47.231578827</v>
      </c>
      <c r="G509">
        <v>1295.9281006000001</v>
      </c>
      <c r="H509">
        <v>1281.7973632999999</v>
      </c>
      <c r="I509">
        <v>1424.0587158000001</v>
      </c>
      <c r="J509">
        <v>1399.9561768000001</v>
      </c>
      <c r="K509">
        <v>0</v>
      </c>
      <c r="L509">
        <v>2750</v>
      </c>
      <c r="M509">
        <v>2750</v>
      </c>
      <c r="N509">
        <v>0</v>
      </c>
    </row>
    <row r="510" spans="1:14" x14ac:dyDescent="0.25">
      <c r="A510">
        <v>185.937206</v>
      </c>
      <c r="B510" s="1">
        <f>DATE(2010,11,2) + TIME(22,29,34)</f>
        <v>40484.937199074076</v>
      </c>
      <c r="C510">
        <v>80</v>
      </c>
      <c r="D510">
        <v>79.366477966000005</v>
      </c>
      <c r="E510">
        <v>50</v>
      </c>
      <c r="F510">
        <v>47.606182097999998</v>
      </c>
      <c r="G510">
        <v>1295.9219971</v>
      </c>
      <c r="H510">
        <v>1281.7901611</v>
      </c>
      <c r="I510">
        <v>1423.6491699000001</v>
      </c>
      <c r="J510">
        <v>1399.6905518000001</v>
      </c>
      <c r="K510">
        <v>0</v>
      </c>
      <c r="L510">
        <v>2750</v>
      </c>
      <c r="M510">
        <v>2750</v>
      </c>
      <c r="N510">
        <v>0</v>
      </c>
    </row>
    <row r="511" spans="1:14" x14ac:dyDescent="0.25">
      <c r="A511">
        <v>186.05333400000001</v>
      </c>
      <c r="B511" s="1">
        <f>DATE(2010,11,3) + TIME(1,16,48)</f>
        <v>40485.053333333337</v>
      </c>
      <c r="C511">
        <v>80</v>
      </c>
      <c r="D511">
        <v>79.338462829999997</v>
      </c>
      <c r="E511">
        <v>50</v>
      </c>
      <c r="F511">
        <v>47.937133789000001</v>
      </c>
      <c r="G511">
        <v>1295.9158935999999</v>
      </c>
      <c r="H511">
        <v>1281.7827147999999</v>
      </c>
      <c r="I511">
        <v>1423.2653809000001</v>
      </c>
      <c r="J511">
        <v>1399.4334716999999</v>
      </c>
      <c r="K511">
        <v>0</v>
      </c>
      <c r="L511">
        <v>2750</v>
      </c>
      <c r="M511">
        <v>2750</v>
      </c>
      <c r="N511">
        <v>0</v>
      </c>
    </row>
    <row r="512" spans="1:14" x14ac:dyDescent="0.25">
      <c r="A512">
        <v>186.173328</v>
      </c>
      <c r="B512" s="1">
        <f>DATE(2010,11,3) + TIME(4,9,35)</f>
        <v>40485.173321759263</v>
      </c>
      <c r="C512">
        <v>80</v>
      </c>
      <c r="D512">
        <v>79.309776306000003</v>
      </c>
      <c r="E512">
        <v>50</v>
      </c>
      <c r="F512">
        <v>48.229133605999998</v>
      </c>
      <c r="G512">
        <v>1295.9094238</v>
      </c>
      <c r="H512">
        <v>1281.7750243999999</v>
      </c>
      <c r="I512">
        <v>1422.9039307</v>
      </c>
      <c r="J512">
        <v>1399.1833495999999</v>
      </c>
      <c r="K512">
        <v>0</v>
      </c>
      <c r="L512">
        <v>2750</v>
      </c>
      <c r="M512">
        <v>2750</v>
      </c>
      <c r="N512">
        <v>0</v>
      </c>
    </row>
    <row r="513" spans="1:14" x14ac:dyDescent="0.25">
      <c r="A513">
        <v>186.29770199999999</v>
      </c>
      <c r="B513" s="1">
        <f>DATE(2010,11,3) + TIME(7,8,41)</f>
        <v>40485.297696759262</v>
      </c>
      <c r="C513">
        <v>80</v>
      </c>
      <c r="D513">
        <v>79.280303954999994</v>
      </c>
      <c r="E513">
        <v>50</v>
      </c>
      <c r="F513">
        <v>48.486186981000003</v>
      </c>
      <c r="G513">
        <v>1295.902832</v>
      </c>
      <c r="H513">
        <v>1281.7672118999999</v>
      </c>
      <c r="I513">
        <v>1422.5615233999999</v>
      </c>
      <c r="J513">
        <v>1398.9389647999999</v>
      </c>
      <c r="K513">
        <v>0</v>
      </c>
      <c r="L513">
        <v>2750</v>
      </c>
      <c r="M513">
        <v>2750</v>
      </c>
      <c r="N513">
        <v>0</v>
      </c>
    </row>
    <row r="514" spans="1:14" x14ac:dyDescent="0.25">
      <c r="A514">
        <v>186.427065</v>
      </c>
      <c r="B514" s="1">
        <f>DATE(2010,11,3) + TIME(10,14,58)</f>
        <v>40485.427060185182</v>
      </c>
      <c r="C514">
        <v>80</v>
      </c>
      <c r="D514">
        <v>79.249931334999999</v>
      </c>
      <c r="E514">
        <v>50</v>
      </c>
      <c r="F514">
        <v>48.711883544999999</v>
      </c>
      <c r="G514">
        <v>1295.8959961</v>
      </c>
      <c r="H514">
        <v>1281.7589111</v>
      </c>
      <c r="I514">
        <v>1422.2354736</v>
      </c>
      <c r="J514">
        <v>1398.6992187999999</v>
      </c>
      <c r="K514">
        <v>0</v>
      </c>
      <c r="L514">
        <v>2750</v>
      </c>
      <c r="M514">
        <v>2750</v>
      </c>
      <c r="N514">
        <v>0</v>
      </c>
    </row>
    <row r="515" spans="1:14" x14ac:dyDescent="0.25">
      <c r="A515">
        <v>186.56206800000001</v>
      </c>
      <c r="B515" s="1">
        <f>DATE(2010,11,3) + TIME(13,29,22)</f>
        <v>40485.562060185184</v>
      </c>
      <c r="C515">
        <v>80</v>
      </c>
      <c r="D515">
        <v>79.218536377000007</v>
      </c>
      <c r="E515">
        <v>50</v>
      </c>
      <c r="F515">
        <v>48.909374237000002</v>
      </c>
      <c r="G515">
        <v>1295.8887939000001</v>
      </c>
      <c r="H515">
        <v>1281.7503661999999</v>
      </c>
      <c r="I515">
        <v>1421.9233397999999</v>
      </c>
      <c r="J515">
        <v>1398.4630127</v>
      </c>
      <c r="K515">
        <v>0</v>
      </c>
      <c r="L515">
        <v>2750</v>
      </c>
      <c r="M515">
        <v>2750</v>
      </c>
      <c r="N515">
        <v>0</v>
      </c>
    </row>
    <row r="516" spans="1:14" x14ac:dyDescent="0.25">
      <c r="A516">
        <v>186.70341999999999</v>
      </c>
      <c r="B516" s="1">
        <f>DATE(2010,11,3) + TIME(16,52,55)</f>
        <v>40485.703414351854</v>
      </c>
      <c r="C516">
        <v>80</v>
      </c>
      <c r="D516">
        <v>79.185974121000001</v>
      </c>
      <c r="E516">
        <v>50</v>
      </c>
      <c r="F516">
        <v>49.081455231</v>
      </c>
      <c r="G516">
        <v>1295.8812256000001</v>
      </c>
      <c r="H516">
        <v>1281.7414550999999</v>
      </c>
      <c r="I516">
        <v>1421.6230469</v>
      </c>
      <c r="J516">
        <v>1398.2293701000001</v>
      </c>
      <c r="K516">
        <v>0</v>
      </c>
      <c r="L516">
        <v>2750</v>
      </c>
      <c r="M516">
        <v>2750</v>
      </c>
      <c r="N516">
        <v>0</v>
      </c>
    </row>
    <row r="517" spans="1:14" x14ac:dyDescent="0.25">
      <c r="A517">
        <v>186.85192599999999</v>
      </c>
      <c r="B517" s="1">
        <f>DATE(2010,11,3) + TIME(20,26,46)</f>
        <v>40485.851921296293</v>
      </c>
      <c r="C517">
        <v>80</v>
      </c>
      <c r="D517">
        <v>79.152099609000004</v>
      </c>
      <c r="E517">
        <v>50</v>
      </c>
      <c r="F517">
        <v>49.230663300000003</v>
      </c>
      <c r="G517">
        <v>1295.8732910000001</v>
      </c>
      <c r="H517">
        <v>1281.7321777</v>
      </c>
      <c r="I517">
        <v>1421.3326416</v>
      </c>
      <c r="J517">
        <v>1397.9975586</v>
      </c>
      <c r="K517">
        <v>0</v>
      </c>
      <c r="L517">
        <v>2750</v>
      </c>
      <c r="M517">
        <v>2750</v>
      </c>
      <c r="N517">
        <v>0</v>
      </c>
    </row>
    <row r="518" spans="1:14" x14ac:dyDescent="0.25">
      <c r="A518">
        <v>187.00865300000001</v>
      </c>
      <c r="B518" s="1">
        <f>DATE(2010,11,4) + TIME(0,12,27)</f>
        <v>40486.008645833332</v>
      </c>
      <c r="C518">
        <v>80</v>
      </c>
      <c r="D518">
        <v>79.116706848000007</v>
      </c>
      <c r="E518">
        <v>50</v>
      </c>
      <c r="F518">
        <v>49.359401703000003</v>
      </c>
      <c r="G518">
        <v>1295.8649902</v>
      </c>
      <c r="H518">
        <v>1281.7222899999999</v>
      </c>
      <c r="I518">
        <v>1421.050293</v>
      </c>
      <c r="J518">
        <v>1397.7663574000001</v>
      </c>
      <c r="K518">
        <v>0</v>
      </c>
      <c r="L518">
        <v>2750</v>
      </c>
      <c r="M518">
        <v>2750</v>
      </c>
      <c r="N518">
        <v>0</v>
      </c>
    </row>
    <row r="519" spans="1:14" x14ac:dyDescent="0.25">
      <c r="A519">
        <v>187.17486</v>
      </c>
      <c r="B519" s="1">
        <f>DATE(2010,11,4) + TIME(4,11,47)</f>
        <v>40486.174849537034</v>
      </c>
      <c r="C519">
        <v>80</v>
      </c>
      <c r="D519">
        <v>79.079582213999998</v>
      </c>
      <c r="E519">
        <v>50</v>
      </c>
      <c r="F519">
        <v>49.469833373999997</v>
      </c>
      <c r="G519">
        <v>1295.8562012</v>
      </c>
      <c r="H519">
        <v>1281.7119141000001</v>
      </c>
      <c r="I519">
        <v>1420.7740478999999</v>
      </c>
      <c r="J519">
        <v>1397.5350341999999</v>
      </c>
      <c r="K519">
        <v>0</v>
      </c>
      <c r="L519">
        <v>2750</v>
      </c>
      <c r="M519">
        <v>2750</v>
      </c>
      <c r="N519">
        <v>0</v>
      </c>
    </row>
    <row r="520" spans="1:14" x14ac:dyDescent="0.25">
      <c r="A520">
        <v>187.352068</v>
      </c>
      <c r="B520" s="1">
        <f>DATE(2010,11,4) + TIME(8,26,58)</f>
        <v>40486.352060185185</v>
      </c>
      <c r="C520">
        <v>80</v>
      </c>
      <c r="D520">
        <v>79.040435790999993</v>
      </c>
      <c r="E520">
        <v>50</v>
      </c>
      <c r="F520">
        <v>49.563911437999998</v>
      </c>
      <c r="G520">
        <v>1295.8468018000001</v>
      </c>
      <c r="H520">
        <v>1281.7008057</v>
      </c>
      <c r="I520">
        <v>1420.5019531</v>
      </c>
      <c r="J520">
        <v>1397.3022461</v>
      </c>
      <c r="K520">
        <v>0</v>
      </c>
      <c r="L520">
        <v>2750</v>
      </c>
      <c r="M520">
        <v>2750</v>
      </c>
      <c r="N520">
        <v>0</v>
      </c>
    </row>
    <row r="521" spans="1:14" x14ac:dyDescent="0.25">
      <c r="A521">
        <v>187.541819</v>
      </c>
      <c r="B521" s="1">
        <f>DATE(2010,11,4) + TIME(13,0,13)</f>
        <v>40486.541817129626</v>
      </c>
      <c r="C521">
        <v>80</v>
      </c>
      <c r="D521">
        <v>78.999008179</v>
      </c>
      <c r="E521">
        <v>50</v>
      </c>
      <c r="F521">
        <v>49.643321991000001</v>
      </c>
      <c r="G521">
        <v>1295.8367920000001</v>
      </c>
      <c r="H521">
        <v>1281.6890868999999</v>
      </c>
      <c r="I521">
        <v>1420.2324219</v>
      </c>
      <c r="J521">
        <v>1397.0670166</v>
      </c>
      <c r="K521">
        <v>0</v>
      </c>
      <c r="L521">
        <v>2750</v>
      </c>
      <c r="M521">
        <v>2750</v>
      </c>
      <c r="N521">
        <v>0</v>
      </c>
    </row>
    <row r="522" spans="1:14" x14ac:dyDescent="0.25">
      <c r="A522">
        <v>187.74309299999999</v>
      </c>
      <c r="B522" s="1">
        <f>DATE(2010,11,4) + TIME(17,50,3)</f>
        <v>40486.743090277778</v>
      </c>
      <c r="C522">
        <v>80</v>
      </c>
      <c r="D522">
        <v>78.955467224000003</v>
      </c>
      <c r="E522">
        <v>50</v>
      </c>
      <c r="F522">
        <v>49.708923339999998</v>
      </c>
      <c r="G522">
        <v>1295.8260498</v>
      </c>
      <c r="H522">
        <v>1281.6765137</v>
      </c>
      <c r="I522">
        <v>1419.9642334</v>
      </c>
      <c r="J522">
        <v>1396.8284911999999</v>
      </c>
      <c r="K522">
        <v>0</v>
      </c>
      <c r="L522">
        <v>2750</v>
      </c>
      <c r="M522">
        <v>2750</v>
      </c>
      <c r="N522">
        <v>0</v>
      </c>
    </row>
    <row r="523" spans="1:14" x14ac:dyDescent="0.25">
      <c r="A523">
        <v>187.95785799999999</v>
      </c>
      <c r="B523" s="1">
        <f>DATE(2010,11,4) + TIME(22,59,18)</f>
        <v>40486.95784722222</v>
      </c>
      <c r="C523">
        <v>80</v>
      </c>
      <c r="D523">
        <v>78.909469603999995</v>
      </c>
      <c r="E523">
        <v>50</v>
      </c>
      <c r="F523">
        <v>49.762695311999998</v>
      </c>
      <c r="G523">
        <v>1295.8145752</v>
      </c>
      <c r="H523">
        <v>1281.6630858999999</v>
      </c>
      <c r="I523">
        <v>1419.6986084</v>
      </c>
      <c r="J523">
        <v>1396.5887451000001</v>
      </c>
      <c r="K523">
        <v>0</v>
      </c>
      <c r="L523">
        <v>2750</v>
      </c>
      <c r="M523">
        <v>2750</v>
      </c>
      <c r="N523">
        <v>0</v>
      </c>
    </row>
    <row r="524" spans="1:14" x14ac:dyDescent="0.25">
      <c r="A524">
        <v>188.17749599999999</v>
      </c>
      <c r="B524" s="1">
        <f>DATE(2010,11,5) + TIME(4,15,35)</f>
        <v>40487.177488425928</v>
      </c>
      <c r="C524">
        <v>80</v>
      </c>
      <c r="D524">
        <v>78.862434386999993</v>
      </c>
      <c r="E524">
        <v>50</v>
      </c>
      <c r="F524">
        <v>49.804763794000003</v>
      </c>
      <c r="G524">
        <v>1295.8022461</v>
      </c>
      <c r="H524">
        <v>1281.6489257999999</v>
      </c>
      <c r="I524">
        <v>1419.4349365</v>
      </c>
      <c r="J524">
        <v>1396.3469238</v>
      </c>
      <c r="K524">
        <v>0</v>
      </c>
      <c r="L524">
        <v>2750</v>
      </c>
      <c r="M524">
        <v>2750</v>
      </c>
      <c r="N524">
        <v>0</v>
      </c>
    </row>
    <row r="525" spans="1:14" x14ac:dyDescent="0.25">
      <c r="A525">
        <v>188.39904100000001</v>
      </c>
      <c r="B525" s="1">
        <f>DATE(2010,11,5) + TIME(9,34,37)</f>
        <v>40487.399039351854</v>
      </c>
      <c r="C525">
        <v>80</v>
      </c>
      <c r="D525">
        <v>78.814903259000005</v>
      </c>
      <c r="E525">
        <v>50</v>
      </c>
      <c r="F525">
        <v>49.837203979000002</v>
      </c>
      <c r="G525">
        <v>1295.7895507999999</v>
      </c>
      <c r="H525">
        <v>1281.6342772999999</v>
      </c>
      <c r="I525">
        <v>1419.1820068</v>
      </c>
      <c r="J525">
        <v>1396.1124268000001</v>
      </c>
      <c r="K525">
        <v>0</v>
      </c>
      <c r="L525">
        <v>2750</v>
      </c>
      <c r="M525">
        <v>2750</v>
      </c>
      <c r="N525">
        <v>0</v>
      </c>
    </row>
    <row r="526" spans="1:14" x14ac:dyDescent="0.25">
      <c r="A526">
        <v>188.62339299999999</v>
      </c>
      <c r="B526" s="1">
        <f>DATE(2010,11,5) + TIME(14,57,41)</f>
        <v>40487.623391203706</v>
      </c>
      <c r="C526">
        <v>80</v>
      </c>
      <c r="D526">
        <v>78.766815186000002</v>
      </c>
      <c r="E526">
        <v>50</v>
      </c>
      <c r="F526">
        <v>49.862277984999999</v>
      </c>
      <c r="G526">
        <v>1295.7767334</v>
      </c>
      <c r="H526">
        <v>1281.6195068</v>
      </c>
      <c r="I526">
        <v>1418.9415283000001</v>
      </c>
      <c r="J526">
        <v>1395.8878173999999</v>
      </c>
      <c r="K526">
        <v>0</v>
      </c>
      <c r="L526">
        <v>2750</v>
      </c>
      <c r="M526">
        <v>2750</v>
      </c>
      <c r="N526">
        <v>0</v>
      </c>
    </row>
    <row r="527" spans="1:14" x14ac:dyDescent="0.25">
      <c r="A527">
        <v>188.851494</v>
      </c>
      <c r="B527" s="1">
        <f>DATE(2010,11,5) + TIME(20,26,9)</f>
        <v>40487.851493055554</v>
      </c>
      <c r="C527">
        <v>80</v>
      </c>
      <c r="D527">
        <v>78.718093871999997</v>
      </c>
      <c r="E527">
        <v>50</v>
      </c>
      <c r="F527">
        <v>49.881702423</v>
      </c>
      <c r="G527">
        <v>1295.7637939000001</v>
      </c>
      <c r="H527">
        <v>1281.6046143000001</v>
      </c>
      <c r="I527">
        <v>1418.7113036999999</v>
      </c>
      <c r="J527">
        <v>1395.6715088000001</v>
      </c>
      <c r="K527">
        <v>0</v>
      </c>
      <c r="L527">
        <v>2750</v>
      </c>
      <c r="M527">
        <v>2750</v>
      </c>
      <c r="N527">
        <v>0</v>
      </c>
    </row>
    <row r="528" spans="1:14" x14ac:dyDescent="0.25">
      <c r="A528">
        <v>189.08422200000001</v>
      </c>
      <c r="B528" s="1">
        <f>DATE(2010,11,6) + TIME(2,1,16)</f>
        <v>40488.08421296296</v>
      </c>
      <c r="C528">
        <v>80</v>
      </c>
      <c r="D528">
        <v>78.668624878000003</v>
      </c>
      <c r="E528">
        <v>50</v>
      </c>
      <c r="F528">
        <v>49.896762848000002</v>
      </c>
      <c r="G528">
        <v>1295.7506103999999</v>
      </c>
      <c r="H528">
        <v>1281.5893555</v>
      </c>
      <c r="I528">
        <v>1418.4893798999999</v>
      </c>
      <c r="J528">
        <v>1395.4617920000001</v>
      </c>
      <c r="K528">
        <v>0</v>
      </c>
      <c r="L528">
        <v>2750</v>
      </c>
      <c r="M528">
        <v>2750</v>
      </c>
      <c r="N528">
        <v>0</v>
      </c>
    </row>
    <row r="529" spans="1:14" x14ac:dyDescent="0.25">
      <c r="A529">
        <v>189.32233600000001</v>
      </c>
      <c r="B529" s="1">
        <f>DATE(2010,11,6) + TIME(7,44,9)</f>
        <v>40488.322326388887</v>
      </c>
      <c r="C529">
        <v>80</v>
      </c>
      <c r="D529">
        <v>78.618309021000002</v>
      </c>
      <c r="E529">
        <v>50</v>
      </c>
      <c r="F529">
        <v>49.908439635999997</v>
      </c>
      <c r="G529">
        <v>1295.7371826000001</v>
      </c>
      <c r="H529">
        <v>1281.5738524999999</v>
      </c>
      <c r="I529">
        <v>1418.2742920000001</v>
      </c>
      <c r="J529">
        <v>1395.2576904</v>
      </c>
      <c r="K529">
        <v>0</v>
      </c>
      <c r="L529">
        <v>2750</v>
      </c>
      <c r="M529">
        <v>2750</v>
      </c>
      <c r="N529">
        <v>0</v>
      </c>
    </row>
    <row r="530" spans="1:14" x14ac:dyDescent="0.25">
      <c r="A530">
        <v>189.566653</v>
      </c>
      <c r="B530" s="1">
        <f>DATE(2010,11,6) + TIME(13,35,58)</f>
        <v>40488.566643518519</v>
      </c>
      <c r="C530">
        <v>80</v>
      </c>
      <c r="D530">
        <v>78.56703186</v>
      </c>
      <c r="E530">
        <v>50</v>
      </c>
      <c r="F530">
        <v>49.917488098</v>
      </c>
      <c r="G530">
        <v>1295.7233887</v>
      </c>
      <c r="H530">
        <v>1281.5578613</v>
      </c>
      <c r="I530">
        <v>1418.0648193</v>
      </c>
      <c r="J530">
        <v>1395.0583495999999</v>
      </c>
      <c r="K530">
        <v>0</v>
      </c>
      <c r="L530">
        <v>2750</v>
      </c>
      <c r="M530">
        <v>2750</v>
      </c>
      <c r="N530">
        <v>0</v>
      </c>
    </row>
    <row r="531" spans="1:14" x14ac:dyDescent="0.25">
      <c r="A531">
        <v>189.81832800000001</v>
      </c>
      <c r="B531" s="1">
        <f>DATE(2010,11,6) + TIME(19,38,23)</f>
        <v>40488.81832175926</v>
      </c>
      <c r="C531">
        <v>80</v>
      </c>
      <c r="D531">
        <v>78.514625549000002</v>
      </c>
      <c r="E531">
        <v>50</v>
      </c>
      <c r="F531">
        <v>49.924510955999999</v>
      </c>
      <c r="G531">
        <v>1295.7093506000001</v>
      </c>
      <c r="H531">
        <v>1281.541626</v>
      </c>
      <c r="I531">
        <v>1417.8598632999999</v>
      </c>
      <c r="J531">
        <v>1394.862793</v>
      </c>
      <c r="K531">
        <v>0</v>
      </c>
      <c r="L531">
        <v>2750</v>
      </c>
      <c r="M531">
        <v>2750</v>
      </c>
      <c r="N531">
        <v>0</v>
      </c>
    </row>
    <row r="532" spans="1:14" x14ac:dyDescent="0.25">
      <c r="A532">
        <v>190.07867999999999</v>
      </c>
      <c r="B532" s="1">
        <f>DATE(2010,11,7) + TIME(1,53,17)</f>
        <v>40489.078668981485</v>
      </c>
      <c r="C532">
        <v>80</v>
      </c>
      <c r="D532">
        <v>78.460876464999998</v>
      </c>
      <c r="E532">
        <v>50</v>
      </c>
      <c r="F532">
        <v>49.929962158000002</v>
      </c>
      <c r="G532">
        <v>1295.6948242000001</v>
      </c>
      <c r="H532">
        <v>1281.5247803</v>
      </c>
      <c r="I532">
        <v>1417.6583252</v>
      </c>
      <c r="J532">
        <v>1394.6701660000001</v>
      </c>
      <c r="K532">
        <v>0</v>
      </c>
      <c r="L532">
        <v>2750</v>
      </c>
      <c r="M532">
        <v>2750</v>
      </c>
      <c r="N532">
        <v>0</v>
      </c>
    </row>
    <row r="533" spans="1:14" x14ac:dyDescent="0.25">
      <c r="A533">
        <v>190.34918200000001</v>
      </c>
      <c r="B533" s="1">
        <f>DATE(2010,11,7) + TIME(8,22,49)</f>
        <v>40489.349178240744</v>
      </c>
      <c r="C533">
        <v>80</v>
      </c>
      <c r="D533">
        <v>78.405555724999999</v>
      </c>
      <c r="E533">
        <v>50</v>
      </c>
      <c r="F533">
        <v>49.934192656999997</v>
      </c>
      <c r="G533">
        <v>1295.6798096</v>
      </c>
      <c r="H533">
        <v>1281.5073242000001</v>
      </c>
      <c r="I533">
        <v>1417.4591064000001</v>
      </c>
      <c r="J533">
        <v>1394.4796143000001</v>
      </c>
      <c r="K533">
        <v>0</v>
      </c>
      <c r="L533">
        <v>2750</v>
      </c>
      <c r="M533">
        <v>2750</v>
      </c>
      <c r="N533">
        <v>0</v>
      </c>
    </row>
    <row r="534" spans="1:14" x14ac:dyDescent="0.25">
      <c r="A534">
        <v>190.631519</v>
      </c>
      <c r="B534" s="1">
        <f>DATE(2010,11,7) + TIME(15,9,23)</f>
        <v>40489.631516203706</v>
      </c>
      <c r="C534">
        <v>80</v>
      </c>
      <c r="D534">
        <v>78.348396300999994</v>
      </c>
      <c r="E534">
        <v>50</v>
      </c>
      <c r="F534">
        <v>49.937484740999999</v>
      </c>
      <c r="G534">
        <v>1295.6640625</v>
      </c>
      <c r="H534">
        <v>1281.4892577999999</v>
      </c>
      <c r="I534">
        <v>1417.2612305</v>
      </c>
      <c r="J534">
        <v>1394.2900391000001</v>
      </c>
      <c r="K534">
        <v>0</v>
      </c>
      <c r="L534">
        <v>2750</v>
      </c>
      <c r="M534">
        <v>2750</v>
      </c>
      <c r="N534">
        <v>0</v>
      </c>
    </row>
    <row r="535" spans="1:14" x14ac:dyDescent="0.25">
      <c r="A535">
        <v>190.927651</v>
      </c>
      <c r="B535" s="1">
        <f>DATE(2010,11,7) + TIME(22,15,49)</f>
        <v>40489.92765046296</v>
      </c>
      <c r="C535">
        <v>80</v>
      </c>
      <c r="D535">
        <v>78.289085388000004</v>
      </c>
      <c r="E535">
        <v>50</v>
      </c>
      <c r="F535">
        <v>49.940044403000002</v>
      </c>
      <c r="G535">
        <v>1295.6478271000001</v>
      </c>
      <c r="H535">
        <v>1281.4703368999999</v>
      </c>
      <c r="I535">
        <v>1417.0637207</v>
      </c>
      <c r="J535">
        <v>1394.1007079999999</v>
      </c>
      <c r="K535">
        <v>0</v>
      </c>
      <c r="L535">
        <v>2750</v>
      </c>
      <c r="M535">
        <v>2750</v>
      </c>
      <c r="N535">
        <v>0</v>
      </c>
    </row>
    <row r="536" spans="1:14" x14ac:dyDescent="0.25">
      <c r="A536">
        <v>191.23990000000001</v>
      </c>
      <c r="B536" s="1">
        <f>DATE(2010,11,8) + TIME(5,45,27)</f>
        <v>40490.239895833336</v>
      </c>
      <c r="C536">
        <v>80</v>
      </c>
      <c r="D536">
        <v>78.227264403999996</v>
      </c>
      <c r="E536">
        <v>50</v>
      </c>
      <c r="F536">
        <v>49.942043304000002</v>
      </c>
      <c r="G536">
        <v>1295.6306152</v>
      </c>
      <c r="H536">
        <v>1281.4505615</v>
      </c>
      <c r="I536">
        <v>1416.8656006000001</v>
      </c>
      <c r="J536">
        <v>1393.9108887</v>
      </c>
      <c r="K536">
        <v>0</v>
      </c>
      <c r="L536">
        <v>2750</v>
      </c>
      <c r="M536">
        <v>2750</v>
      </c>
      <c r="N536">
        <v>0</v>
      </c>
    </row>
    <row r="537" spans="1:14" x14ac:dyDescent="0.25">
      <c r="A537">
        <v>191.56796700000001</v>
      </c>
      <c r="B537" s="1">
        <f>DATE(2010,11,8) + TIME(13,37,52)</f>
        <v>40490.567962962959</v>
      </c>
      <c r="C537">
        <v>80</v>
      </c>
      <c r="D537">
        <v>78.162925720000004</v>
      </c>
      <c r="E537">
        <v>50</v>
      </c>
      <c r="F537">
        <v>49.943592072000001</v>
      </c>
      <c r="G537">
        <v>1295.6125488</v>
      </c>
      <c r="H537">
        <v>1281.4296875</v>
      </c>
      <c r="I537">
        <v>1416.6657714999999</v>
      </c>
      <c r="J537">
        <v>1393.7193603999999</v>
      </c>
      <c r="K537">
        <v>0</v>
      </c>
      <c r="L537">
        <v>2750</v>
      </c>
      <c r="M537">
        <v>2750</v>
      </c>
      <c r="N537">
        <v>0</v>
      </c>
    </row>
    <row r="538" spans="1:14" x14ac:dyDescent="0.25">
      <c r="A538">
        <v>191.91282699999999</v>
      </c>
      <c r="B538" s="1">
        <f>DATE(2010,11,8) + TIME(21,54,28)</f>
        <v>40490.912824074076</v>
      </c>
      <c r="C538">
        <v>80</v>
      </c>
      <c r="D538">
        <v>78.095909118999998</v>
      </c>
      <c r="E538">
        <v>50</v>
      </c>
      <c r="F538">
        <v>49.944797516000001</v>
      </c>
      <c r="G538">
        <v>1295.5933838000001</v>
      </c>
      <c r="H538">
        <v>1281.4077147999999</v>
      </c>
      <c r="I538">
        <v>1416.4652100000001</v>
      </c>
      <c r="J538">
        <v>1393.5272216999999</v>
      </c>
      <c r="K538">
        <v>0</v>
      </c>
      <c r="L538">
        <v>2750</v>
      </c>
      <c r="M538">
        <v>2750</v>
      </c>
      <c r="N538">
        <v>0</v>
      </c>
    </row>
    <row r="539" spans="1:14" x14ac:dyDescent="0.25">
      <c r="A539">
        <v>192.26513499999999</v>
      </c>
      <c r="B539" s="1">
        <f>DATE(2010,11,9) + TIME(6,21,47)</f>
        <v>40491.265127314815</v>
      </c>
      <c r="C539">
        <v>80</v>
      </c>
      <c r="D539">
        <v>78.027412415000001</v>
      </c>
      <c r="E539">
        <v>50</v>
      </c>
      <c r="F539">
        <v>49.945720672999997</v>
      </c>
      <c r="G539">
        <v>1295.5732422000001</v>
      </c>
      <c r="H539">
        <v>1281.3846435999999</v>
      </c>
      <c r="I539">
        <v>1416.2637939000001</v>
      </c>
      <c r="J539">
        <v>1393.3341064000001</v>
      </c>
      <c r="K539">
        <v>0</v>
      </c>
      <c r="L539">
        <v>2750</v>
      </c>
      <c r="M539">
        <v>2750</v>
      </c>
      <c r="N539">
        <v>0</v>
      </c>
    </row>
    <row r="540" spans="1:14" x14ac:dyDescent="0.25">
      <c r="A540">
        <v>192.62080499999999</v>
      </c>
      <c r="B540" s="1">
        <f>DATE(2010,11,9) + TIME(14,53,57)</f>
        <v>40491.620798611111</v>
      </c>
      <c r="C540">
        <v>80</v>
      </c>
      <c r="D540">
        <v>77.958145142000006</v>
      </c>
      <c r="E540">
        <v>50</v>
      </c>
      <c r="F540">
        <v>49.946422577</v>
      </c>
      <c r="G540">
        <v>1295.5524902</v>
      </c>
      <c r="H540">
        <v>1281.3610839999999</v>
      </c>
      <c r="I540">
        <v>1416.0670166</v>
      </c>
      <c r="J540">
        <v>1393.1457519999999</v>
      </c>
      <c r="K540">
        <v>0</v>
      </c>
      <c r="L540">
        <v>2750</v>
      </c>
      <c r="M540">
        <v>2750</v>
      </c>
      <c r="N540">
        <v>0</v>
      </c>
    </row>
    <row r="541" spans="1:14" x14ac:dyDescent="0.25">
      <c r="A541">
        <v>192.98005599999999</v>
      </c>
      <c r="B541" s="1">
        <f>DATE(2010,11,9) + TIME(23,31,16)</f>
        <v>40491.980046296296</v>
      </c>
      <c r="C541">
        <v>80</v>
      </c>
      <c r="D541">
        <v>77.888275145999998</v>
      </c>
      <c r="E541">
        <v>50</v>
      </c>
      <c r="F541">
        <v>49.946968079000001</v>
      </c>
      <c r="G541">
        <v>1295.5316161999999</v>
      </c>
      <c r="H541">
        <v>1281.3371582</v>
      </c>
      <c r="I541">
        <v>1415.8770752</v>
      </c>
      <c r="J541">
        <v>1392.9638672000001</v>
      </c>
      <c r="K541">
        <v>0</v>
      </c>
      <c r="L541">
        <v>2750</v>
      </c>
      <c r="M541">
        <v>2750</v>
      </c>
      <c r="N541">
        <v>0</v>
      </c>
    </row>
    <row r="542" spans="1:14" x14ac:dyDescent="0.25">
      <c r="A542">
        <v>193.34398899999999</v>
      </c>
      <c r="B542" s="1">
        <f>DATE(2010,11,10) + TIME(8,15,20)</f>
        <v>40492.343981481485</v>
      </c>
      <c r="C542">
        <v>80</v>
      </c>
      <c r="D542">
        <v>77.817794800000001</v>
      </c>
      <c r="E542">
        <v>50</v>
      </c>
      <c r="F542">
        <v>49.947399138999998</v>
      </c>
      <c r="G542">
        <v>1295.5104980000001</v>
      </c>
      <c r="H542">
        <v>1281.3129882999999</v>
      </c>
      <c r="I542">
        <v>1415.6932373</v>
      </c>
      <c r="J542">
        <v>1392.7880858999999</v>
      </c>
      <c r="K542">
        <v>0</v>
      </c>
      <c r="L542">
        <v>2750</v>
      </c>
      <c r="M542">
        <v>2750</v>
      </c>
      <c r="N542">
        <v>0</v>
      </c>
    </row>
    <row r="543" spans="1:14" x14ac:dyDescent="0.25">
      <c r="A543">
        <v>193.714496</v>
      </c>
      <c r="B543" s="1">
        <f>DATE(2010,11,10) + TIME(17,8,52)</f>
        <v>40492.714490740742</v>
      </c>
      <c r="C543">
        <v>80</v>
      </c>
      <c r="D543">
        <v>77.746543884000005</v>
      </c>
      <c r="E543">
        <v>50</v>
      </c>
      <c r="F543">
        <v>49.947742462000001</v>
      </c>
      <c r="G543">
        <v>1295.4891356999999</v>
      </c>
      <c r="H543">
        <v>1281.2884521000001</v>
      </c>
      <c r="I543">
        <v>1415.5147704999999</v>
      </c>
      <c r="J543">
        <v>1392.6174315999999</v>
      </c>
      <c r="K543">
        <v>0</v>
      </c>
      <c r="L543">
        <v>2750</v>
      </c>
      <c r="M543">
        <v>2750</v>
      </c>
      <c r="N543">
        <v>0</v>
      </c>
    </row>
    <row r="544" spans="1:14" x14ac:dyDescent="0.25">
      <c r="A544">
        <v>194.09344300000001</v>
      </c>
      <c r="B544" s="1">
        <f>DATE(2010,11,11) + TIME(2,14,33)</f>
        <v>40493.0934375</v>
      </c>
      <c r="C544">
        <v>80</v>
      </c>
      <c r="D544">
        <v>77.674293517999999</v>
      </c>
      <c r="E544">
        <v>50</v>
      </c>
      <c r="F544">
        <v>49.948020935000002</v>
      </c>
      <c r="G544">
        <v>1295.4674072</v>
      </c>
      <c r="H544">
        <v>1281.2634277</v>
      </c>
      <c r="I544">
        <v>1415.340332</v>
      </c>
      <c r="J544">
        <v>1392.4506836</v>
      </c>
      <c r="K544">
        <v>0</v>
      </c>
      <c r="L544">
        <v>2750</v>
      </c>
      <c r="M544">
        <v>2750</v>
      </c>
      <c r="N544">
        <v>0</v>
      </c>
    </row>
    <row r="545" spans="1:14" x14ac:dyDescent="0.25">
      <c r="A545">
        <v>194.482798</v>
      </c>
      <c r="B545" s="1">
        <f>DATE(2010,11,11) + TIME(11,35,13)</f>
        <v>40493.482789351852</v>
      </c>
      <c r="C545">
        <v>80</v>
      </c>
      <c r="D545">
        <v>77.600784301999994</v>
      </c>
      <c r="E545">
        <v>50</v>
      </c>
      <c r="F545">
        <v>49.948253631999997</v>
      </c>
      <c r="G545">
        <v>1295.4450684000001</v>
      </c>
      <c r="H545">
        <v>1281.237793</v>
      </c>
      <c r="I545">
        <v>1415.1689452999999</v>
      </c>
      <c r="J545">
        <v>1392.2871094</v>
      </c>
      <c r="K545">
        <v>0</v>
      </c>
      <c r="L545">
        <v>2750</v>
      </c>
      <c r="M545">
        <v>2750</v>
      </c>
      <c r="N545">
        <v>0</v>
      </c>
    </row>
    <row r="546" spans="1:14" x14ac:dyDescent="0.25">
      <c r="A546">
        <v>194.88470100000001</v>
      </c>
      <c r="B546" s="1">
        <f>DATE(2010,11,11) + TIME(21,13,58)</f>
        <v>40493.884699074071</v>
      </c>
      <c r="C546">
        <v>80</v>
      </c>
      <c r="D546">
        <v>77.525726317999997</v>
      </c>
      <c r="E546">
        <v>50</v>
      </c>
      <c r="F546">
        <v>49.948448181000003</v>
      </c>
      <c r="G546">
        <v>1295.4221190999999</v>
      </c>
      <c r="H546">
        <v>1281.2114257999999</v>
      </c>
      <c r="I546">
        <v>1414.9997559000001</v>
      </c>
      <c r="J546">
        <v>1392.1256103999999</v>
      </c>
      <c r="K546">
        <v>0</v>
      </c>
      <c r="L546">
        <v>2750</v>
      </c>
      <c r="M546">
        <v>2750</v>
      </c>
      <c r="N546">
        <v>0</v>
      </c>
    </row>
    <row r="547" spans="1:14" x14ac:dyDescent="0.25">
      <c r="A547">
        <v>195.30154400000001</v>
      </c>
      <c r="B547" s="1">
        <f>DATE(2010,11,12) + TIME(7,14,13)</f>
        <v>40494.301539351851</v>
      </c>
      <c r="C547">
        <v>80</v>
      </c>
      <c r="D547">
        <v>77.448760985999996</v>
      </c>
      <c r="E547">
        <v>50</v>
      </c>
      <c r="F547">
        <v>49.948612212999997</v>
      </c>
      <c r="G547">
        <v>1295.3984375</v>
      </c>
      <c r="H547">
        <v>1281.1842041</v>
      </c>
      <c r="I547">
        <v>1414.8319091999999</v>
      </c>
      <c r="J547">
        <v>1391.9654541</v>
      </c>
      <c r="K547">
        <v>0</v>
      </c>
      <c r="L547">
        <v>2750</v>
      </c>
      <c r="M547">
        <v>2750</v>
      </c>
      <c r="N547">
        <v>0</v>
      </c>
    </row>
    <row r="548" spans="1:14" x14ac:dyDescent="0.25">
      <c r="A548">
        <v>195.73595</v>
      </c>
      <c r="B548" s="1">
        <f>DATE(2010,11,12) + TIME(17,39,46)</f>
        <v>40494.735949074071</v>
      </c>
      <c r="C548">
        <v>80</v>
      </c>
      <c r="D548">
        <v>77.369522094999994</v>
      </c>
      <c r="E548">
        <v>50</v>
      </c>
      <c r="F548">
        <v>49.948753357000001</v>
      </c>
      <c r="G548">
        <v>1295.3737793</v>
      </c>
      <c r="H548">
        <v>1281.1560059000001</v>
      </c>
      <c r="I548">
        <v>1414.6645507999999</v>
      </c>
      <c r="J548">
        <v>1391.8059082</v>
      </c>
      <c r="K548">
        <v>0</v>
      </c>
      <c r="L548">
        <v>2750</v>
      </c>
      <c r="M548">
        <v>2750</v>
      </c>
      <c r="N548">
        <v>0</v>
      </c>
    </row>
    <row r="549" spans="1:14" x14ac:dyDescent="0.25">
      <c r="A549">
        <v>196.18930499999999</v>
      </c>
      <c r="B549" s="1">
        <f>DATE(2010,11,13) + TIME(4,32,35)</f>
        <v>40495.189293981479</v>
      </c>
      <c r="C549">
        <v>80</v>
      </c>
      <c r="D549">
        <v>77.287757873999993</v>
      </c>
      <c r="E549">
        <v>50</v>
      </c>
      <c r="F549">
        <v>49.948875426999997</v>
      </c>
      <c r="G549">
        <v>1295.3480225000001</v>
      </c>
      <c r="H549">
        <v>1281.1264647999999</v>
      </c>
      <c r="I549">
        <v>1414.4968262</v>
      </c>
      <c r="J549">
        <v>1391.6461182</v>
      </c>
      <c r="K549">
        <v>0</v>
      </c>
      <c r="L549">
        <v>2750</v>
      </c>
      <c r="M549">
        <v>2750</v>
      </c>
      <c r="N549">
        <v>0</v>
      </c>
    </row>
    <row r="550" spans="1:14" x14ac:dyDescent="0.25">
      <c r="A550">
        <v>196.66188099999999</v>
      </c>
      <c r="B550" s="1">
        <f>DATE(2010,11,13) + TIME(15,53,6)</f>
        <v>40495.661874999998</v>
      </c>
      <c r="C550">
        <v>80</v>
      </c>
      <c r="D550">
        <v>77.203353882000002</v>
      </c>
      <c r="E550">
        <v>50</v>
      </c>
      <c r="F550">
        <v>49.948982239000003</v>
      </c>
      <c r="G550">
        <v>1295.3210449000001</v>
      </c>
      <c r="H550">
        <v>1281.0955810999999</v>
      </c>
      <c r="I550">
        <v>1414.3287353999999</v>
      </c>
      <c r="J550">
        <v>1391.4860839999999</v>
      </c>
      <c r="K550">
        <v>0</v>
      </c>
      <c r="L550">
        <v>2750</v>
      </c>
      <c r="M550">
        <v>2750</v>
      </c>
      <c r="N550">
        <v>0</v>
      </c>
    </row>
    <row r="551" spans="1:14" x14ac:dyDescent="0.25">
      <c r="A551">
        <v>197.144947</v>
      </c>
      <c r="B551" s="1">
        <f>DATE(2010,11,14) + TIME(3,28,43)</f>
        <v>40496.144942129627</v>
      </c>
      <c r="C551">
        <v>80</v>
      </c>
      <c r="D551">
        <v>77.117233275999993</v>
      </c>
      <c r="E551">
        <v>50</v>
      </c>
      <c r="F551">
        <v>49.949073792</v>
      </c>
      <c r="G551">
        <v>1295.2928466999999</v>
      </c>
      <c r="H551">
        <v>1281.0633545000001</v>
      </c>
      <c r="I551">
        <v>1414.1602783000001</v>
      </c>
      <c r="J551">
        <v>1391.3258057</v>
      </c>
      <c r="K551">
        <v>0</v>
      </c>
      <c r="L551">
        <v>2750</v>
      </c>
      <c r="M551">
        <v>2750</v>
      </c>
      <c r="N551">
        <v>0</v>
      </c>
    </row>
    <row r="552" spans="1:14" x14ac:dyDescent="0.25">
      <c r="A552">
        <v>197.63133099999999</v>
      </c>
      <c r="B552" s="1">
        <f>DATE(2010,11,14) + TIME(15,9,7)</f>
        <v>40496.631331018521</v>
      </c>
      <c r="C552">
        <v>80</v>
      </c>
      <c r="D552">
        <v>77.030380249000004</v>
      </c>
      <c r="E552">
        <v>50</v>
      </c>
      <c r="F552">
        <v>49.949153899999999</v>
      </c>
      <c r="G552">
        <v>1295.2639160000001</v>
      </c>
      <c r="H552">
        <v>1281.0303954999999</v>
      </c>
      <c r="I552">
        <v>1413.9948730000001</v>
      </c>
      <c r="J552">
        <v>1391.168457</v>
      </c>
      <c r="K552">
        <v>0</v>
      </c>
      <c r="L552">
        <v>2750</v>
      </c>
      <c r="M552">
        <v>2750</v>
      </c>
      <c r="N552">
        <v>0</v>
      </c>
    </row>
    <row r="553" spans="1:14" x14ac:dyDescent="0.25">
      <c r="A553">
        <v>198.12299899999999</v>
      </c>
      <c r="B553" s="1">
        <f>DATE(2010,11,15) + TIME(2,57,7)</f>
        <v>40497.122997685183</v>
      </c>
      <c r="C553">
        <v>80</v>
      </c>
      <c r="D553">
        <v>76.942916870000005</v>
      </c>
      <c r="E553">
        <v>50</v>
      </c>
      <c r="F553">
        <v>49.949222564999999</v>
      </c>
      <c r="G553">
        <v>1295.2346190999999</v>
      </c>
      <c r="H553">
        <v>1280.9970702999999</v>
      </c>
      <c r="I553">
        <v>1413.8347168</v>
      </c>
      <c r="J553">
        <v>1391.0162353999999</v>
      </c>
      <c r="K553">
        <v>0</v>
      </c>
      <c r="L553">
        <v>2750</v>
      </c>
      <c r="M553">
        <v>2750</v>
      </c>
      <c r="N553">
        <v>0</v>
      </c>
    </row>
    <row r="554" spans="1:14" x14ac:dyDescent="0.25">
      <c r="A554">
        <v>198.62152699999999</v>
      </c>
      <c r="B554" s="1">
        <f>DATE(2010,11,15) + TIME(14,54,59)</f>
        <v>40497.621516203704</v>
      </c>
      <c r="C554">
        <v>80</v>
      </c>
      <c r="D554">
        <v>76.854850768999995</v>
      </c>
      <c r="E554">
        <v>50</v>
      </c>
      <c r="F554">
        <v>49.949287415000001</v>
      </c>
      <c r="G554">
        <v>1295.2050781</v>
      </c>
      <c r="H554">
        <v>1280.9631348</v>
      </c>
      <c r="I554">
        <v>1413.6789550999999</v>
      </c>
      <c r="J554">
        <v>1390.8681641000001</v>
      </c>
      <c r="K554">
        <v>0</v>
      </c>
      <c r="L554">
        <v>2750</v>
      </c>
      <c r="M554">
        <v>2750</v>
      </c>
      <c r="N554">
        <v>0</v>
      </c>
    </row>
    <row r="555" spans="1:14" x14ac:dyDescent="0.25">
      <c r="A555">
        <v>199.12845899999999</v>
      </c>
      <c r="B555" s="1">
        <f>DATE(2010,11,16) + TIME(3,4,58)</f>
        <v>40498.128449074073</v>
      </c>
      <c r="C555">
        <v>80</v>
      </c>
      <c r="D555">
        <v>76.766067504999995</v>
      </c>
      <c r="E555">
        <v>50</v>
      </c>
      <c r="F555">
        <v>49.949344635000003</v>
      </c>
      <c r="G555">
        <v>1295.1749268000001</v>
      </c>
      <c r="H555">
        <v>1280.9288329999999</v>
      </c>
      <c r="I555">
        <v>1413.5267334</v>
      </c>
      <c r="J555">
        <v>1390.7237548999999</v>
      </c>
      <c r="K555">
        <v>0</v>
      </c>
      <c r="L555">
        <v>2750</v>
      </c>
      <c r="M555">
        <v>2750</v>
      </c>
      <c r="N555">
        <v>0</v>
      </c>
    </row>
    <row r="556" spans="1:14" x14ac:dyDescent="0.25">
      <c r="A556">
        <v>199.645679</v>
      </c>
      <c r="B556" s="1">
        <f>DATE(2010,11,16) + TIME(15,29,46)</f>
        <v>40498.645671296297</v>
      </c>
      <c r="C556">
        <v>80</v>
      </c>
      <c r="D556">
        <v>76.676376343000001</v>
      </c>
      <c r="E556">
        <v>50</v>
      </c>
      <c r="F556">
        <v>49.949398041000002</v>
      </c>
      <c r="G556">
        <v>1295.1442870999999</v>
      </c>
      <c r="H556">
        <v>1280.8936768000001</v>
      </c>
      <c r="I556">
        <v>1413.3776855000001</v>
      </c>
      <c r="J556">
        <v>1390.5821533000001</v>
      </c>
      <c r="K556">
        <v>0</v>
      </c>
      <c r="L556">
        <v>2750</v>
      </c>
      <c r="M556">
        <v>2750</v>
      </c>
      <c r="N556">
        <v>0</v>
      </c>
    </row>
    <row r="557" spans="1:14" x14ac:dyDescent="0.25">
      <c r="A557">
        <v>200.17538400000001</v>
      </c>
      <c r="B557" s="1">
        <f>DATE(2010,11,17) + TIME(4,12,33)</f>
        <v>40499.175381944442</v>
      </c>
      <c r="C557">
        <v>80</v>
      </c>
      <c r="D557">
        <v>76.585533142000003</v>
      </c>
      <c r="E557">
        <v>50</v>
      </c>
      <c r="F557">
        <v>49.949447632000002</v>
      </c>
      <c r="G557">
        <v>1295.1129149999999</v>
      </c>
      <c r="H557">
        <v>1280.8577881000001</v>
      </c>
      <c r="I557">
        <v>1413.230957</v>
      </c>
      <c r="J557">
        <v>1390.4429932</v>
      </c>
      <c r="K557">
        <v>0</v>
      </c>
      <c r="L557">
        <v>2750</v>
      </c>
      <c r="M557">
        <v>2750</v>
      </c>
      <c r="N557">
        <v>0</v>
      </c>
    </row>
    <row r="558" spans="1:14" x14ac:dyDescent="0.25">
      <c r="A558">
        <v>200.72043099999999</v>
      </c>
      <c r="B558" s="1">
        <f>DATE(2010,11,17) + TIME(17,17,25)</f>
        <v>40499.72042824074</v>
      </c>
      <c r="C558">
        <v>80</v>
      </c>
      <c r="D558">
        <v>76.493171692000004</v>
      </c>
      <c r="E558">
        <v>50</v>
      </c>
      <c r="F558">
        <v>49.949497223000002</v>
      </c>
      <c r="G558">
        <v>1295.0806885</v>
      </c>
      <c r="H558">
        <v>1280.8208007999999</v>
      </c>
      <c r="I558">
        <v>1413.0859375</v>
      </c>
      <c r="J558">
        <v>1390.3056641000001</v>
      </c>
      <c r="K558">
        <v>0</v>
      </c>
      <c r="L558">
        <v>2750</v>
      </c>
      <c r="M558">
        <v>2750</v>
      </c>
      <c r="N558">
        <v>0</v>
      </c>
    </row>
    <row r="559" spans="1:14" x14ac:dyDescent="0.25">
      <c r="A559">
        <v>201.28397000000001</v>
      </c>
      <c r="B559" s="1">
        <f>DATE(2010,11,18) + TIME(6,48,54)</f>
        <v>40500.283958333333</v>
      </c>
      <c r="C559">
        <v>80</v>
      </c>
      <c r="D559">
        <v>76.398895264000004</v>
      </c>
      <c r="E559">
        <v>50</v>
      </c>
      <c r="F559">
        <v>49.949542999000002</v>
      </c>
      <c r="G559">
        <v>1295.0474853999999</v>
      </c>
      <c r="H559">
        <v>1280.7827147999999</v>
      </c>
      <c r="I559">
        <v>1412.9420166</v>
      </c>
      <c r="J559">
        <v>1390.1691894999999</v>
      </c>
      <c r="K559">
        <v>0</v>
      </c>
      <c r="L559">
        <v>2750</v>
      </c>
      <c r="M559">
        <v>2750</v>
      </c>
      <c r="N559">
        <v>0</v>
      </c>
    </row>
    <row r="560" spans="1:14" x14ac:dyDescent="0.25">
      <c r="A560">
        <v>201.869573</v>
      </c>
      <c r="B560" s="1">
        <f>DATE(2010,11,18) + TIME(20,52,11)</f>
        <v>40500.869571759256</v>
      </c>
      <c r="C560">
        <v>80</v>
      </c>
      <c r="D560">
        <v>76.302246093999997</v>
      </c>
      <c r="E560">
        <v>50</v>
      </c>
      <c r="F560">
        <v>49.949592590000002</v>
      </c>
      <c r="G560">
        <v>1295.0129394999999</v>
      </c>
      <c r="H560">
        <v>1280.7431641000001</v>
      </c>
      <c r="I560">
        <v>1412.7984618999999</v>
      </c>
      <c r="J560">
        <v>1390.0332031</v>
      </c>
      <c r="K560">
        <v>0</v>
      </c>
      <c r="L560">
        <v>2750</v>
      </c>
      <c r="M560">
        <v>2750</v>
      </c>
      <c r="N560">
        <v>0</v>
      </c>
    </row>
    <row r="561" spans="1:14" x14ac:dyDescent="0.25">
      <c r="A561">
        <v>202.48138</v>
      </c>
      <c r="B561" s="1">
        <f>DATE(2010,11,19) + TIME(11,33,11)</f>
        <v>40501.481377314813</v>
      </c>
      <c r="C561">
        <v>80</v>
      </c>
      <c r="D561">
        <v>76.202697753999999</v>
      </c>
      <c r="E561">
        <v>50</v>
      </c>
      <c r="F561">
        <v>49.949642181000002</v>
      </c>
      <c r="G561">
        <v>1294.9770507999999</v>
      </c>
      <c r="H561">
        <v>1280.7019043</v>
      </c>
      <c r="I561">
        <v>1412.6544189000001</v>
      </c>
      <c r="J561">
        <v>1389.8969727000001</v>
      </c>
      <c r="K561">
        <v>0</v>
      </c>
      <c r="L561">
        <v>2750</v>
      </c>
      <c r="M561">
        <v>2750</v>
      </c>
      <c r="N561">
        <v>0</v>
      </c>
    </row>
    <row r="562" spans="1:14" x14ac:dyDescent="0.25">
      <c r="A562">
        <v>203.11390399999999</v>
      </c>
      <c r="B562" s="1">
        <f>DATE(2010,11,20) + TIME(2,44,1)</f>
        <v>40502.113900462966</v>
      </c>
      <c r="C562">
        <v>80</v>
      </c>
      <c r="D562">
        <v>76.100540160999998</v>
      </c>
      <c r="E562">
        <v>50</v>
      </c>
      <c r="F562">
        <v>49.949687957999998</v>
      </c>
      <c r="G562">
        <v>1294.9392089999999</v>
      </c>
      <c r="H562">
        <v>1280.6585693</v>
      </c>
      <c r="I562">
        <v>1412.5093993999999</v>
      </c>
      <c r="J562">
        <v>1389.7596435999999</v>
      </c>
      <c r="K562">
        <v>0</v>
      </c>
      <c r="L562">
        <v>2750</v>
      </c>
      <c r="M562">
        <v>2750</v>
      </c>
      <c r="N562">
        <v>0</v>
      </c>
    </row>
    <row r="563" spans="1:14" x14ac:dyDescent="0.25">
      <c r="A563">
        <v>203.74882299999999</v>
      </c>
      <c r="B563" s="1">
        <f>DATE(2010,11,20) + TIME(17,58,18)</f>
        <v>40502.748819444445</v>
      </c>
      <c r="C563">
        <v>80</v>
      </c>
      <c r="D563">
        <v>75.997489928999997</v>
      </c>
      <c r="E563">
        <v>50</v>
      </c>
      <c r="F563">
        <v>49.949737548999998</v>
      </c>
      <c r="G563">
        <v>1294.8996582</v>
      </c>
      <c r="H563">
        <v>1280.6136475000001</v>
      </c>
      <c r="I563">
        <v>1412.364624</v>
      </c>
      <c r="J563">
        <v>1389.6226807</v>
      </c>
      <c r="K563">
        <v>0</v>
      </c>
      <c r="L563">
        <v>2750</v>
      </c>
      <c r="M563">
        <v>2750</v>
      </c>
      <c r="N563">
        <v>0</v>
      </c>
    </row>
    <row r="564" spans="1:14" x14ac:dyDescent="0.25">
      <c r="A564">
        <v>204.38848100000001</v>
      </c>
      <c r="B564" s="1">
        <f>DATE(2010,11,21) + TIME(9,19,24)</f>
        <v>40503.388472222221</v>
      </c>
      <c r="C564">
        <v>80</v>
      </c>
      <c r="D564">
        <v>75.894012450999995</v>
      </c>
      <c r="E564">
        <v>50</v>
      </c>
      <c r="F564">
        <v>49.949783324999999</v>
      </c>
      <c r="G564">
        <v>1294.8599853999999</v>
      </c>
      <c r="H564">
        <v>1280.5682373</v>
      </c>
      <c r="I564">
        <v>1412.2244873</v>
      </c>
      <c r="J564">
        <v>1389.4902344</v>
      </c>
      <c r="K564">
        <v>0</v>
      </c>
      <c r="L564">
        <v>2750</v>
      </c>
      <c r="M564">
        <v>2750</v>
      </c>
      <c r="N564">
        <v>0</v>
      </c>
    </row>
    <row r="565" spans="1:14" x14ac:dyDescent="0.25">
      <c r="A565">
        <v>205.035751</v>
      </c>
      <c r="B565" s="1">
        <f>DATE(2010,11,22) + TIME(0,51,28)</f>
        <v>40504.035740740743</v>
      </c>
      <c r="C565">
        <v>80</v>
      </c>
      <c r="D565">
        <v>75.790168761999993</v>
      </c>
      <c r="E565">
        <v>50</v>
      </c>
      <c r="F565">
        <v>49.949829102000002</v>
      </c>
      <c r="G565">
        <v>1294.8197021000001</v>
      </c>
      <c r="H565">
        <v>1280.5220947</v>
      </c>
      <c r="I565">
        <v>1412.0881348</v>
      </c>
      <c r="J565">
        <v>1389.3614502</v>
      </c>
      <c r="K565">
        <v>0</v>
      </c>
      <c r="L565">
        <v>2750</v>
      </c>
      <c r="M565">
        <v>2750</v>
      </c>
      <c r="N565">
        <v>0</v>
      </c>
    </row>
    <row r="566" spans="1:14" x14ac:dyDescent="0.25">
      <c r="A566">
        <v>205.692509</v>
      </c>
      <c r="B566" s="1">
        <f>DATE(2010,11,22) + TIME(16,37,12)</f>
        <v>40504.692499999997</v>
      </c>
      <c r="C566">
        <v>80</v>
      </c>
      <c r="D566">
        <v>75.685859679999993</v>
      </c>
      <c r="E566">
        <v>50</v>
      </c>
      <c r="F566">
        <v>49.949878693000002</v>
      </c>
      <c r="G566">
        <v>1294.7788086</v>
      </c>
      <c r="H566">
        <v>1280.4752197</v>
      </c>
      <c r="I566">
        <v>1411.9549560999999</v>
      </c>
      <c r="J566">
        <v>1389.2355957</v>
      </c>
      <c r="K566">
        <v>0</v>
      </c>
      <c r="L566">
        <v>2750</v>
      </c>
      <c r="M566">
        <v>2750</v>
      </c>
      <c r="N566">
        <v>0</v>
      </c>
    </row>
    <row r="567" spans="1:14" x14ac:dyDescent="0.25">
      <c r="A567">
        <v>206.36197000000001</v>
      </c>
      <c r="B567" s="1">
        <f>DATE(2010,11,23) + TIME(8,41,14)</f>
        <v>40505.361967592595</v>
      </c>
      <c r="C567">
        <v>80</v>
      </c>
      <c r="D567">
        <v>75.580818175999994</v>
      </c>
      <c r="E567">
        <v>50</v>
      </c>
      <c r="F567">
        <v>49.949928284000002</v>
      </c>
      <c r="G567">
        <v>1294.7371826000001</v>
      </c>
      <c r="H567">
        <v>1280.4273682</v>
      </c>
      <c r="I567">
        <v>1411.8242187999999</v>
      </c>
      <c r="J567">
        <v>1389.1121826000001</v>
      </c>
      <c r="K567">
        <v>0</v>
      </c>
      <c r="L567">
        <v>2750</v>
      </c>
      <c r="M567">
        <v>2750</v>
      </c>
      <c r="N567">
        <v>0</v>
      </c>
    </row>
    <row r="568" spans="1:14" x14ac:dyDescent="0.25">
      <c r="A568">
        <v>207.04768799999999</v>
      </c>
      <c r="B568" s="1">
        <f>DATE(2010,11,24) + TIME(1,8,40)</f>
        <v>40506.047685185185</v>
      </c>
      <c r="C568">
        <v>80</v>
      </c>
      <c r="D568">
        <v>75.474647521999998</v>
      </c>
      <c r="E568">
        <v>50</v>
      </c>
      <c r="F568">
        <v>49.949977875000002</v>
      </c>
      <c r="G568">
        <v>1294.6944579999999</v>
      </c>
      <c r="H568">
        <v>1280.3781738</v>
      </c>
      <c r="I568">
        <v>1411.6954346</v>
      </c>
      <c r="J568">
        <v>1388.9907227000001</v>
      </c>
      <c r="K568">
        <v>0</v>
      </c>
      <c r="L568">
        <v>2750</v>
      </c>
      <c r="M568">
        <v>2750</v>
      </c>
      <c r="N568">
        <v>0</v>
      </c>
    </row>
    <row r="569" spans="1:14" x14ac:dyDescent="0.25">
      <c r="A569">
        <v>207.75351000000001</v>
      </c>
      <c r="B569" s="1">
        <f>DATE(2010,11,24) + TIME(18,5,3)</f>
        <v>40506.753506944442</v>
      </c>
      <c r="C569">
        <v>80</v>
      </c>
      <c r="D569">
        <v>75.366905212000006</v>
      </c>
      <c r="E569">
        <v>50</v>
      </c>
      <c r="F569">
        <v>49.950027466000002</v>
      </c>
      <c r="G569">
        <v>1294.6505127</v>
      </c>
      <c r="H569">
        <v>1280.3276367000001</v>
      </c>
      <c r="I569">
        <v>1411.5678711</v>
      </c>
      <c r="J569">
        <v>1388.8702393000001</v>
      </c>
      <c r="K569">
        <v>0</v>
      </c>
      <c r="L569">
        <v>2750</v>
      </c>
      <c r="M569">
        <v>2750</v>
      </c>
      <c r="N569">
        <v>0</v>
      </c>
    </row>
    <row r="570" spans="1:14" x14ac:dyDescent="0.25">
      <c r="A570">
        <v>208.48371599999999</v>
      </c>
      <c r="B570" s="1">
        <f>DATE(2010,11,25) + TIME(11,36,33)</f>
        <v>40507.483715277776</v>
      </c>
      <c r="C570">
        <v>80</v>
      </c>
      <c r="D570">
        <v>75.257072449000006</v>
      </c>
      <c r="E570">
        <v>50</v>
      </c>
      <c r="F570">
        <v>49.950080872000001</v>
      </c>
      <c r="G570">
        <v>1294.6048584</v>
      </c>
      <c r="H570">
        <v>1280.2751464999999</v>
      </c>
      <c r="I570">
        <v>1411.4407959</v>
      </c>
      <c r="J570">
        <v>1388.7504882999999</v>
      </c>
      <c r="K570">
        <v>0</v>
      </c>
      <c r="L570">
        <v>2750</v>
      </c>
      <c r="M570">
        <v>2750</v>
      </c>
      <c r="N570">
        <v>0</v>
      </c>
    </row>
    <row r="571" spans="1:14" x14ac:dyDescent="0.25">
      <c r="A571">
        <v>209.241536</v>
      </c>
      <c r="B571" s="1">
        <f>DATE(2010,11,26) + TIME(5,47,48)</f>
        <v>40508.241527777776</v>
      </c>
      <c r="C571">
        <v>80</v>
      </c>
      <c r="D571">
        <v>75.144714355000005</v>
      </c>
      <c r="E571">
        <v>50</v>
      </c>
      <c r="F571">
        <v>49.950138092000003</v>
      </c>
      <c r="G571">
        <v>1294.5574951000001</v>
      </c>
      <c r="H571">
        <v>1280.2204589999999</v>
      </c>
      <c r="I571">
        <v>1411.3135986</v>
      </c>
      <c r="J571">
        <v>1388.6306152</v>
      </c>
      <c r="K571">
        <v>0</v>
      </c>
      <c r="L571">
        <v>2750</v>
      </c>
      <c r="M571">
        <v>2750</v>
      </c>
      <c r="N571">
        <v>0</v>
      </c>
    </row>
    <row r="572" spans="1:14" x14ac:dyDescent="0.25">
      <c r="A572">
        <v>210.027964</v>
      </c>
      <c r="B572" s="1">
        <f>DATE(2010,11,27) + TIME(0,40,16)</f>
        <v>40509.027962962966</v>
      </c>
      <c r="C572">
        <v>80</v>
      </c>
      <c r="D572">
        <v>75.029594420999999</v>
      </c>
      <c r="E572">
        <v>50</v>
      </c>
      <c r="F572">
        <v>49.950195311999998</v>
      </c>
      <c r="G572">
        <v>1294.5079346</v>
      </c>
      <c r="H572">
        <v>1280.1633300999999</v>
      </c>
      <c r="I572">
        <v>1411.1860352000001</v>
      </c>
      <c r="J572">
        <v>1388.5102539</v>
      </c>
      <c r="K572">
        <v>0</v>
      </c>
      <c r="L572">
        <v>2750</v>
      </c>
      <c r="M572">
        <v>2750</v>
      </c>
      <c r="N572">
        <v>0</v>
      </c>
    </row>
    <row r="573" spans="1:14" x14ac:dyDescent="0.25">
      <c r="A573">
        <v>210.81966600000001</v>
      </c>
      <c r="B573" s="1">
        <f>DATE(2010,11,27) + TIME(19,40,19)</f>
        <v>40509.819664351853</v>
      </c>
      <c r="C573">
        <v>80</v>
      </c>
      <c r="D573">
        <v>74.913230896000002</v>
      </c>
      <c r="E573">
        <v>50</v>
      </c>
      <c r="F573">
        <v>49.950252532999997</v>
      </c>
      <c r="G573">
        <v>1294.4559326000001</v>
      </c>
      <c r="H573">
        <v>1280.1035156</v>
      </c>
      <c r="I573">
        <v>1411.0578613</v>
      </c>
      <c r="J573">
        <v>1388.3896483999999</v>
      </c>
      <c r="K573">
        <v>0</v>
      </c>
      <c r="L573">
        <v>2750</v>
      </c>
      <c r="M573">
        <v>2750</v>
      </c>
      <c r="N573">
        <v>0</v>
      </c>
    </row>
    <row r="574" spans="1:14" x14ac:dyDescent="0.25">
      <c r="A574">
        <v>211.61739399999999</v>
      </c>
      <c r="B574" s="1">
        <f>DATE(2010,11,28) + TIME(14,49,2)</f>
        <v>40510.617384259262</v>
      </c>
      <c r="C574">
        <v>80</v>
      </c>
      <c r="D574">
        <v>74.796432495000005</v>
      </c>
      <c r="E574">
        <v>50</v>
      </c>
      <c r="F574">
        <v>49.950309752999999</v>
      </c>
      <c r="G574">
        <v>1294.4031981999999</v>
      </c>
      <c r="H574">
        <v>1280.0427245999999</v>
      </c>
      <c r="I574">
        <v>1410.9331055</v>
      </c>
      <c r="J574">
        <v>1388.2720947</v>
      </c>
      <c r="K574">
        <v>0</v>
      </c>
      <c r="L574">
        <v>2750</v>
      </c>
      <c r="M574">
        <v>2750</v>
      </c>
      <c r="N574">
        <v>0</v>
      </c>
    </row>
    <row r="575" spans="1:14" x14ac:dyDescent="0.25">
      <c r="A575">
        <v>212.424003</v>
      </c>
      <c r="B575" s="1">
        <f>DATE(2010,11,29) + TIME(10,10,33)</f>
        <v>40511.423993055556</v>
      </c>
      <c r="C575">
        <v>80</v>
      </c>
      <c r="D575">
        <v>74.679420471</v>
      </c>
      <c r="E575">
        <v>50</v>
      </c>
      <c r="F575">
        <v>49.950370788999997</v>
      </c>
      <c r="G575">
        <v>1294.3496094</v>
      </c>
      <c r="H575">
        <v>1279.9808350000001</v>
      </c>
      <c r="I575">
        <v>1410.8115233999999</v>
      </c>
      <c r="J575">
        <v>1388.1577147999999</v>
      </c>
      <c r="K575">
        <v>0</v>
      </c>
      <c r="L575">
        <v>2750</v>
      </c>
      <c r="M575">
        <v>2750</v>
      </c>
      <c r="N575">
        <v>0</v>
      </c>
    </row>
    <row r="576" spans="1:14" x14ac:dyDescent="0.25">
      <c r="A576">
        <v>213.241964</v>
      </c>
      <c r="B576" s="1">
        <f>DATE(2010,11,30) + TIME(5,48,25)</f>
        <v>40512.241956018515</v>
      </c>
      <c r="C576">
        <v>80</v>
      </c>
      <c r="D576">
        <v>74.562110900999997</v>
      </c>
      <c r="E576">
        <v>50</v>
      </c>
      <c r="F576">
        <v>49.950431823999999</v>
      </c>
      <c r="G576">
        <v>1294.2950439000001</v>
      </c>
      <c r="H576">
        <v>1279.9176024999999</v>
      </c>
      <c r="I576">
        <v>1410.6925048999999</v>
      </c>
      <c r="J576">
        <v>1388.0456543</v>
      </c>
      <c r="K576">
        <v>0</v>
      </c>
      <c r="L576">
        <v>2750</v>
      </c>
      <c r="M576">
        <v>2750</v>
      </c>
      <c r="N576">
        <v>0</v>
      </c>
    </row>
    <row r="577" spans="1:14" x14ac:dyDescent="0.25">
      <c r="A577">
        <v>214</v>
      </c>
      <c r="B577" s="1">
        <f>DATE(2010,12,1) + TIME(0,0,0)</f>
        <v>40513</v>
      </c>
      <c r="C577">
        <v>80</v>
      </c>
      <c r="D577">
        <v>74.449577332000004</v>
      </c>
      <c r="E577">
        <v>50</v>
      </c>
      <c r="F577">
        <v>49.950485229000002</v>
      </c>
      <c r="G577">
        <v>1294.2388916</v>
      </c>
      <c r="H577">
        <v>1279.8530272999999</v>
      </c>
      <c r="I577">
        <v>1410.5753173999999</v>
      </c>
      <c r="J577">
        <v>1387.9354248</v>
      </c>
      <c r="K577">
        <v>0</v>
      </c>
      <c r="L577">
        <v>2750</v>
      </c>
      <c r="M577">
        <v>2750</v>
      </c>
      <c r="N577">
        <v>0</v>
      </c>
    </row>
    <row r="578" spans="1:14" x14ac:dyDescent="0.25">
      <c r="A578">
        <v>214.8321</v>
      </c>
      <c r="B578" s="1">
        <f>DATE(2010,12,1) + TIME(19,58,13)</f>
        <v>40513.832094907404</v>
      </c>
      <c r="C578">
        <v>80</v>
      </c>
      <c r="D578">
        <v>74.334739685000002</v>
      </c>
      <c r="E578">
        <v>50</v>
      </c>
      <c r="F578">
        <v>49.950550079000003</v>
      </c>
      <c r="G578">
        <v>1294.1870117000001</v>
      </c>
      <c r="H578">
        <v>1279.7917480000001</v>
      </c>
      <c r="I578">
        <v>1410.4703368999999</v>
      </c>
      <c r="J578">
        <v>1387.8366699000001</v>
      </c>
      <c r="K578">
        <v>0</v>
      </c>
      <c r="L578">
        <v>2750</v>
      </c>
      <c r="M578">
        <v>2750</v>
      </c>
      <c r="N578">
        <v>0</v>
      </c>
    </row>
    <row r="579" spans="1:14" x14ac:dyDescent="0.25">
      <c r="A579">
        <v>215.70247800000001</v>
      </c>
      <c r="B579" s="1">
        <f>DATE(2010,12,2) + TIME(16,51,34)</f>
        <v>40514.702476851853</v>
      </c>
      <c r="C579">
        <v>80</v>
      </c>
      <c r="D579">
        <v>74.216766356999997</v>
      </c>
      <c r="E579">
        <v>50</v>
      </c>
      <c r="F579">
        <v>49.950614928999997</v>
      </c>
      <c r="G579">
        <v>1294.1292725000001</v>
      </c>
      <c r="H579">
        <v>1279.7244873</v>
      </c>
      <c r="I579">
        <v>1410.3582764</v>
      </c>
      <c r="J579">
        <v>1387.7313231999999</v>
      </c>
      <c r="K579">
        <v>0</v>
      </c>
      <c r="L579">
        <v>2750</v>
      </c>
      <c r="M579">
        <v>2750</v>
      </c>
      <c r="N579">
        <v>0</v>
      </c>
    </row>
    <row r="580" spans="1:14" x14ac:dyDescent="0.25">
      <c r="A580">
        <v>216.598119</v>
      </c>
      <c r="B580" s="1">
        <f>DATE(2010,12,3) + TIME(14,21,17)</f>
        <v>40515.598113425927</v>
      </c>
      <c r="C580">
        <v>80</v>
      </c>
      <c r="D580">
        <v>74.096054077000005</v>
      </c>
      <c r="E580">
        <v>50</v>
      </c>
      <c r="F580">
        <v>49.950679778999998</v>
      </c>
      <c r="G580">
        <v>1294.0683594</v>
      </c>
      <c r="H580">
        <v>1279.6534423999999</v>
      </c>
      <c r="I580">
        <v>1410.2446289</v>
      </c>
      <c r="J580">
        <v>1387.6243896000001</v>
      </c>
      <c r="K580">
        <v>0</v>
      </c>
      <c r="L580">
        <v>2750</v>
      </c>
      <c r="M580">
        <v>2750</v>
      </c>
      <c r="N580">
        <v>0</v>
      </c>
    </row>
    <row r="581" spans="1:14" x14ac:dyDescent="0.25">
      <c r="A581">
        <v>217.52500499999999</v>
      </c>
      <c r="B581" s="1">
        <f>DATE(2010,12,4) + TIME(12,36,0)</f>
        <v>40516.525000000001</v>
      </c>
      <c r="C581">
        <v>80</v>
      </c>
      <c r="D581">
        <v>73.972587584999999</v>
      </c>
      <c r="E581">
        <v>50</v>
      </c>
      <c r="F581">
        <v>49.950752258000001</v>
      </c>
      <c r="G581">
        <v>1294.0048827999999</v>
      </c>
      <c r="H581">
        <v>1279.5793457</v>
      </c>
      <c r="I581">
        <v>1410.1312256000001</v>
      </c>
      <c r="J581">
        <v>1387.5178223</v>
      </c>
      <c r="K581">
        <v>0</v>
      </c>
      <c r="L581">
        <v>2750</v>
      </c>
      <c r="M581">
        <v>2750</v>
      </c>
      <c r="N581">
        <v>0</v>
      </c>
    </row>
    <row r="582" spans="1:14" x14ac:dyDescent="0.25">
      <c r="A582">
        <v>218.475109</v>
      </c>
      <c r="B582" s="1">
        <f>DATE(2010,12,5) + TIME(11,24,9)</f>
        <v>40517.475104166668</v>
      </c>
      <c r="C582">
        <v>80</v>
      </c>
      <c r="D582">
        <v>73.846824646000002</v>
      </c>
      <c r="E582">
        <v>50</v>
      </c>
      <c r="F582">
        <v>49.950820923000002</v>
      </c>
      <c r="G582">
        <v>1293.9384766000001</v>
      </c>
      <c r="H582">
        <v>1279.5017089999999</v>
      </c>
      <c r="I582">
        <v>1410.0174560999999</v>
      </c>
      <c r="J582">
        <v>1387.4108887</v>
      </c>
      <c r="K582">
        <v>0</v>
      </c>
      <c r="L582">
        <v>2750</v>
      </c>
      <c r="M582">
        <v>2750</v>
      </c>
      <c r="N582">
        <v>0</v>
      </c>
    </row>
    <row r="583" spans="1:14" x14ac:dyDescent="0.25">
      <c r="A583">
        <v>219.42997199999999</v>
      </c>
      <c r="B583" s="1">
        <f>DATE(2010,12,6) + TIME(10,19,9)</f>
        <v>40518.429965277777</v>
      </c>
      <c r="C583">
        <v>80</v>
      </c>
      <c r="D583">
        <v>73.720207213999998</v>
      </c>
      <c r="E583">
        <v>50</v>
      </c>
      <c r="F583">
        <v>49.950893401999998</v>
      </c>
      <c r="G583">
        <v>1293.8695068</v>
      </c>
      <c r="H583">
        <v>1279.4211425999999</v>
      </c>
      <c r="I583">
        <v>1409.9044189000001</v>
      </c>
      <c r="J583">
        <v>1387.3046875</v>
      </c>
      <c r="K583">
        <v>0</v>
      </c>
      <c r="L583">
        <v>2750</v>
      </c>
      <c r="M583">
        <v>2750</v>
      </c>
      <c r="N583">
        <v>0</v>
      </c>
    </row>
    <row r="584" spans="1:14" x14ac:dyDescent="0.25">
      <c r="A584">
        <v>220.392833</v>
      </c>
      <c r="B584" s="1">
        <f>DATE(2010,12,7) + TIME(9,25,40)</f>
        <v>40519.392824074072</v>
      </c>
      <c r="C584">
        <v>80</v>
      </c>
      <c r="D584">
        <v>73.593460082999997</v>
      </c>
      <c r="E584">
        <v>50</v>
      </c>
      <c r="F584">
        <v>49.950965881000002</v>
      </c>
      <c r="G584">
        <v>1293.7994385</v>
      </c>
      <c r="H584">
        <v>1279.3387451000001</v>
      </c>
      <c r="I584">
        <v>1409.7941894999999</v>
      </c>
      <c r="J584">
        <v>1387.2011719</v>
      </c>
      <c r="K584">
        <v>0</v>
      </c>
      <c r="L584">
        <v>2750</v>
      </c>
      <c r="M584">
        <v>2750</v>
      </c>
      <c r="N584">
        <v>0</v>
      </c>
    </row>
    <row r="585" spans="1:14" x14ac:dyDescent="0.25">
      <c r="A585">
        <v>221.36676399999999</v>
      </c>
      <c r="B585" s="1">
        <f>DATE(2010,12,8) + TIME(8,48,8)</f>
        <v>40520.366759259261</v>
      </c>
      <c r="C585">
        <v>80</v>
      </c>
      <c r="D585">
        <v>73.466690063000001</v>
      </c>
      <c r="E585">
        <v>50</v>
      </c>
      <c r="F585">
        <v>49.951042174999998</v>
      </c>
      <c r="G585">
        <v>1293.7279053</v>
      </c>
      <c r="H585">
        <v>1279.2543945</v>
      </c>
      <c r="I585">
        <v>1409.6864014</v>
      </c>
      <c r="J585">
        <v>1387.1000977000001</v>
      </c>
      <c r="K585">
        <v>0</v>
      </c>
      <c r="L585">
        <v>2750</v>
      </c>
      <c r="M585">
        <v>2750</v>
      </c>
      <c r="N585">
        <v>0</v>
      </c>
    </row>
    <row r="586" spans="1:14" x14ac:dyDescent="0.25">
      <c r="A586">
        <v>222.35638299999999</v>
      </c>
      <c r="B586" s="1">
        <f>DATE(2010,12,9) + TIME(8,33,11)</f>
        <v>40521.356377314813</v>
      </c>
      <c r="C586">
        <v>80</v>
      </c>
      <c r="D586">
        <v>73.339637756000002</v>
      </c>
      <c r="E586">
        <v>50</v>
      </c>
      <c r="F586">
        <v>49.951114654999998</v>
      </c>
      <c r="G586">
        <v>1293.6546631000001</v>
      </c>
      <c r="H586">
        <v>1279.1678466999999</v>
      </c>
      <c r="I586">
        <v>1409.5806885</v>
      </c>
      <c r="J586">
        <v>1387.0007324000001</v>
      </c>
      <c r="K586">
        <v>0</v>
      </c>
      <c r="L586">
        <v>2750</v>
      </c>
      <c r="M586">
        <v>2750</v>
      </c>
      <c r="N586">
        <v>0</v>
      </c>
    </row>
    <row r="587" spans="1:14" x14ac:dyDescent="0.25">
      <c r="A587">
        <v>223.36697699999999</v>
      </c>
      <c r="B587" s="1">
        <f>DATE(2010,12,10) + TIME(8,48,26)</f>
        <v>40522.366967592592</v>
      </c>
      <c r="C587">
        <v>80</v>
      </c>
      <c r="D587">
        <v>73.211853027000004</v>
      </c>
      <c r="E587">
        <v>50</v>
      </c>
      <c r="F587">
        <v>49.951190947999997</v>
      </c>
      <c r="G587">
        <v>1293.5792236</v>
      </c>
      <c r="H587">
        <v>1279.0784911999999</v>
      </c>
      <c r="I587">
        <v>1409.4763184000001</v>
      </c>
      <c r="J587">
        <v>1386.902832</v>
      </c>
      <c r="K587">
        <v>0</v>
      </c>
      <c r="L587">
        <v>2750</v>
      </c>
      <c r="M587">
        <v>2750</v>
      </c>
      <c r="N587">
        <v>0</v>
      </c>
    </row>
    <row r="588" spans="1:14" x14ac:dyDescent="0.25">
      <c r="A588">
        <v>224.40214399999999</v>
      </c>
      <c r="B588" s="1">
        <f>DATE(2010,12,11) + TIME(9,39,5)</f>
        <v>40523.402141203704</v>
      </c>
      <c r="C588">
        <v>80</v>
      </c>
      <c r="D588">
        <v>73.082870482999994</v>
      </c>
      <c r="E588">
        <v>50</v>
      </c>
      <c r="F588">
        <v>49.951271057</v>
      </c>
      <c r="G588">
        <v>1293.5012207</v>
      </c>
      <c r="H588">
        <v>1278.9858397999999</v>
      </c>
      <c r="I588">
        <v>1409.3728027</v>
      </c>
      <c r="J588">
        <v>1386.8056641000001</v>
      </c>
      <c r="K588">
        <v>0</v>
      </c>
      <c r="L588">
        <v>2750</v>
      </c>
      <c r="M588">
        <v>2750</v>
      </c>
      <c r="N588">
        <v>0</v>
      </c>
    </row>
    <row r="589" spans="1:14" x14ac:dyDescent="0.25">
      <c r="A589">
        <v>225.46728999999999</v>
      </c>
      <c r="B589" s="1">
        <f>DATE(2010,12,12) + TIME(11,12,53)</f>
        <v>40524.467280092591</v>
      </c>
      <c r="C589">
        <v>80</v>
      </c>
      <c r="D589">
        <v>72.952178954999994</v>
      </c>
      <c r="E589">
        <v>50</v>
      </c>
      <c r="F589">
        <v>49.951351166000002</v>
      </c>
      <c r="G589">
        <v>1293.4201660000001</v>
      </c>
      <c r="H589">
        <v>1278.8892822</v>
      </c>
      <c r="I589">
        <v>1409.2698975000001</v>
      </c>
      <c r="J589">
        <v>1386.7091064000001</v>
      </c>
      <c r="K589">
        <v>0</v>
      </c>
      <c r="L589">
        <v>2750</v>
      </c>
      <c r="M589">
        <v>2750</v>
      </c>
      <c r="N589">
        <v>0</v>
      </c>
    </row>
    <row r="590" spans="1:14" x14ac:dyDescent="0.25">
      <c r="A590">
        <v>226.569118</v>
      </c>
      <c r="B590" s="1">
        <f>DATE(2010,12,13) + TIME(13,39,31)</f>
        <v>40525.569108796299</v>
      </c>
      <c r="C590">
        <v>80</v>
      </c>
      <c r="D590">
        <v>72.819160460999996</v>
      </c>
      <c r="E590">
        <v>50</v>
      </c>
      <c r="F590">
        <v>49.951435089</v>
      </c>
      <c r="G590">
        <v>1293.3356934000001</v>
      </c>
      <c r="H590">
        <v>1278.7882079999999</v>
      </c>
      <c r="I590">
        <v>1409.1671143000001</v>
      </c>
      <c r="J590">
        <v>1386.6126709</v>
      </c>
      <c r="K590">
        <v>0</v>
      </c>
      <c r="L590">
        <v>2750</v>
      </c>
      <c r="M590">
        <v>2750</v>
      </c>
      <c r="N590">
        <v>0</v>
      </c>
    </row>
    <row r="591" spans="1:14" x14ac:dyDescent="0.25">
      <c r="A591">
        <v>227.696991</v>
      </c>
      <c r="B591" s="1">
        <f>DATE(2010,12,14) + TIME(16,43,39)</f>
        <v>40526.696979166663</v>
      </c>
      <c r="C591">
        <v>80</v>
      </c>
      <c r="D591">
        <v>72.683990479000002</v>
      </c>
      <c r="E591">
        <v>50</v>
      </c>
      <c r="F591">
        <v>49.951522826999998</v>
      </c>
      <c r="G591">
        <v>1293.2468262</v>
      </c>
      <c r="H591">
        <v>1278.6818848</v>
      </c>
      <c r="I591">
        <v>1409.0637207</v>
      </c>
      <c r="J591">
        <v>1386.5157471</v>
      </c>
      <c r="K591">
        <v>0</v>
      </c>
      <c r="L591">
        <v>2750</v>
      </c>
      <c r="M591">
        <v>2750</v>
      </c>
      <c r="N591">
        <v>0</v>
      </c>
    </row>
    <row r="592" spans="1:14" x14ac:dyDescent="0.25">
      <c r="A592">
        <v>228.829553</v>
      </c>
      <c r="B592" s="1">
        <f>DATE(2010,12,15) + TIME(19,54,33)</f>
        <v>40527.829548611109</v>
      </c>
      <c r="C592">
        <v>80</v>
      </c>
      <c r="D592">
        <v>72.548027039000004</v>
      </c>
      <c r="E592">
        <v>50</v>
      </c>
      <c r="F592">
        <v>49.951606750000003</v>
      </c>
      <c r="G592">
        <v>1293.1544189000001</v>
      </c>
      <c r="H592">
        <v>1278.5710449000001</v>
      </c>
      <c r="I592">
        <v>1408.9610596</v>
      </c>
      <c r="J592">
        <v>1386.4194336</v>
      </c>
      <c r="K592">
        <v>0</v>
      </c>
      <c r="L592">
        <v>2750</v>
      </c>
      <c r="M592">
        <v>2750</v>
      </c>
      <c r="N592">
        <v>0</v>
      </c>
    </row>
    <row r="593" spans="1:14" x14ac:dyDescent="0.25">
      <c r="A593">
        <v>229.97066799999999</v>
      </c>
      <c r="B593" s="1">
        <f>DATE(2010,12,16) + TIME(23,17,45)</f>
        <v>40528.970659722225</v>
      </c>
      <c r="C593">
        <v>80</v>
      </c>
      <c r="D593">
        <v>72.412117003999995</v>
      </c>
      <c r="E593">
        <v>50</v>
      </c>
      <c r="F593">
        <v>49.951694488999998</v>
      </c>
      <c r="G593">
        <v>1293.0600586</v>
      </c>
      <c r="H593">
        <v>1278.4573975000001</v>
      </c>
      <c r="I593">
        <v>1408.8608397999999</v>
      </c>
      <c r="J593">
        <v>1386.3254394999999</v>
      </c>
      <c r="K593">
        <v>0</v>
      </c>
      <c r="L593">
        <v>2750</v>
      </c>
      <c r="M593">
        <v>2750</v>
      </c>
      <c r="N593">
        <v>0</v>
      </c>
    </row>
    <row r="594" spans="1:14" x14ac:dyDescent="0.25">
      <c r="A594">
        <v>231.12586999999999</v>
      </c>
      <c r="B594" s="1">
        <f>DATE(2010,12,18) + TIME(3,1,15)</f>
        <v>40530.125868055555</v>
      </c>
      <c r="C594">
        <v>80</v>
      </c>
      <c r="D594">
        <v>72.276237488000007</v>
      </c>
      <c r="E594">
        <v>50</v>
      </c>
      <c r="F594">
        <v>49.951782227000002</v>
      </c>
      <c r="G594">
        <v>1292.9633789</v>
      </c>
      <c r="H594">
        <v>1278.3405762</v>
      </c>
      <c r="I594">
        <v>1408.7628173999999</v>
      </c>
      <c r="J594">
        <v>1386.2335204999999</v>
      </c>
      <c r="K594">
        <v>0</v>
      </c>
      <c r="L594">
        <v>2750</v>
      </c>
      <c r="M594">
        <v>2750</v>
      </c>
      <c r="N594">
        <v>0</v>
      </c>
    </row>
    <row r="595" spans="1:14" x14ac:dyDescent="0.25">
      <c r="A595">
        <v>232.30140800000001</v>
      </c>
      <c r="B595" s="1">
        <f>DATE(2010,12,19) + TIME(7,14,1)</f>
        <v>40531.301400462966</v>
      </c>
      <c r="C595">
        <v>80</v>
      </c>
      <c r="D595">
        <v>72.139953613000003</v>
      </c>
      <c r="E595">
        <v>50</v>
      </c>
      <c r="F595">
        <v>49.951869965</v>
      </c>
      <c r="G595">
        <v>1292.8638916</v>
      </c>
      <c r="H595">
        <v>1278.2198486</v>
      </c>
      <c r="I595">
        <v>1408.6663818</v>
      </c>
      <c r="J595">
        <v>1386.1430664</v>
      </c>
      <c r="K595">
        <v>0</v>
      </c>
      <c r="L595">
        <v>2750</v>
      </c>
      <c r="M595">
        <v>2750</v>
      </c>
      <c r="N595">
        <v>0</v>
      </c>
    </row>
    <row r="596" spans="1:14" x14ac:dyDescent="0.25">
      <c r="A596">
        <v>233.50045299999999</v>
      </c>
      <c r="B596" s="1">
        <f>DATE(2010,12,20) + TIME(12,0,39)</f>
        <v>40532.500451388885</v>
      </c>
      <c r="C596">
        <v>80</v>
      </c>
      <c r="D596">
        <v>72.002815247000001</v>
      </c>
      <c r="E596">
        <v>50</v>
      </c>
      <c r="F596">
        <v>49.951961517000001</v>
      </c>
      <c r="G596">
        <v>1292.7609863</v>
      </c>
      <c r="H596">
        <v>1278.0944824000001</v>
      </c>
      <c r="I596">
        <v>1408.5709228999999</v>
      </c>
      <c r="J596">
        <v>1386.0535889</v>
      </c>
      <c r="K596">
        <v>0</v>
      </c>
      <c r="L596">
        <v>2750</v>
      </c>
      <c r="M596">
        <v>2750</v>
      </c>
      <c r="N596">
        <v>0</v>
      </c>
    </row>
    <row r="597" spans="1:14" x14ac:dyDescent="0.25">
      <c r="A597">
        <v>234.72512</v>
      </c>
      <c r="B597" s="1">
        <f>DATE(2010,12,21) + TIME(17,24,10)</f>
        <v>40533.725115740737</v>
      </c>
      <c r="C597">
        <v>80</v>
      </c>
      <c r="D597">
        <v>71.864471436000002</v>
      </c>
      <c r="E597">
        <v>50</v>
      </c>
      <c r="F597">
        <v>49.952056884999998</v>
      </c>
      <c r="G597">
        <v>1292.6541748</v>
      </c>
      <c r="H597">
        <v>1277.9641113</v>
      </c>
      <c r="I597">
        <v>1408.4761963000001</v>
      </c>
      <c r="J597">
        <v>1385.9648437999999</v>
      </c>
      <c r="K597">
        <v>0</v>
      </c>
      <c r="L597">
        <v>2750</v>
      </c>
      <c r="M597">
        <v>2750</v>
      </c>
      <c r="N597">
        <v>0</v>
      </c>
    </row>
    <row r="598" spans="1:14" x14ac:dyDescent="0.25">
      <c r="A598">
        <v>235.98233200000001</v>
      </c>
      <c r="B598" s="1">
        <f>DATE(2010,12,22) + TIME(23,34,33)</f>
        <v>40534.98232638889</v>
      </c>
      <c r="C598">
        <v>80</v>
      </c>
      <c r="D598">
        <v>71.724433899000005</v>
      </c>
      <c r="E598">
        <v>50</v>
      </c>
      <c r="F598">
        <v>49.952152251999998</v>
      </c>
      <c r="G598">
        <v>1292.5430908000001</v>
      </c>
      <c r="H598">
        <v>1277.8278809000001</v>
      </c>
      <c r="I598">
        <v>1408.3822021000001</v>
      </c>
      <c r="J598">
        <v>1385.8767089999999</v>
      </c>
      <c r="K598">
        <v>0</v>
      </c>
      <c r="L598">
        <v>2750</v>
      </c>
      <c r="M598">
        <v>2750</v>
      </c>
      <c r="N598">
        <v>0</v>
      </c>
    </row>
    <row r="599" spans="1:14" x14ac:dyDescent="0.25">
      <c r="A599">
        <v>237.27966599999999</v>
      </c>
      <c r="B599" s="1">
        <f>DATE(2010,12,24) + TIME(6,42,43)</f>
        <v>40536.279664351852</v>
      </c>
      <c r="C599">
        <v>80</v>
      </c>
      <c r="D599">
        <v>71.582054138000004</v>
      </c>
      <c r="E599">
        <v>50</v>
      </c>
      <c r="F599">
        <v>49.952251433999997</v>
      </c>
      <c r="G599">
        <v>1292.4270019999999</v>
      </c>
      <c r="H599">
        <v>1277.6850586</v>
      </c>
      <c r="I599">
        <v>1408.2883300999999</v>
      </c>
      <c r="J599">
        <v>1385.7886963000001</v>
      </c>
      <c r="K599">
        <v>0</v>
      </c>
      <c r="L599">
        <v>2750</v>
      </c>
      <c r="M599">
        <v>2750</v>
      </c>
      <c r="N599">
        <v>0</v>
      </c>
    </row>
    <row r="600" spans="1:14" x14ac:dyDescent="0.25">
      <c r="A600">
        <v>238.584531</v>
      </c>
      <c r="B600" s="1">
        <f>DATE(2010,12,25) + TIME(14,1,43)</f>
        <v>40537.58452546296</v>
      </c>
      <c r="C600">
        <v>80</v>
      </c>
      <c r="D600">
        <v>71.438194275000001</v>
      </c>
      <c r="E600">
        <v>50</v>
      </c>
      <c r="F600">
        <v>49.952346802000001</v>
      </c>
      <c r="G600">
        <v>1292.3049315999999</v>
      </c>
      <c r="H600">
        <v>1277.534668</v>
      </c>
      <c r="I600">
        <v>1408.1940918</v>
      </c>
      <c r="J600">
        <v>1385.7003173999999</v>
      </c>
      <c r="K600">
        <v>0</v>
      </c>
      <c r="L600">
        <v>2750</v>
      </c>
      <c r="M600">
        <v>2750</v>
      </c>
      <c r="N600">
        <v>0</v>
      </c>
    </row>
    <row r="601" spans="1:14" x14ac:dyDescent="0.25">
      <c r="A601">
        <v>239.89928599999999</v>
      </c>
      <c r="B601" s="1">
        <f>DATE(2010,12,26) + TIME(21,34,58)</f>
        <v>40538.899282407408</v>
      </c>
      <c r="C601">
        <v>80</v>
      </c>
      <c r="D601">
        <v>71.293983459000003</v>
      </c>
      <c r="E601">
        <v>50</v>
      </c>
      <c r="F601">
        <v>49.952445984000001</v>
      </c>
      <c r="G601">
        <v>1292.1796875</v>
      </c>
      <c r="H601">
        <v>1277.3793945</v>
      </c>
      <c r="I601">
        <v>1408.1018065999999</v>
      </c>
      <c r="J601">
        <v>1385.6140137</v>
      </c>
      <c r="K601">
        <v>0</v>
      </c>
      <c r="L601">
        <v>2750</v>
      </c>
      <c r="M601">
        <v>2750</v>
      </c>
      <c r="N601">
        <v>0</v>
      </c>
    </row>
    <row r="602" spans="1:14" x14ac:dyDescent="0.25">
      <c r="A602">
        <v>241.228193</v>
      </c>
      <c r="B602" s="1">
        <f>DATE(2010,12,28) + TIME(5,28,35)</f>
        <v>40540.228182870371</v>
      </c>
      <c r="C602">
        <v>80</v>
      </c>
      <c r="D602">
        <v>71.149559021000002</v>
      </c>
      <c r="E602">
        <v>50</v>
      </c>
      <c r="F602">
        <v>49.952548981</v>
      </c>
      <c r="G602">
        <v>1292.0509033000001</v>
      </c>
      <c r="H602">
        <v>1277.2192382999999</v>
      </c>
      <c r="I602">
        <v>1408.0114745999999</v>
      </c>
      <c r="J602">
        <v>1385.5292969</v>
      </c>
      <c r="K602">
        <v>0</v>
      </c>
      <c r="L602">
        <v>2750</v>
      </c>
      <c r="M602">
        <v>2750</v>
      </c>
      <c r="N602">
        <v>0</v>
      </c>
    </row>
    <row r="603" spans="1:14" x14ac:dyDescent="0.25">
      <c r="A603">
        <v>242.57541499999999</v>
      </c>
      <c r="B603" s="1">
        <f>DATE(2010,12,29) + TIME(13,48,35)</f>
        <v>40541.57540509259</v>
      </c>
      <c r="C603">
        <v>80</v>
      </c>
      <c r="D603">
        <v>71.004638671999999</v>
      </c>
      <c r="E603">
        <v>50</v>
      </c>
      <c r="F603">
        <v>49.952648162999999</v>
      </c>
      <c r="G603">
        <v>1291.9180908000001</v>
      </c>
      <c r="H603">
        <v>1277.0534668</v>
      </c>
      <c r="I603">
        <v>1407.9224853999999</v>
      </c>
      <c r="J603">
        <v>1385.4459228999999</v>
      </c>
      <c r="K603">
        <v>0</v>
      </c>
      <c r="L603">
        <v>2750</v>
      </c>
      <c r="M603">
        <v>2750</v>
      </c>
      <c r="N603">
        <v>0</v>
      </c>
    </row>
    <row r="604" spans="1:14" x14ac:dyDescent="0.25">
      <c r="A604">
        <v>243.94538600000001</v>
      </c>
      <c r="B604" s="1">
        <f>DATE(2010,12,30) + TIME(22,41,21)</f>
        <v>40542.945381944446</v>
      </c>
      <c r="C604">
        <v>80</v>
      </c>
      <c r="D604">
        <v>70.858810425000001</v>
      </c>
      <c r="E604">
        <v>50</v>
      </c>
      <c r="F604">
        <v>49.952751159999998</v>
      </c>
      <c r="G604">
        <v>1291.7808838000001</v>
      </c>
      <c r="H604">
        <v>1276.8814697</v>
      </c>
      <c r="I604">
        <v>1407.8347168</v>
      </c>
      <c r="J604">
        <v>1385.3636475000001</v>
      </c>
      <c r="K604">
        <v>0</v>
      </c>
      <c r="L604">
        <v>2750</v>
      </c>
      <c r="M604">
        <v>2750</v>
      </c>
      <c r="N604">
        <v>0</v>
      </c>
    </row>
    <row r="605" spans="1:14" x14ac:dyDescent="0.25">
      <c r="A605">
        <v>245</v>
      </c>
      <c r="B605" s="1">
        <f>DATE(2011,1,1) + TIME(0,0,0)</f>
        <v>40544</v>
      </c>
      <c r="C605">
        <v>80</v>
      </c>
      <c r="D605">
        <v>70.726928710999999</v>
      </c>
      <c r="E605">
        <v>50</v>
      </c>
      <c r="F605">
        <v>49.952827454000001</v>
      </c>
      <c r="G605">
        <v>1291.6386719</v>
      </c>
      <c r="H605">
        <v>1276.7054443</v>
      </c>
      <c r="I605">
        <v>1407.7474365</v>
      </c>
      <c r="J605">
        <v>1385.2818603999999</v>
      </c>
      <c r="K605">
        <v>0</v>
      </c>
      <c r="L605">
        <v>2750</v>
      </c>
      <c r="M605">
        <v>2750</v>
      </c>
      <c r="N605">
        <v>0</v>
      </c>
    </row>
    <row r="606" spans="1:14" x14ac:dyDescent="0.25">
      <c r="A606">
        <v>246.39955</v>
      </c>
      <c r="B606" s="1">
        <f>DATE(2011,1,2) + TIME(9,35,21)</f>
        <v>40545.399548611109</v>
      </c>
      <c r="C606">
        <v>80</v>
      </c>
      <c r="D606">
        <v>70.592254639000004</v>
      </c>
      <c r="E606">
        <v>50</v>
      </c>
      <c r="F606">
        <v>49.952934265000003</v>
      </c>
      <c r="G606">
        <v>1291.5250243999999</v>
      </c>
      <c r="H606">
        <v>1276.557251</v>
      </c>
      <c r="I606">
        <v>1407.6823730000001</v>
      </c>
      <c r="J606">
        <v>1385.2209473</v>
      </c>
      <c r="K606">
        <v>0</v>
      </c>
      <c r="L606">
        <v>2750</v>
      </c>
      <c r="M606">
        <v>2750</v>
      </c>
      <c r="N606">
        <v>0</v>
      </c>
    </row>
    <row r="607" spans="1:14" x14ac:dyDescent="0.25">
      <c r="A607">
        <v>247.87137999999999</v>
      </c>
      <c r="B607" s="1">
        <f>DATE(2011,1,3) + TIME(20,54,47)</f>
        <v>40546.871377314812</v>
      </c>
      <c r="C607">
        <v>80</v>
      </c>
      <c r="D607">
        <v>70.446380614999995</v>
      </c>
      <c r="E607">
        <v>50</v>
      </c>
      <c r="F607">
        <v>49.953044890999998</v>
      </c>
      <c r="G607">
        <v>1291.3754882999999</v>
      </c>
      <c r="H607">
        <v>1276.3686522999999</v>
      </c>
      <c r="I607">
        <v>1407.5977783000001</v>
      </c>
      <c r="J607">
        <v>1385.1416016000001</v>
      </c>
      <c r="K607">
        <v>0</v>
      </c>
      <c r="L607">
        <v>2750</v>
      </c>
      <c r="M607">
        <v>2750</v>
      </c>
      <c r="N607">
        <v>0</v>
      </c>
    </row>
    <row r="608" spans="1:14" x14ac:dyDescent="0.25">
      <c r="A608">
        <v>249.35942900000001</v>
      </c>
      <c r="B608" s="1">
        <f>DATE(2011,1,5) + TIME(8,37,34)</f>
        <v>40548.3594212963</v>
      </c>
      <c r="C608">
        <v>80</v>
      </c>
      <c r="D608">
        <v>70.293983459000003</v>
      </c>
      <c r="E608">
        <v>50</v>
      </c>
      <c r="F608">
        <v>49.953155518000003</v>
      </c>
      <c r="G608">
        <v>1291.2142334</v>
      </c>
      <c r="H608">
        <v>1276.1645507999999</v>
      </c>
      <c r="I608">
        <v>1407.5108643000001</v>
      </c>
      <c r="J608">
        <v>1385.0601807</v>
      </c>
      <c r="K608">
        <v>0</v>
      </c>
      <c r="L608">
        <v>2750</v>
      </c>
      <c r="M608">
        <v>2750</v>
      </c>
      <c r="N608">
        <v>0</v>
      </c>
    </row>
    <row r="609" spans="1:14" x14ac:dyDescent="0.25">
      <c r="A609">
        <v>250.85681</v>
      </c>
      <c r="B609" s="1">
        <f>DATE(2011,1,6) + TIME(20,33,48)</f>
        <v>40549.856805555559</v>
      </c>
      <c r="C609">
        <v>80</v>
      </c>
      <c r="D609">
        <v>70.138885497999993</v>
      </c>
      <c r="E609">
        <v>50</v>
      </c>
      <c r="F609">
        <v>49.953269958</v>
      </c>
      <c r="G609">
        <v>1291.0472411999999</v>
      </c>
      <c r="H609">
        <v>1275.9516602000001</v>
      </c>
      <c r="I609">
        <v>1407.425293</v>
      </c>
      <c r="J609">
        <v>1384.9799805</v>
      </c>
      <c r="K609">
        <v>0</v>
      </c>
      <c r="L609">
        <v>2750</v>
      </c>
      <c r="M609">
        <v>2750</v>
      </c>
      <c r="N609">
        <v>0</v>
      </c>
    </row>
    <row r="610" spans="1:14" x14ac:dyDescent="0.25">
      <c r="A610">
        <v>252.36891299999999</v>
      </c>
      <c r="B610" s="1">
        <f>DATE(2011,1,8) + TIME(8,51,14)</f>
        <v>40551.36891203704</v>
      </c>
      <c r="C610">
        <v>80</v>
      </c>
      <c r="D610">
        <v>69.982376099000007</v>
      </c>
      <c r="E610">
        <v>50</v>
      </c>
      <c r="F610">
        <v>49.953380584999998</v>
      </c>
      <c r="G610">
        <v>1290.8753661999999</v>
      </c>
      <c r="H610">
        <v>1275.7315673999999</v>
      </c>
      <c r="I610">
        <v>1407.3414307</v>
      </c>
      <c r="J610">
        <v>1384.9013672000001</v>
      </c>
      <c r="K610">
        <v>0</v>
      </c>
      <c r="L610">
        <v>2750</v>
      </c>
      <c r="M610">
        <v>2750</v>
      </c>
      <c r="N610">
        <v>0</v>
      </c>
    </row>
    <row r="611" spans="1:14" x14ac:dyDescent="0.25">
      <c r="A611">
        <v>253.90155899999999</v>
      </c>
      <c r="B611" s="1">
        <f>DATE(2011,1,9) + TIME(21,38,14)</f>
        <v>40552.901550925926</v>
      </c>
      <c r="C611">
        <v>80</v>
      </c>
      <c r="D611">
        <v>69.824226378999995</v>
      </c>
      <c r="E611">
        <v>50</v>
      </c>
      <c r="F611">
        <v>49.953495025999999</v>
      </c>
      <c r="G611">
        <v>1290.6981201000001</v>
      </c>
      <c r="H611">
        <v>1275.5032959</v>
      </c>
      <c r="I611">
        <v>1407.2587891000001</v>
      </c>
      <c r="J611">
        <v>1384.8239745999999</v>
      </c>
      <c r="K611">
        <v>0</v>
      </c>
      <c r="L611">
        <v>2750</v>
      </c>
      <c r="M611">
        <v>2750</v>
      </c>
      <c r="N611">
        <v>0</v>
      </c>
    </row>
    <row r="612" spans="1:14" x14ac:dyDescent="0.25">
      <c r="A612">
        <v>255.45907600000001</v>
      </c>
      <c r="B612" s="1">
        <f>DATE(2011,1,11) + TIME(11,1,4)</f>
        <v>40554.459074074075</v>
      </c>
      <c r="C612">
        <v>80</v>
      </c>
      <c r="D612">
        <v>69.664108275999993</v>
      </c>
      <c r="E612">
        <v>50</v>
      </c>
      <c r="F612">
        <v>49.953609467</v>
      </c>
      <c r="G612">
        <v>1290.5144043</v>
      </c>
      <c r="H612">
        <v>1275.2662353999999</v>
      </c>
      <c r="I612">
        <v>1407.1772461</v>
      </c>
      <c r="J612">
        <v>1384.7475586</v>
      </c>
      <c r="K612">
        <v>0</v>
      </c>
      <c r="L612">
        <v>2750</v>
      </c>
      <c r="M612">
        <v>2750</v>
      </c>
      <c r="N612">
        <v>0</v>
      </c>
    </row>
    <row r="613" spans="1:14" x14ac:dyDescent="0.25">
      <c r="A613">
        <v>257.05010700000003</v>
      </c>
      <c r="B613" s="1">
        <f>DATE(2011,1,13) + TIME(1,12,9)</f>
        <v>40556.050104166665</v>
      </c>
      <c r="C613">
        <v>80</v>
      </c>
      <c r="D613">
        <v>69.501266478999995</v>
      </c>
      <c r="E613">
        <v>50</v>
      </c>
      <c r="F613">
        <v>49.953723906999997</v>
      </c>
      <c r="G613">
        <v>1290.3238524999999</v>
      </c>
      <c r="H613">
        <v>1275.019043</v>
      </c>
      <c r="I613">
        <v>1407.0964355000001</v>
      </c>
      <c r="J613">
        <v>1384.671875</v>
      </c>
      <c r="K613">
        <v>0</v>
      </c>
      <c r="L613">
        <v>2750</v>
      </c>
      <c r="M613">
        <v>2750</v>
      </c>
      <c r="N613">
        <v>0</v>
      </c>
    </row>
    <row r="614" spans="1:14" x14ac:dyDescent="0.25">
      <c r="A614">
        <v>258.68200400000001</v>
      </c>
      <c r="B614" s="1">
        <f>DATE(2011,1,14) + TIME(16,22,5)</f>
        <v>40557.682002314818</v>
      </c>
      <c r="C614">
        <v>80</v>
      </c>
      <c r="D614">
        <v>69.334770203000005</v>
      </c>
      <c r="E614">
        <v>50</v>
      </c>
      <c r="F614">
        <v>49.953845977999997</v>
      </c>
      <c r="G614">
        <v>1290.125</v>
      </c>
      <c r="H614">
        <v>1274.7601318</v>
      </c>
      <c r="I614">
        <v>1407.0159911999999</v>
      </c>
      <c r="J614">
        <v>1384.5964355000001</v>
      </c>
      <c r="K614">
        <v>0</v>
      </c>
      <c r="L614">
        <v>2750</v>
      </c>
      <c r="M614">
        <v>2750</v>
      </c>
      <c r="N614">
        <v>0</v>
      </c>
    </row>
    <row r="615" spans="1:14" x14ac:dyDescent="0.25">
      <c r="A615">
        <v>260.35262699999998</v>
      </c>
      <c r="B615" s="1">
        <f>DATE(2011,1,16) + TIME(8,27,46)</f>
        <v>40559.35261574074</v>
      </c>
      <c r="C615">
        <v>80</v>
      </c>
      <c r="D615">
        <v>69.163932799999998</v>
      </c>
      <c r="E615">
        <v>50</v>
      </c>
      <c r="F615">
        <v>49.953968048</v>
      </c>
      <c r="G615">
        <v>1289.9167480000001</v>
      </c>
      <c r="H615">
        <v>1274.4880370999999</v>
      </c>
      <c r="I615">
        <v>1406.9354248</v>
      </c>
      <c r="J615">
        <v>1384.5209961</v>
      </c>
      <c r="K615">
        <v>0</v>
      </c>
      <c r="L615">
        <v>2750</v>
      </c>
      <c r="M615">
        <v>2750</v>
      </c>
      <c r="N615">
        <v>0</v>
      </c>
    </row>
    <row r="616" spans="1:14" x14ac:dyDescent="0.25">
      <c r="A616">
        <v>262.04096500000003</v>
      </c>
      <c r="B616" s="1">
        <f>DATE(2011,1,18) + TIME(0,58,59)</f>
        <v>40561.040960648148</v>
      </c>
      <c r="C616">
        <v>80</v>
      </c>
      <c r="D616">
        <v>68.989097595000004</v>
      </c>
      <c r="E616">
        <v>50</v>
      </c>
      <c r="F616">
        <v>49.954090118000003</v>
      </c>
      <c r="G616">
        <v>1289.6988524999999</v>
      </c>
      <c r="H616">
        <v>1274.2023925999999</v>
      </c>
      <c r="I616">
        <v>1406.8549805</v>
      </c>
      <c r="J616">
        <v>1384.4455565999999</v>
      </c>
      <c r="K616">
        <v>0</v>
      </c>
      <c r="L616">
        <v>2750</v>
      </c>
      <c r="M616">
        <v>2750</v>
      </c>
      <c r="N616">
        <v>0</v>
      </c>
    </row>
    <row r="617" spans="1:14" x14ac:dyDescent="0.25">
      <c r="A617">
        <v>263.73990199999997</v>
      </c>
      <c r="B617" s="1">
        <f>DATE(2011,1,19) + TIME(17,45,27)</f>
        <v>40562.739895833336</v>
      </c>
      <c r="C617">
        <v>80</v>
      </c>
      <c r="D617">
        <v>68.811225891000007</v>
      </c>
      <c r="E617">
        <v>50</v>
      </c>
      <c r="F617">
        <v>49.954212189000003</v>
      </c>
      <c r="G617">
        <v>1289.4736327999999</v>
      </c>
      <c r="H617">
        <v>1273.9058838000001</v>
      </c>
      <c r="I617">
        <v>1406.7756348</v>
      </c>
      <c r="J617">
        <v>1384.3712158000001</v>
      </c>
      <c r="K617">
        <v>0</v>
      </c>
      <c r="L617">
        <v>2750</v>
      </c>
      <c r="M617">
        <v>2750</v>
      </c>
      <c r="N617">
        <v>0</v>
      </c>
    </row>
    <row r="618" spans="1:14" x14ac:dyDescent="0.25">
      <c r="A618">
        <v>265.45727599999998</v>
      </c>
      <c r="B618" s="1">
        <f>DATE(2011,1,21) + TIME(10,58,28)</f>
        <v>40564.457268518519</v>
      </c>
      <c r="C618">
        <v>80</v>
      </c>
      <c r="D618">
        <v>68.630447387999993</v>
      </c>
      <c r="E618">
        <v>50</v>
      </c>
      <c r="F618">
        <v>49.954334258999999</v>
      </c>
      <c r="G618">
        <v>1289.2419434000001</v>
      </c>
      <c r="H618">
        <v>1273.5993652</v>
      </c>
      <c r="I618">
        <v>1406.6977539</v>
      </c>
      <c r="J618">
        <v>1384.2982178</v>
      </c>
      <c r="K618">
        <v>0</v>
      </c>
      <c r="L618">
        <v>2750</v>
      </c>
      <c r="M618">
        <v>2750</v>
      </c>
      <c r="N618">
        <v>0</v>
      </c>
    </row>
    <row r="619" spans="1:14" x14ac:dyDescent="0.25">
      <c r="A619">
        <v>267.19878299999999</v>
      </c>
      <c r="B619" s="1">
        <f>DATE(2011,1,23) + TIME(4,46,14)</f>
        <v>40566.198773148149</v>
      </c>
      <c r="C619">
        <v>80</v>
      </c>
      <c r="D619">
        <v>68.446083068999997</v>
      </c>
      <c r="E619">
        <v>50</v>
      </c>
      <c r="F619">
        <v>49.954460144000002</v>
      </c>
      <c r="G619">
        <v>1289.0026855000001</v>
      </c>
      <c r="H619">
        <v>1273.2817382999999</v>
      </c>
      <c r="I619">
        <v>1406.6208495999999</v>
      </c>
      <c r="J619">
        <v>1384.2261963000001</v>
      </c>
      <c r="K619">
        <v>0</v>
      </c>
      <c r="L619">
        <v>2750</v>
      </c>
      <c r="M619">
        <v>2750</v>
      </c>
      <c r="N619">
        <v>0</v>
      </c>
    </row>
    <row r="620" spans="1:14" x14ac:dyDescent="0.25">
      <c r="A620">
        <v>268.96962000000002</v>
      </c>
      <c r="B620" s="1">
        <f>DATE(2011,1,24) + TIME(23,16,15)</f>
        <v>40567.969618055555</v>
      </c>
      <c r="C620">
        <v>80</v>
      </c>
      <c r="D620">
        <v>68.257263183999996</v>
      </c>
      <c r="E620">
        <v>50</v>
      </c>
      <c r="F620">
        <v>49.954586028999998</v>
      </c>
      <c r="G620">
        <v>1288.7548827999999</v>
      </c>
      <c r="H620">
        <v>1272.9514160000001</v>
      </c>
      <c r="I620">
        <v>1406.5447998</v>
      </c>
      <c r="J620">
        <v>1384.1547852000001</v>
      </c>
      <c r="K620">
        <v>0</v>
      </c>
      <c r="L620">
        <v>2750</v>
      </c>
      <c r="M620">
        <v>2750</v>
      </c>
      <c r="N620">
        <v>0</v>
      </c>
    </row>
    <row r="621" spans="1:14" x14ac:dyDescent="0.25">
      <c r="A621">
        <v>270.77521200000001</v>
      </c>
      <c r="B621" s="1">
        <f>DATE(2011,1,26) + TIME(18,36,18)</f>
        <v>40569.775208333333</v>
      </c>
      <c r="C621">
        <v>80</v>
      </c>
      <c r="D621">
        <v>68.063049316000004</v>
      </c>
      <c r="E621">
        <v>50</v>
      </c>
      <c r="F621">
        <v>49.954715729</v>
      </c>
      <c r="G621">
        <v>1288.4976807</v>
      </c>
      <c r="H621">
        <v>1272.6074219</v>
      </c>
      <c r="I621">
        <v>1406.4691161999999</v>
      </c>
      <c r="J621">
        <v>1384.0839844</v>
      </c>
      <c r="K621">
        <v>0</v>
      </c>
      <c r="L621">
        <v>2750</v>
      </c>
      <c r="M621">
        <v>2750</v>
      </c>
      <c r="N621">
        <v>0</v>
      </c>
    </row>
    <row r="622" spans="1:14" x14ac:dyDescent="0.25">
      <c r="A622">
        <v>272.62293399999999</v>
      </c>
      <c r="B622" s="1">
        <f>DATE(2011,1,28) + TIME(14,57,1)</f>
        <v>40571.622928240744</v>
      </c>
      <c r="C622">
        <v>80</v>
      </c>
      <c r="D622">
        <v>67.862342834000003</v>
      </c>
      <c r="E622">
        <v>50</v>
      </c>
      <c r="F622">
        <v>49.954845427999999</v>
      </c>
      <c r="G622">
        <v>1288.2301024999999</v>
      </c>
      <c r="H622">
        <v>1272.2478027</v>
      </c>
      <c r="I622">
        <v>1406.3939209</v>
      </c>
      <c r="J622">
        <v>1384.0133057</v>
      </c>
      <c r="K622">
        <v>0</v>
      </c>
      <c r="L622">
        <v>2750</v>
      </c>
      <c r="M622">
        <v>2750</v>
      </c>
      <c r="N622">
        <v>0</v>
      </c>
    </row>
    <row r="623" spans="1:14" x14ac:dyDescent="0.25">
      <c r="A623">
        <v>274.49666500000001</v>
      </c>
      <c r="B623" s="1">
        <f>DATE(2011,1,30) + TIME(11,55,11)</f>
        <v>40573.496655092589</v>
      </c>
      <c r="C623">
        <v>80</v>
      </c>
      <c r="D623">
        <v>67.654632567999997</v>
      </c>
      <c r="E623">
        <v>50</v>
      </c>
      <c r="F623">
        <v>49.954978943</v>
      </c>
      <c r="G623">
        <v>1287.9506836</v>
      </c>
      <c r="H623">
        <v>1271.8713379000001</v>
      </c>
      <c r="I623">
        <v>1406.3184814000001</v>
      </c>
      <c r="J623">
        <v>1383.942749</v>
      </c>
      <c r="K623">
        <v>0</v>
      </c>
      <c r="L623">
        <v>2750</v>
      </c>
      <c r="M623">
        <v>2750</v>
      </c>
      <c r="N623">
        <v>0</v>
      </c>
    </row>
    <row r="624" spans="1:14" x14ac:dyDescent="0.25">
      <c r="A624">
        <v>276</v>
      </c>
      <c r="B624" s="1">
        <f>DATE(2011,2,1) + TIME(0,0,0)</f>
        <v>40575</v>
      </c>
      <c r="C624">
        <v>80</v>
      </c>
      <c r="D624">
        <v>67.455101013000004</v>
      </c>
      <c r="E624">
        <v>50</v>
      </c>
      <c r="F624">
        <v>49.955081939999999</v>
      </c>
      <c r="G624">
        <v>1287.6629639</v>
      </c>
      <c r="H624">
        <v>1271.4859618999999</v>
      </c>
      <c r="I624">
        <v>1406.2435303</v>
      </c>
      <c r="J624">
        <v>1383.8723144999999</v>
      </c>
      <c r="K624">
        <v>0</v>
      </c>
      <c r="L624">
        <v>2750</v>
      </c>
      <c r="M624">
        <v>2750</v>
      </c>
      <c r="N624">
        <v>0</v>
      </c>
    </row>
    <row r="625" spans="1:14" x14ac:dyDescent="0.25">
      <c r="A625">
        <v>277.88604299999997</v>
      </c>
      <c r="B625" s="1">
        <f>DATE(2011,2,2) + TIME(21,15,54)</f>
        <v>40576.886041666665</v>
      </c>
      <c r="C625">
        <v>80</v>
      </c>
      <c r="D625">
        <v>67.257263183999996</v>
      </c>
      <c r="E625">
        <v>50</v>
      </c>
      <c r="F625">
        <v>49.955215453999998</v>
      </c>
      <c r="G625">
        <v>1287.4194336</v>
      </c>
      <c r="H625">
        <v>1271.1478271000001</v>
      </c>
      <c r="I625">
        <v>1406.1850586</v>
      </c>
      <c r="J625">
        <v>1383.8175048999999</v>
      </c>
      <c r="K625">
        <v>0</v>
      </c>
      <c r="L625">
        <v>2750</v>
      </c>
      <c r="M625">
        <v>2750</v>
      </c>
      <c r="N625">
        <v>0</v>
      </c>
    </row>
    <row r="626" spans="1:14" x14ac:dyDescent="0.25">
      <c r="A626">
        <v>279.811643</v>
      </c>
      <c r="B626" s="1">
        <f>DATE(2011,2,4) + TIME(19,28,45)</f>
        <v>40578.811631944445</v>
      </c>
      <c r="C626">
        <v>80</v>
      </c>
      <c r="D626">
        <v>67.038536071999999</v>
      </c>
      <c r="E626">
        <v>50</v>
      </c>
      <c r="F626">
        <v>49.955348968999999</v>
      </c>
      <c r="G626">
        <v>1287.1207274999999</v>
      </c>
      <c r="H626">
        <v>1270.7426757999999</v>
      </c>
      <c r="I626">
        <v>1406.1129149999999</v>
      </c>
      <c r="J626">
        <v>1383.7497559000001</v>
      </c>
      <c r="K626">
        <v>0</v>
      </c>
      <c r="L626">
        <v>2750</v>
      </c>
      <c r="M626">
        <v>2750</v>
      </c>
      <c r="N626">
        <v>0</v>
      </c>
    </row>
    <row r="627" spans="1:14" x14ac:dyDescent="0.25">
      <c r="A627">
        <v>281.767134</v>
      </c>
      <c r="B627" s="1">
        <f>DATE(2011,2,6) + TIME(18,24,40)</f>
        <v>40580.767129629632</v>
      </c>
      <c r="C627">
        <v>80</v>
      </c>
      <c r="D627">
        <v>66.807106017999999</v>
      </c>
      <c r="E627">
        <v>50</v>
      </c>
      <c r="F627">
        <v>49.955482482999997</v>
      </c>
      <c r="G627">
        <v>1286.8073730000001</v>
      </c>
      <c r="H627">
        <v>1270.3146973</v>
      </c>
      <c r="I627">
        <v>1406.0407714999999</v>
      </c>
      <c r="J627">
        <v>1383.6821289</v>
      </c>
      <c r="K627">
        <v>0</v>
      </c>
      <c r="L627">
        <v>2750</v>
      </c>
      <c r="M627">
        <v>2750</v>
      </c>
      <c r="N627">
        <v>0</v>
      </c>
    </row>
    <row r="628" spans="1:14" x14ac:dyDescent="0.25">
      <c r="A628">
        <v>283.75841000000003</v>
      </c>
      <c r="B628" s="1">
        <f>DATE(2011,2,8) + TIME(18,12,6)</f>
        <v>40582.758402777778</v>
      </c>
      <c r="C628">
        <v>80</v>
      </c>
      <c r="D628">
        <v>66.565223693999997</v>
      </c>
      <c r="E628">
        <v>50</v>
      </c>
      <c r="F628">
        <v>49.955619812000002</v>
      </c>
      <c r="G628">
        <v>1286.4824219</v>
      </c>
      <c r="H628">
        <v>1269.8684082</v>
      </c>
      <c r="I628">
        <v>1405.9689940999999</v>
      </c>
      <c r="J628">
        <v>1383.6147461</v>
      </c>
      <c r="K628">
        <v>0</v>
      </c>
      <c r="L628">
        <v>2750</v>
      </c>
      <c r="M628">
        <v>2750</v>
      </c>
      <c r="N628">
        <v>0</v>
      </c>
    </row>
    <row r="629" spans="1:14" x14ac:dyDescent="0.25">
      <c r="A629">
        <v>285.79521999999997</v>
      </c>
      <c r="B629" s="1">
        <f>DATE(2011,2,10) + TIME(19,5,7)</f>
        <v>40584.795219907406</v>
      </c>
      <c r="C629">
        <v>80</v>
      </c>
      <c r="D629">
        <v>66.312385559000006</v>
      </c>
      <c r="E629">
        <v>50</v>
      </c>
      <c r="F629">
        <v>49.955760955999999</v>
      </c>
      <c r="G629">
        <v>1286.1450195</v>
      </c>
      <c r="H629">
        <v>1269.4031981999999</v>
      </c>
      <c r="I629">
        <v>1405.8974608999999</v>
      </c>
      <c r="J629">
        <v>1383.5476074000001</v>
      </c>
      <c r="K629">
        <v>0</v>
      </c>
      <c r="L629">
        <v>2750</v>
      </c>
      <c r="M629">
        <v>2750</v>
      </c>
      <c r="N629">
        <v>0</v>
      </c>
    </row>
    <row r="630" spans="1:14" x14ac:dyDescent="0.25">
      <c r="A630">
        <v>287.87072599999999</v>
      </c>
      <c r="B630" s="1">
        <f>DATE(2011,2,12) + TIME(20,53,50)</f>
        <v>40586.870717592596</v>
      </c>
      <c r="C630">
        <v>80</v>
      </c>
      <c r="D630">
        <v>66.047477721999996</v>
      </c>
      <c r="E630">
        <v>50</v>
      </c>
      <c r="F630">
        <v>49.955898285000004</v>
      </c>
      <c r="G630">
        <v>1285.7937012</v>
      </c>
      <c r="H630">
        <v>1268.9169922000001</v>
      </c>
      <c r="I630">
        <v>1405.8256836</v>
      </c>
      <c r="J630">
        <v>1383.4803466999999</v>
      </c>
      <c r="K630">
        <v>0</v>
      </c>
      <c r="L630">
        <v>2750</v>
      </c>
      <c r="M630">
        <v>2750</v>
      </c>
      <c r="N630">
        <v>0</v>
      </c>
    </row>
    <row r="631" spans="1:14" x14ac:dyDescent="0.25">
      <c r="A631">
        <v>289.95847199999997</v>
      </c>
      <c r="B631" s="1">
        <f>DATE(2011,2,14) + TIME(23,0,12)</f>
        <v>40588.958472222221</v>
      </c>
      <c r="C631">
        <v>80</v>
      </c>
      <c r="D631">
        <v>65.770912170000003</v>
      </c>
      <c r="E631">
        <v>50</v>
      </c>
      <c r="F631">
        <v>49.956039429</v>
      </c>
      <c r="G631">
        <v>1285.4293213000001</v>
      </c>
      <c r="H631">
        <v>1268.4107666</v>
      </c>
      <c r="I631">
        <v>1405.7540283000001</v>
      </c>
      <c r="J631">
        <v>1383.4130858999999</v>
      </c>
      <c r="K631">
        <v>0</v>
      </c>
      <c r="L631">
        <v>2750</v>
      </c>
      <c r="M631">
        <v>2750</v>
      </c>
      <c r="N631">
        <v>0</v>
      </c>
    </row>
    <row r="632" spans="1:14" x14ac:dyDescent="0.25">
      <c r="A632">
        <v>292.06397600000003</v>
      </c>
      <c r="B632" s="1">
        <f>DATE(2011,2,17) + TIME(1,32,7)</f>
        <v>40591.063969907409</v>
      </c>
      <c r="C632">
        <v>80</v>
      </c>
      <c r="D632">
        <v>65.483772278000004</v>
      </c>
      <c r="E632">
        <v>50</v>
      </c>
      <c r="F632">
        <v>49.956180572999997</v>
      </c>
      <c r="G632">
        <v>1285.0557861</v>
      </c>
      <c r="H632">
        <v>1267.8895264</v>
      </c>
      <c r="I632">
        <v>1405.6834716999999</v>
      </c>
      <c r="J632">
        <v>1383.3468018000001</v>
      </c>
      <c r="K632">
        <v>0</v>
      </c>
      <c r="L632">
        <v>2750</v>
      </c>
      <c r="M632">
        <v>2750</v>
      </c>
      <c r="N632">
        <v>0</v>
      </c>
    </row>
    <row r="633" spans="1:14" x14ac:dyDescent="0.25">
      <c r="A633">
        <v>294.19608199999999</v>
      </c>
      <c r="B633" s="1">
        <f>DATE(2011,2,19) + TIME(4,42,21)</f>
        <v>40593.196076388886</v>
      </c>
      <c r="C633">
        <v>80</v>
      </c>
      <c r="D633">
        <v>65.185188292999996</v>
      </c>
      <c r="E633">
        <v>50</v>
      </c>
      <c r="F633">
        <v>49.956325530999997</v>
      </c>
      <c r="G633">
        <v>1284.6727295000001</v>
      </c>
      <c r="H633">
        <v>1267.3525391000001</v>
      </c>
      <c r="I633">
        <v>1405.6135254000001</v>
      </c>
      <c r="J633">
        <v>1383.2811279</v>
      </c>
      <c r="K633">
        <v>0</v>
      </c>
      <c r="L633">
        <v>2750</v>
      </c>
      <c r="M633">
        <v>2750</v>
      </c>
      <c r="N633">
        <v>0</v>
      </c>
    </row>
    <row r="634" spans="1:14" x14ac:dyDescent="0.25">
      <c r="A634">
        <v>296.361448</v>
      </c>
      <c r="B634" s="1">
        <f>DATE(2011,2,21) + TIME(8,40,29)</f>
        <v>40595.361446759256</v>
      </c>
      <c r="C634">
        <v>80</v>
      </c>
      <c r="D634">
        <v>64.873626709000007</v>
      </c>
      <c r="E634">
        <v>50</v>
      </c>
      <c r="F634">
        <v>49.956466675000001</v>
      </c>
      <c r="G634">
        <v>1284.2784423999999</v>
      </c>
      <c r="H634">
        <v>1266.7978516000001</v>
      </c>
      <c r="I634">
        <v>1405.5440673999999</v>
      </c>
      <c r="J634">
        <v>1383.2158202999999</v>
      </c>
      <c r="K634">
        <v>0</v>
      </c>
      <c r="L634">
        <v>2750</v>
      </c>
      <c r="M634">
        <v>2750</v>
      </c>
      <c r="N634">
        <v>0</v>
      </c>
    </row>
    <row r="635" spans="1:14" x14ac:dyDescent="0.25">
      <c r="A635">
        <v>298.56599899999998</v>
      </c>
      <c r="B635" s="1">
        <f>DATE(2011,2,23) + TIME(13,35,2)</f>
        <v>40597.565995370373</v>
      </c>
      <c r="C635">
        <v>80</v>
      </c>
      <c r="D635">
        <v>64.547470093000001</v>
      </c>
      <c r="E635">
        <v>50</v>
      </c>
      <c r="F635">
        <v>49.956611633000001</v>
      </c>
      <c r="G635">
        <v>1283.8719481999999</v>
      </c>
      <c r="H635">
        <v>1266.2235106999999</v>
      </c>
      <c r="I635">
        <v>1405.4748535000001</v>
      </c>
      <c r="J635">
        <v>1383.1507568</v>
      </c>
      <c r="K635">
        <v>0</v>
      </c>
      <c r="L635">
        <v>2750</v>
      </c>
      <c r="M635">
        <v>2750</v>
      </c>
      <c r="N635">
        <v>0</v>
      </c>
    </row>
    <row r="636" spans="1:14" x14ac:dyDescent="0.25">
      <c r="A636">
        <v>300.81445300000001</v>
      </c>
      <c r="B636" s="1">
        <f>DATE(2011,2,25) + TIME(19,32,48)</f>
        <v>40599.814444444448</v>
      </c>
      <c r="C636">
        <v>80</v>
      </c>
      <c r="D636">
        <v>64.204917907999999</v>
      </c>
      <c r="E636">
        <v>50</v>
      </c>
      <c r="F636">
        <v>49.956760406000001</v>
      </c>
      <c r="G636">
        <v>1283.4520264</v>
      </c>
      <c r="H636">
        <v>1265.6278076000001</v>
      </c>
      <c r="I636">
        <v>1405.4055175999999</v>
      </c>
      <c r="J636">
        <v>1383.0856934000001</v>
      </c>
      <c r="K636">
        <v>0</v>
      </c>
      <c r="L636">
        <v>2750</v>
      </c>
      <c r="M636">
        <v>2750</v>
      </c>
      <c r="N636">
        <v>0</v>
      </c>
    </row>
    <row r="637" spans="1:14" x14ac:dyDescent="0.25">
      <c r="A637">
        <v>303.10039</v>
      </c>
      <c r="B637" s="1">
        <f>DATE(2011,2,28) + TIME(2,24,33)</f>
        <v>40602.100381944445</v>
      </c>
      <c r="C637">
        <v>80</v>
      </c>
      <c r="D637">
        <v>63.844741821</v>
      </c>
      <c r="E637">
        <v>50</v>
      </c>
      <c r="F637">
        <v>49.956909179999997</v>
      </c>
      <c r="G637">
        <v>1283.0175781</v>
      </c>
      <c r="H637">
        <v>1265.0092772999999</v>
      </c>
      <c r="I637">
        <v>1405.3360596</v>
      </c>
      <c r="J637">
        <v>1383.0203856999999</v>
      </c>
      <c r="K637">
        <v>0</v>
      </c>
      <c r="L637">
        <v>2750</v>
      </c>
      <c r="M637">
        <v>2750</v>
      </c>
      <c r="N637">
        <v>0</v>
      </c>
    </row>
    <row r="638" spans="1:14" x14ac:dyDescent="0.25">
      <c r="A638">
        <v>304</v>
      </c>
      <c r="B638" s="1">
        <f>DATE(2011,3,1) + TIME(0,0,0)</f>
        <v>40603</v>
      </c>
      <c r="C638">
        <v>80</v>
      </c>
      <c r="D638">
        <v>63.568737030000001</v>
      </c>
      <c r="E638">
        <v>50</v>
      </c>
      <c r="F638">
        <v>49.956962584999999</v>
      </c>
      <c r="G638">
        <v>1282.5826416</v>
      </c>
      <c r="H638">
        <v>1264.4187012</v>
      </c>
      <c r="I638">
        <v>1405.2653809000001</v>
      </c>
      <c r="J638">
        <v>1382.9538574000001</v>
      </c>
      <c r="K638">
        <v>0</v>
      </c>
      <c r="L638">
        <v>2750</v>
      </c>
      <c r="M638">
        <v>2750</v>
      </c>
      <c r="N638">
        <v>0</v>
      </c>
    </row>
    <row r="639" spans="1:14" x14ac:dyDescent="0.25">
      <c r="A639">
        <v>306.298878</v>
      </c>
      <c r="B639" s="1">
        <f>DATE(2011,3,3) + TIME(7,10,23)</f>
        <v>40605.298877314817</v>
      </c>
      <c r="C639">
        <v>80</v>
      </c>
      <c r="D639">
        <v>63.28351593</v>
      </c>
      <c r="E639">
        <v>50</v>
      </c>
      <c r="F639">
        <v>49.957115172999998</v>
      </c>
      <c r="G639">
        <v>1282.3718262</v>
      </c>
      <c r="H639">
        <v>1264.0717772999999</v>
      </c>
      <c r="I639">
        <v>1405.2393798999999</v>
      </c>
      <c r="J639">
        <v>1382.9294434000001</v>
      </c>
      <c r="K639">
        <v>0</v>
      </c>
      <c r="L639">
        <v>2750</v>
      </c>
      <c r="M639">
        <v>2750</v>
      </c>
      <c r="N639">
        <v>0</v>
      </c>
    </row>
    <row r="640" spans="1:14" x14ac:dyDescent="0.25">
      <c r="A640">
        <v>308.628917</v>
      </c>
      <c r="B640" s="1">
        <f>DATE(2011,3,5) + TIME(15,5,38)</f>
        <v>40607.628912037035</v>
      </c>
      <c r="C640">
        <v>80</v>
      </c>
      <c r="D640">
        <v>62.908195495999998</v>
      </c>
      <c r="E640">
        <v>50</v>
      </c>
      <c r="F640">
        <v>49.957263947000001</v>
      </c>
      <c r="G640">
        <v>1281.9278564000001</v>
      </c>
      <c r="H640">
        <v>1263.4428711</v>
      </c>
      <c r="I640">
        <v>1405.1710204999999</v>
      </c>
      <c r="J640">
        <v>1382.8651123</v>
      </c>
      <c r="K640">
        <v>0</v>
      </c>
      <c r="L640">
        <v>2750</v>
      </c>
      <c r="M640">
        <v>2750</v>
      </c>
      <c r="N640">
        <v>0</v>
      </c>
    </row>
    <row r="641" spans="1:14" x14ac:dyDescent="0.25">
      <c r="A641">
        <v>310.98946599999999</v>
      </c>
      <c r="B641" s="1">
        <f>DATE(2011,3,7) + TIME(23,44,49)</f>
        <v>40609.98945601852</v>
      </c>
      <c r="C641">
        <v>80</v>
      </c>
      <c r="D641">
        <v>62.497188567999999</v>
      </c>
      <c r="E641">
        <v>50</v>
      </c>
      <c r="F641">
        <v>49.957412720000001</v>
      </c>
      <c r="G641">
        <v>1281.4608154</v>
      </c>
      <c r="H641">
        <v>1262.7701416</v>
      </c>
      <c r="I641">
        <v>1405.1026611</v>
      </c>
      <c r="J641">
        <v>1382.8007812000001</v>
      </c>
      <c r="K641">
        <v>0</v>
      </c>
      <c r="L641">
        <v>2750</v>
      </c>
      <c r="M641">
        <v>2750</v>
      </c>
      <c r="N641">
        <v>0</v>
      </c>
    </row>
    <row r="642" spans="1:14" x14ac:dyDescent="0.25">
      <c r="A642">
        <v>313.36897599999998</v>
      </c>
      <c r="B642" s="1">
        <f>DATE(2011,3,10) + TIME(8,51,19)</f>
        <v>40612.368969907409</v>
      </c>
      <c r="C642">
        <v>80</v>
      </c>
      <c r="D642">
        <v>62.063793181999998</v>
      </c>
      <c r="E642">
        <v>50</v>
      </c>
      <c r="F642">
        <v>49.957561493</v>
      </c>
      <c r="G642">
        <v>1280.9796143000001</v>
      </c>
      <c r="H642">
        <v>1262.0725098</v>
      </c>
      <c r="I642">
        <v>1405.0345459</v>
      </c>
      <c r="J642">
        <v>1382.7365723</v>
      </c>
      <c r="K642">
        <v>0</v>
      </c>
      <c r="L642">
        <v>2750</v>
      </c>
      <c r="M642">
        <v>2750</v>
      </c>
      <c r="N642">
        <v>0</v>
      </c>
    </row>
    <row r="643" spans="1:14" x14ac:dyDescent="0.25">
      <c r="A643">
        <v>315.76421399999998</v>
      </c>
      <c r="B643" s="1">
        <f>DATE(2011,3,12) + TIME(18,20,28)</f>
        <v>40614.76421296296</v>
      </c>
      <c r="C643">
        <v>80</v>
      </c>
      <c r="D643">
        <v>61.612144469999997</v>
      </c>
      <c r="E643">
        <v>50</v>
      </c>
      <c r="F643">
        <v>49.957714080999999</v>
      </c>
      <c r="G643">
        <v>1280.4887695</v>
      </c>
      <c r="H643">
        <v>1261.3571777</v>
      </c>
      <c r="I643">
        <v>1404.9666748</v>
      </c>
      <c r="J643">
        <v>1382.6727295000001</v>
      </c>
      <c r="K643">
        <v>0</v>
      </c>
      <c r="L643">
        <v>2750</v>
      </c>
      <c r="M643">
        <v>2750</v>
      </c>
      <c r="N643">
        <v>0</v>
      </c>
    </row>
    <row r="644" spans="1:14" x14ac:dyDescent="0.25">
      <c r="A644">
        <v>318.17791299999999</v>
      </c>
      <c r="B644" s="1">
        <f>DATE(2011,3,15) + TIME(4,16,11)</f>
        <v>40617.177905092591</v>
      </c>
      <c r="C644">
        <v>80</v>
      </c>
      <c r="D644">
        <v>61.143325806</v>
      </c>
      <c r="E644">
        <v>50</v>
      </c>
      <c r="F644">
        <v>49.957862853999998</v>
      </c>
      <c r="G644">
        <v>1279.9897461</v>
      </c>
      <c r="H644">
        <v>1260.6264647999999</v>
      </c>
      <c r="I644">
        <v>1404.8992920000001</v>
      </c>
      <c r="J644">
        <v>1382.6092529</v>
      </c>
      <c r="K644">
        <v>0</v>
      </c>
      <c r="L644">
        <v>2750</v>
      </c>
      <c r="M644">
        <v>2750</v>
      </c>
      <c r="N644">
        <v>0</v>
      </c>
    </row>
    <row r="645" spans="1:14" x14ac:dyDescent="0.25">
      <c r="A645">
        <v>320.609936</v>
      </c>
      <c r="B645" s="1">
        <f>DATE(2011,3,17) + TIME(14,38,18)</f>
        <v>40619.609930555554</v>
      </c>
      <c r="C645">
        <v>80</v>
      </c>
      <c r="D645">
        <v>60.657497405999997</v>
      </c>
      <c r="E645">
        <v>50</v>
      </c>
      <c r="F645">
        <v>49.958011626999998</v>
      </c>
      <c r="G645">
        <v>1279.4827881000001</v>
      </c>
      <c r="H645">
        <v>1259.8808594</v>
      </c>
      <c r="I645">
        <v>1404.8321533000001</v>
      </c>
      <c r="J645">
        <v>1382.5458983999999</v>
      </c>
      <c r="K645">
        <v>0</v>
      </c>
      <c r="L645">
        <v>2750</v>
      </c>
      <c r="M645">
        <v>2750</v>
      </c>
      <c r="N645">
        <v>0</v>
      </c>
    </row>
    <row r="646" spans="1:14" x14ac:dyDescent="0.25">
      <c r="A646">
        <v>323.061487</v>
      </c>
      <c r="B646" s="1">
        <f>DATE(2011,3,20) + TIME(1,28,32)</f>
        <v>40622.061481481483</v>
      </c>
      <c r="C646">
        <v>80</v>
      </c>
      <c r="D646">
        <v>60.154346466</v>
      </c>
      <c r="E646">
        <v>50</v>
      </c>
      <c r="F646">
        <v>49.958164214999996</v>
      </c>
      <c r="G646">
        <v>1278.9681396000001</v>
      </c>
      <c r="H646">
        <v>1259.1204834</v>
      </c>
      <c r="I646">
        <v>1404.7653809000001</v>
      </c>
      <c r="J646">
        <v>1382.4829102000001</v>
      </c>
      <c r="K646">
        <v>0</v>
      </c>
      <c r="L646">
        <v>2750</v>
      </c>
      <c r="M646">
        <v>2750</v>
      </c>
      <c r="N646">
        <v>0</v>
      </c>
    </row>
    <row r="647" spans="1:14" x14ac:dyDescent="0.25">
      <c r="A647">
        <v>325.52879999999999</v>
      </c>
      <c r="B647" s="1">
        <f>DATE(2011,3,22) + TIME(12,41,28)</f>
        <v>40624.528796296298</v>
      </c>
      <c r="C647">
        <v>80</v>
      </c>
      <c r="D647">
        <v>59.633419037000003</v>
      </c>
      <c r="E647">
        <v>50</v>
      </c>
      <c r="F647">
        <v>49.958312988000003</v>
      </c>
      <c r="G647">
        <v>1278.4461670000001</v>
      </c>
      <c r="H647">
        <v>1258.3457031</v>
      </c>
      <c r="I647">
        <v>1404.6986084</v>
      </c>
      <c r="J647">
        <v>1382.4200439000001</v>
      </c>
      <c r="K647">
        <v>0</v>
      </c>
      <c r="L647">
        <v>2750</v>
      </c>
      <c r="M647">
        <v>2750</v>
      </c>
      <c r="N647">
        <v>0</v>
      </c>
    </row>
    <row r="648" spans="1:14" x14ac:dyDescent="0.25">
      <c r="A648">
        <v>328.017337</v>
      </c>
      <c r="B648" s="1">
        <f>DATE(2011,3,25) + TIME(0,24,57)</f>
        <v>40627.017326388886</v>
      </c>
      <c r="C648">
        <v>80</v>
      </c>
      <c r="D648">
        <v>59.095359801999997</v>
      </c>
      <c r="E648">
        <v>50</v>
      </c>
      <c r="F648">
        <v>49.958461761000002</v>
      </c>
      <c r="G648">
        <v>1277.9179687999999</v>
      </c>
      <c r="H648">
        <v>1257.5581055</v>
      </c>
      <c r="I648">
        <v>1404.6322021000001</v>
      </c>
      <c r="J648">
        <v>1382.3572998</v>
      </c>
      <c r="K648">
        <v>0</v>
      </c>
      <c r="L648">
        <v>2750</v>
      </c>
      <c r="M648">
        <v>2750</v>
      </c>
      <c r="N648">
        <v>0</v>
      </c>
    </row>
    <row r="649" spans="1:14" x14ac:dyDescent="0.25">
      <c r="A649">
        <v>330.53262000000001</v>
      </c>
      <c r="B649" s="1">
        <f>DATE(2011,3,27) + TIME(12,46,58)</f>
        <v>40629.53261574074</v>
      </c>
      <c r="C649">
        <v>80</v>
      </c>
      <c r="D649">
        <v>58.539829253999997</v>
      </c>
      <c r="E649">
        <v>50</v>
      </c>
      <c r="F649">
        <v>49.958614349000001</v>
      </c>
      <c r="G649">
        <v>1277.3831786999999</v>
      </c>
      <c r="H649">
        <v>1256.7568358999999</v>
      </c>
      <c r="I649">
        <v>1404.5657959</v>
      </c>
      <c r="J649">
        <v>1382.2945557</v>
      </c>
      <c r="K649">
        <v>0</v>
      </c>
      <c r="L649">
        <v>2750</v>
      </c>
      <c r="M649">
        <v>2750</v>
      </c>
      <c r="N649">
        <v>0</v>
      </c>
    </row>
    <row r="650" spans="1:14" x14ac:dyDescent="0.25">
      <c r="A650">
        <v>333.07080500000001</v>
      </c>
      <c r="B650" s="1">
        <f>DATE(2011,3,30) + TIME(1,41,57)</f>
        <v>40632.070798611108</v>
      </c>
      <c r="C650">
        <v>80</v>
      </c>
      <c r="D650">
        <v>57.966445923000002</v>
      </c>
      <c r="E650">
        <v>50</v>
      </c>
      <c r="F650">
        <v>49.958763122999997</v>
      </c>
      <c r="G650">
        <v>1276.8410644999999</v>
      </c>
      <c r="H650">
        <v>1255.9411620999999</v>
      </c>
      <c r="I650">
        <v>1404.4993896000001</v>
      </c>
      <c r="J650">
        <v>1382.2316894999999</v>
      </c>
      <c r="K650">
        <v>0</v>
      </c>
      <c r="L650">
        <v>2750</v>
      </c>
      <c r="M650">
        <v>2750</v>
      </c>
      <c r="N650">
        <v>0</v>
      </c>
    </row>
    <row r="651" spans="1:14" x14ac:dyDescent="0.25">
      <c r="A651">
        <v>335</v>
      </c>
      <c r="B651" s="1">
        <f>DATE(2011,4,1) + TIME(0,0,0)</f>
        <v>40634</v>
      </c>
      <c r="C651">
        <v>80</v>
      </c>
      <c r="D651">
        <v>57.413516997999999</v>
      </c>
      <c r="E651">
        <v>50</v>
      </c>
      <c r="F651">
        <v>49.958873748999999</v>
      </c>
      <c r="G651">
        <v>1276.2962646000001</v>
      </c>
      <c r="H651">
        <v>1255.1306152</v>
      </c>
      <c r="I651">
        <v>1404.4323730000001</v>
      </c>
      <c r="J651">
        <v>1382.1683350000001</v>
      </c>
      <c r="K651">
        <v>0</v>
      </c>
      <c r="L651">
        <v>2750</v>
      </c>
      <c r="M651">
        <v>2750</v>
      </c>
      <c r="N651">
        <v>0</v>
      </c>
    </row>
    <row r="652" spans="1:14" x14ac:dyDescent="0.25">
      <c r="A652">
        <v>337.56417800000003</v>
      </c>
      <c r="B652" s="1">
        <f>DATE(2011,4,3) + TIME(13,32,24)</f>
        <v>40636.564166666663</v>
      </c>
      <c r="C652">
        <v>80</v>
      </c>
      <c r="D652">
        <v>56.896595001000001</v>
      </c>
      <c r="E652">
        <v>50</v>
      </c>
      <c r="F652">
        <v>49.959026336999997</v>
      </c>
      <c r="G652">
        <v>1275.8660889</v>
      </c>
      <c r="H652">
        <v>1254.4544678</v>
      </c>
      <c r="I652">
        <v>1404.3824463000001</v>
      </c>
      <c r="J652">
        <v>1382.1209716999999</v>
      </c>
      <c r="K652">
        <v>0</v>
      </c>
      <c r="L652">
        <v>2750</v>
      </c>
      <c r="M652">
        <v>2750</v>
      </c>
      <c r="N652">
        <v>0</v>
      </c>
    </row>
    <row r="653" spans="1:14" x14ac:dyDescent="0.25">
      <c r="A653">
        <v>340.17729700000001</v>
      </c>
      <c r="B653" s="1">
        <f>DATE(2011,4,6) + TIME(4,15,18)</f>
        <v>40639.177291666667</v>
      </c>
      <c r="C653">
        <v>80</v>
      </c>
      <c r="D653">
        <v>56.297225951999998</v>
      </c>
      <c r="E653">
        <v>50</v>
      </c>
      <c r="F653">
        <v>49.959178925000003</v>
      </c>
      <c r="G653">
        <v>1275.3208007999999</v>
      </c>
      <c r="H653">
        <v>1253.6297606999999</v>
      </c>
      <c r="I653">
        <v>1404.3160399999999</v>
      </c>
      <c r="J653">
        <v>1382.0581055</v>
      </c>
      <c r="K653">
        <v>0</v>
      </c>
      <c r="L653">
        <v>2750</v>
      </c>
      <c r="M653">
        <v>2750</v>
      </c>
      <c r="N653">
        <v>0</v>
      </c>
    </row>
    <row r="654" spans="1:14" x14ac:dyDescent="0.25">
      <c r="A654">
        <v>342.81484699999999</v>
      </c>
      <c r="B654" s="1">
        <f>DATE(2011,4,8) + TIME(19,33,22)</f>
        <v>40641.814837962964</v>
      </c>
      <c r="C654">
        <v>80</v>
      </c>
      <c r="D654">
        <v>55.664970398000001</v>
      </c>
      <c r="E654">
        <v>50</v>
      </c>
      <c r="F654">
        <v>49.959331511999999</v>
      </c>
      <c r="G654">
        <v>1274.7597656</v>
      </c>
      <c r="H654">
        <v>1252.7720947</v>
      </c>
      <c r="I654">
        <v>1404.2487793</v>
      </c>
      <c r="J654">
        <v>1381.9943848</v>
      </c>
      <c r="K654">
        <v>0</v>
      </c>
      <c r="L654">
        <v>2750</v>
      </c>
      <c r="M654">
        <v>2750</v>
      </c>
      <c r="N654">
        <v>0</v>
      </c>
    </row>
    <row r="655" spans="1:14" x14ac:dyDescent="0.25">
      <c r="A655">
        <v>345.47968900000001</v>
      </c>
      <c r="B655" s="1">
        <f>DATE(2011,4,11) + TIME(11,30,45)</f>
        <v>40644.479687500003</v>
      </c>
      <c r="C655">
        <v>80</v>
      </c>
      <c r="D655">
        <v>55.014648438000002</v>
      </c>
      <c r="E655">
        <v>50</v>
      </c>
      <c r="F655">
        <v>49.959484099999997</v>
      </c>
      <c r="G655">
        <v>1274.1934814000001</v>
      </c>
      <c r="H655">
        <v>1251.9003906</v>
      </c>
      <c r="I655">
        <v>1404.1812743999999</v>
      </c>
      <c r="J655">
        <v>1381.9304199000001</v>
      </c>
      <c r="K655">
        <v>0</v>
      </c>
      <c r="L655">
        <v>2750</v>
      </c>
      <c r="M655">
        <v>2750</v>
      </c>
      <c r="N655">
        <v>0</v>
      </c>
    </row>
    <row r="656" spans="1:14" x14ac:dyDescent="0.25">
      <c r="A656">
        <v>348.17265800000001</v>
      </c>
      <c r="B656" s="1">
        <f>DATE(2011,4,14) + TIME(4,8,37)</f>
        <v>40647.172650462962</v>
      </c>
      <c r="C656">
        <v>80</v>
      </c>
      <c r="D656">
        <v>54.349651336999997</v>
      </c>
      <c r="E656">
        <v>50</v>
      </c>
      <c r="F656">
        <v>49.959636688000003</v>
      </c>
      <c r="G656">
        <v>1273.6235352000001</v>
      </c>
      <c r="H656">
        <v>1251.0184326000001</v>
      </c>
      <c r="I656">
        <v>1404.1135254000001</v>
      </c>
      <c r="J656">
        <v>1381.8660889</v>
      </c>
      <c r="K656">
        <v>0</v>
      </c>
      <c r="L656">
        <v>2750</v>
      </c>
      <c r="M656">
        <v>2750</v>
      </c>
      <c r="N656">
        <v>0</v>
      </c>
    </row>
    <row r="657" spans="1:14" x14ac:dyDescent="0.25">
      <c r="A657">
        <v>350.900825</v>
      </c>
      <c r="B657" s="1">
        <f>DATE(2011,4,16) + TIME(21,37,11)</f>
        <v>40649.900821759256</v>
      </c>
      <c r="C657">
        <v>80</v>
      </c>
      <c r="D657">
        <v>53.671226501</v>
      </c>
      <c r="E657">
        <v>50</v>
      </c>
      <c r="F657">
        <v>49.959789276000002</v>
      </c>
      <c r="G657">
        <v>1273.0510254000001</v>
      </c>
      <c r="H657">
        <v>1250.1278076000001</v>
      </c>
      <c r="I657">
        <v>1404.0452881000001</v>
      </c>
      <c r="J657">
        <v>1381.8012695</v>
      </c>
      <c r="K657">
        <v>0</v>
      </c>
      <c r="L657">
        <v>2750</v>
      </c>
      <c r="M657">
        <v>2750</v>
      </c>
      <c r="N657">
        <v>0</v>
      </c>
    </row>
    <row r="658" spans="1:14" x14ac:dyDescent="0.25">
      <c r="A658">
        <v>353.66774600000002</v>
      </c>
      <c r="B658" s="1">
        <f>DATE(2011,4,19) + TIME(16,1,33)</f>
        <v>40652.667743055557</v>
      </c>
      <c r="C658">
        <v>80</v>
      </c>
      <c r="D658">
        <v>52.979469299000002</v>
      </c>
      <c r="E658">
        <v>50</v>
      </c>
      <c r="F658">
        <v>49.959941864000001</v>
      </c>
      <c r="G658">
        <v>1272.4755858999999</v>
      </c>
      <c r="H658">
        <v>1249.2282714999999</v>
      </c>
      <c r="I658">
        <v>1403.9765625</v>
      </c>
      <c r="J658">
        <v>1381.7359618999999</v>
      </c>
      <c r="K658">
        <v>0</v>
      </c>
      <c r="L658">
        <v>2750</v>
      </c>
      <c r="M658">
        <v>2750</v>
      </c>
      <c r="N658">
        <v>0</v>
      </c>
    </row>
    <row r="659" spans="1:14" x14ac:dyDescent="0.25">
      <c r="A659">
        <v>356.47425199999998</v>
      </c>
      <c r="B659" s="1">
        <f>DATE(2011,4,22) + TIME(11,22,55)</f>
        <v>40655.474247685182</v>
      </c>
      <c r="C659">
        <v>80</v>
      </c>
      <c r="D659">
        <v>52.275058745999999</v>
      </c>
      <c r="E659">
        <v>50</v>
      </c>
      <c r="F659">
        <v>49.960098266999999</v>
      </c>
      <c r="G659">
        <v>1271.8975829999999</v>
      </c>
      <c r="H659">
        <v>1248.3199463000001</v>
      </c>
      <c r="I659">
        <v>1403.9071045000001</v>
      </c>
      <c r="J659">
        <v>1381.6697998</v>
      </c>
      <c r="K659">
        <v>0</v>
      </c>
      <c r="L659">
        <v>2750</v>
      </c>
      <c r="M659">
        <v>2750</v>
      </c>
      <c r="N659">
        <v>0</v>
      </c>
    </row>
    <row r="660" spans="1:14" x14ac:dyDescent="0.25">
      <c r="A660">
        <v>359.32285100000001</v>
      </c>
      <c r="B660" s="1">
        <f>DATE(2011,4,25) + TIME(7,44,54)</f>
        <v>40658.322847222225</v>
      </c>
      <c r="C660">
        <v>80</v>
      </c>
      <c r="D660">
        <v>51.559417725000003</v>
      </c>
      <c r="E660">
        <v>50</v>
      </c>
      <c r="F660">
        <v>49.960254669000001</v>
      </c>
      <c r="G660">
        <v>1271.317749</v>
      </c>
      <c r="H660">
        <v>1247.4042969</v>
      </c>
      <c r="I660">
        <v>1403.8369141000001</v>
      </c>
      <c r="J660">
        <v>1381.6030272999999</v>
      </c>
      <c r="K660">
        <v>0</v>
      </c>
      <c r="L660">
        <v>2750</v>
      </c>
      <c r="M660">
        <v>2750</v>
      </c>
      <c r="N660">
        <v>0</v>
      </c>
    </row>
    <row r="661" spans="1:14" x14ac:dyDescent="0.25">
      <c r="A661">
        <v>362.20808499999998</v>
      </c>
      <c r="B661" s="1">
        <f>DATE(2011,4,28) + TIME(4,59,38)</f>
        <v>40661.208078703705</v>
      </c>
      <c r="C661">
        <v>80</v>
      </c>
      <c r="D661">
        <v>50.833599091000004</v>
      </c>
      <c r="E661">
        <v>50</v>
      </c>
      <c r="F661">
        <v>49.960411071999999</v>
      </c>
      <c r="G661">
        <v>1270.7370605000001</v>
      </c>
      <c r="H661">
        <v>1246.4825439000001</v>
      </c>
      <c r="I661">
        <v>1403.7658690999999</v>
      </c>
      <c r="J661">
        <v>1381.5354004000001</v>
      </c>
      <c r="K661">
        <v>0</v>
      </c>
      <c r="L661">
        <v>2750</v>
      </c>
      <c r="M661">
        <v>2750</v>
      </c>
      <c r="N661">
        <v>0</v>
      </c>
    </row>
    <row r="662" spans="1:14" x14ac:dyDescent="0.25">
      <c r="A662">
        <v>365</v>
      </c>
      <c r="B662" s="1">
        <f>DATE(2011,5,1) + TIME(0,0,0)</f>
        <v>40664</v>
      </c>
      <c r="C662">
        <v>80</v>
      </c>
      <c r="D662">
        <v>50.106555939000003</v>
      </c>
      <c r="E662">
        <v>50</v>
      </c>
      <c r="F662">
        <v>49.960559844999999</v>
      </c>
      <c r="G662">
        <v>1270.1580810999999</v>
      </c>
      <c r="H662">
        <v>1245.5612793</v>
      </c>
      <c r="I662">
        <v>1403.6942139</v>
      </c>
      <c r="J662">
        <v>1381.4669189000001</v>
      </c>
      <c r="K662">
        <v>0</v>
      </c>
      <c r="L662">
        <v>2750</v>
      </c>
      <c r="M662">
        <v>2750</v>
      </c>
      <c r="N662">
        <v>0</v>
      </c>
    </row>
    <row r="663" spans="1:14" x14ac:dyDescent="0.25">
      <c r="A663">
        <v>365.000001</v>
      </c>
      <c r="B663" s="1">
        <f>DATE(2011,5,1) + TIME(0,0,0)</f>
        <v>40664</v>
      </c>
      <c r="C663">
        <v>80</v>
      </c>
      <c r="D663">
        <v>50.106746674</v>
      </c>
      <c r="E663">
        <v>50</v>
      </c>
      <c r="F663">
        <v>49.960433960000003</v>
      </c>
      <c r="G663">
        <v>1296.6063231999999</v>
      </c>
      <c r="H663">
        <v>1271.2967529</v>
      </c>
      <c r="I663">
        <v>1380.4652100000001</v>
      </c>
      <c r="J663">
        <v>1358.7579346</v>
      </c>
      <c r="K663">
        <v>2750</v>
      </c>
      <c r="L663">
        <v>0</v>
      </c>
      <c r="M663">
        <v>0</v>
      </c>
      <c r="N663">
        <v>2750</v>
      </c>
    </row>
    <row r="664" spans="1:14" x14ac:dyDescent="0.25">
      <c r="A664">
        <v>365.00000399999999</v>
      </c>
      <c r="B664" s="1">
        <f>DATE(2011,5,1) + TIME(0,0,0)</f>
        <v>40664</v>
      </c>
      <c r="C664">
        <v>80</v>
      </c>
      <c r="D664">
        <v>50.107265472000002</v>
      </c>
      <c r="E664">
        <v>50</v>
      </c>
      <c r="F664">
        <v>49.960098266999999</v>
      </c>
      <c r="G664">
        <v>1299.3521728999999</v>
      </c>
      <c r="H664">
        <v>1274.3210449000001</v>
      </c>
      <c r="I664">
        <v>1377.7928466999999</v>
      </c>
      <c r="J664">
        <v>1356.0844727000001</v>
      </c>
      <c r="K664">
        <v>2750</v>
      </c>
      <c r="L664">
        <v>0</v>
      </c>
      <c r="M664">
        <v>0</v>
      </c>
      <c r="N664">
        <v>2750</v>
      </c>
    </row>
    <row r="665" spans="1:14" x14ac:dyDescent="0.25">
      <c r="A665">
        <v>365.00001300000002</v>
      </c>
      <c r="B665" s="1">
        <f>DATE(2011,5,1) + TIME(0,0,1)</f>
        <v>40664.000011574077</v>
      </c>
      <c r="C665">
        <v>80</v>
      </c>
      <c r="D665">
        <v>50.108524322999997</v>
      </c>
      <c r="E665">
        <v>50</v>
      </c>
      <c r="F665">
        <v>49.959342956999997</v>
      </c>
      <c r="G665">
        <v>1305.6682129000001</v>
      </c>
      <c r="H665">
        <v>1281.059082</v>
      </c>
      <c r="I665">
        <v>1371.7980957</v>
      </c>
      <c r="J665">
        <v>1350.0878906</v>
      </c>
      <c r="K665">
        <v>2750</v>
      </c>
      <c r="L665">
        <v>0</v>
      </c>
      <c r="M665">
        <v>0</v>
      </c>
      <c r="N665">
        <v>2750</v>
      </c>
    </row>
    <row r="666" spans="1:14" x14ac:dyDescent="0.25">
      <c r="A666">
        <v>365.00004000000001</v>
      </c>
      <c r="B666" s="1">
        <f>DATE(2011,5,1) + TIME(0,0,3)</f>
        <v>40664.000034722223</v>
      </c>
      <c r="C666">
        <v>80</v>
      </c>
      <c r="D666">
        <v>50.111164092999999</v>
      </c>
      <c r="E666">
        <v>50</v>
      </c>
      <c r="F666">
        <v>49.958076476999999</v>
      </c>
      <c r="G666">
        <v>1316.6370850000001</v>
      </c>
      <c r="H666">
        <v>1292.2706298999999</v>
      </c>
      <c r="I666">
        <v>1361.7777100000001</v>
      </c>
      <c r="J666">
        <v>1340.0692139</v>
      </c>
      <c r="K666">
        <v>2750</v>
      </c>
      <c r="L666">
        <v>0</v>
      </c>
      <c r="M666">
        <v>0</v>
      </c>
      <c r="N666">
        <v>2750</v>
      </c>
    </row>
    <row r="667" spans="1:14" x14ac:dyDescent="0.25">
      <c r="A667">
        <v>365.00012099999998</v>
      </c>
      <c r="B667" s="1">
        <f>DATE(2011,5,1) + TIME(0,0,10)</f>
        <v>40664.000115740739</v>
      </c>
      <c r="C667">
        <v>80</v>
      </c>
      <c r="D667">
        <v>50.116607666</v>
      </c>
      <c r="E667">
        <v>50</v>
      </c>
      <c r="F667">
        <v>49.956523894999997</v>
      </c>
      <c r="G667">
        <v>1330.5112305</v>
      </c>
      <c r="H667">
        <v>1306.0583495999999</v>
      </c>
      <c r="I667">
        <v>1349.5419922000001</v>
      </c>
      <c r="J667">
        <v>1327.8424072</v>
      </c>
      <c r="K667">
        <v>2750</v>
      </c>
      <c r="L667">
        <v>0</v>
      </c>
      <c r="M667">
        <v>0</v>
      </c>
      <c r="N667">
        <v>2750</v>
      </c>
    </row>
    <row r="668" spans="1:14" x14ac:dyDescent="0.25">
      <c r="A668">
        <v>365.00036399999999</v>
      </c>
      <c r="B668" s="1">
        <f>DATE(2011,5,1) + TIME(0,0,31)</f>
        <v>40664.000358796293</v>
      </c>
      <c r="C668">
        <v>80</v>
      </c>
      <c r="D668">
        <v>50.129615784000002</v>
      </c>
      <c r="E668">
        <v>50</v>
      </c>
      <c r="F668">
        <v>49.954887390000003</v>
      </c>
      <c r="G668">
        <v>1345.1541748</v>
      </c>
      <c r="H668">
        <v>1320.5419922000001</v>
      </c>
      <c r="I668">
        <v>1336.9400635</v>
      </c>
      <c r="J668">
        <v>1315.2573242000001</v>
      </c>
      <c r="K668">
        <v>2750</v>
      </c>
      <c r="L668">
        <v>0</v>
      </c>
      <c r="M668">
        <v>0</v>
      </c>
      <c r="N668">
        <v>2750</v>
      </c>
    </row>
    <row r="669" spans="1:14" x14ac:dyDescent="0.25">
      <c r="A669">
        <v>365.00109300000003</v>
      </c>
      <c r="B669" s="1">
        <f>DATE(2011,5,1) + TIME(0,1,34)</f>
        <v>40664.001087962963</v>
      </c>
      <c r="C669">
        <v>80</v>
      </c>
      <c r="D669">
        <v>50.165229797000002</v>
      </c>
      <c r="E669">
        <v>50</v>
      </c>
      <c r="F669">
        <v>49.953151703000003</v>
      </c>
      <c r="G669">
        <v>1360.2614745999999</v>
      </c>
      <c r="H669">
        <v>1335.5069579999999</v>
      </c>
      <c r="I669">
        <v>1324.3260498</v>
      </c>
      <c r="J669">
        <v>1302.6657714999999</v>
      </c>
      <c r="K669">
        <v>2750</v>
      </c>
      <c r="L669">
        <v>0</v>
      </c>
      <c r="M669">
        <v>0</v>
      </c>
      <c r="N669">
        <v>2750</v>
      </c>
    </row>
    <row r="670" spans="1:14" x14ac:dyDescent="0.25">
      <c r="A670">
        <v>365.00328000000002</v>
      </c>
      <c r="B670" s="1">
        <f>DATE(2011,5,1) + TIME(0,4,43)</f>
        <v>40664.003275462965</v>
      </c>
      <c r="C670">
        <v>80</v>
      </c>
      <c r="D670">
        <v>50.268722533999998</v>
      </c>
      <c r="E670">
        <v>50</v>
      </c>
      <c r="F670">
        <v>49.951084137000002</v>
      </c>
      <c r="G670">
        <v>1376.3181152</v>
      </c>
      <c r="H670">
        <v>1351.4456786999999</v>
      </c>
      <c r="I670">
        <v>1311.4547118999999</v>
      </c>
      <c r="J670">
        <v>1289.7978516000001</v>
      </c>
      <c r="K670">
        <v>2750</v>
      </c>
      <c r="L670">
        <v>0</v>
      </c>
      <c r="M670">
        <v>0</v>
      </c>
      <c r="N670">
        <v>2750</v>
      </c>
    </row>
    <row r="671" spans="1:14" x14ac:dyDescent="0.25">
      <c r="A671">
        <v>365.00984099999999</v>
      </c>
      <c r="B671" s="1">
        <f>DATE(2011,5,1) + TIME(0,14,10)</f>
        <v>40664.009837962964</v>
      </c>
      <c r="C671">
        <v>80</v>
      </c>
      <c r="D671">
        <v>50.573925017999997</v>
      </c>
      <c r="E671">
        <v>50</v>
      </c>
      <c r="F671">
        <v>49.948078156000001</v>
      </c>
      <c r="G671">
        <v>1392.7344971</v>
      </c>
      <c r="H671">
        <v>1367.8391113</v>
      </c>
      <c r="I671">
        <v>1298.2249756000001</v>
      </c>
      <c r="J671">
        <v>1276.5332031</v>
      </c>
      <c r="K671">
        <v>2750</v>
      </c>
      <c r="L671">
        <v>0</v>
      </c>
      <c r="M671">
        <v>0</v>
      </c>
      <c r="N671">
        <v>2750</v>
      </c>
    </row>
    <row r="672" spans="1:14" x14ac:dyDescent="0.25">
      <c r="A672">
        <v>365.02873199999999</v>
      </c>
      <c r="B672" s="1">
        <f>DATE(2011,5,1) + TIME(0,41,22)</f>
        <v>40664.028726851851</v>
      </c>
      <c r="C672">
        <v>80</v>
      </c>
      <c r="D672">
        <v>51.426597594999997</v>
      </c>
      <c r="E672">
        <v>50</v>
      </c>
      <c r="F672">
        <v>49.942886352999999</v>
      </c>
      <c r="G672">
        <v>1405.8518065999999</v>
      </c>
      <c r="H672">
        <v>1381.2059326000001</v>
      </c>
      <c r="I672">
        <v>1287.2012939000001</v>
      </c>
      <c r="J672">
        <v>1265.4749756000001</v>
      </c>
      <c r="K672">
        <v>2750</v>
      </c>
      <c r="L672">
        <v>0</v>
      </c>
      <c r="M672">
        <v>0</v>
      </c>
      <c r="N672">
        <v>2750</v>
      </c>
    </row>
    <row r="673" spans="1:14" x14ac:dyDescent="0.25">
      <c r="A673">
        <v>365.04816199999999</v>
      </c>
      <c r="B673" s="1">
        <f>DATE(2011,5,1) + TIME(1,9,21)</f>
        <v>40664.048159722224</v>
      </c>
      <c r="C673">
        <v>80</v>
      </c>
      <c r="D673">
        <v>52.278495788999997</v>
      </c>
      <c r="E673">
        <v>50</v>
      </c>
      <c r="F673">
        <v>49.938472748000002</v>
      </c>
      <c r="G673">
        <v>1410.7102050999999</v>
      </c>
      <c r="H673">
        <v>1386.3569336</v>
      </c>
      <c r="I673">
        <v>1283.1523437999999</v>
      </c>
      <c r="J673">
        <v>1261.4145507999999</v>
      </c>
      <c r="K673">
        <v>2750</v>
      </c>
      <c r="L673">
        <v>0</v>
      </c>
      <c r="M673">
        <v>0</v>
      </c>
      <c r="N673">
        <v>2750</v>
      </c>
    </row>
    <row r="674" spans="1:14" x14ac:dyDescent="0.25">
      <c r="A674">
        <v>365.06802599999997</v>
      </c>
      <c r="B674" s="1">
        <f>DATE(2011,5,1) + TIME(1,37,57)</f>
        <v>40664.068020833336</v>
      </c>
      <c r="C674">
        <v>80</v>
      </c>
      <c r="D674">
        <v>53.123821259000003</v>
      </c>
      <c r="E674">
        <v>50</v>
      </c>
      <c r="F674">
        <v>49.934310912999997</v>
      </c>
      <c r="G674">
        <v>1412.6506348</v>
      </c>
      <c r="H674">
        <v>1388.6002197</v>
      </c>
      <c r="I674">
        <v>1281.6069336</v>
      </c>
      <c r="J674">
        <v>1259.8647461</v>
      </c>
      <c r="K674">
        <v>2750</v>
      </c>
      <c r="L674">
        <v>0</v>
      </c>
      <c r="M674">
        <v>0</v>
      </c>
      <c r="N674">
        <v>2750</v>
      </c>
    </row>
    <row r="675" spans="1:14" x14ac:dyDescent="0.25">
      <c r="A675">
        <v>365.08828899999997</v>
      </c>
      <c r="B675" s="1">
        <f>DATE(2011,5,1) + TIME(2,7,8)</f>
        <v>40664.088287037041</v>
      </c>
      <c r="C675">
        <v>80</v>
      </c>
      <c r="D675">
        <v>53.960285186999997</v>
      </c>
      <c r="E675">
        <v>50</v>
      </c>
      <c r="F675">
        <v>49.930225372000002</v>
      </c>
      <c r="G675">
        <v>1413.3746338000001</v>
      </c>
      <c r="H675">
        <v>1389.6231689000001</v>
      </c>
      <c r="I675">
        <v>1281.0484618999999</v>
      </c>
      <c r="J675">
        <v>1259.3043213000001</v>
      </c>
      <c r="K675">
        <v>2750</v>
      </c>
      <c r="L675">
        <v>0</v>
      </c>
      <c r="M675">
        <v>0</v>
      </c>
      <c r="N675">
        <v>2750</v>
      </c>
    </row>
    <row r="676" spans="1:14" x14ac:dyDescent="0.25">
      <c r="A676">
        <v>365.10893700000003</v>
      </c>
      <c r="B676" s="1">
        <f>DATE(2011,5,1) + TIME(2,36,52)</f>
        <v>40664.108935185184</v>
      </c>
      <c r="C676">
        <v>80</v>
      </c>
      <c r="D676">
        <v>54.786525726000001</v>
      </c>
      <c r="E676">
        <v>50</v>
      </c>
      <c r="F676">
        <v>49.926147460999999</v>
      </c>
      <c r="G676">
        <v>1413.5410156</v>
      </c>
      <c r="H676">
        <v>1390.0798339999999</v>
      </c>
      <c r="I676">
        <v>1280.8820800999999</v>
      </c>
      <c r="J676">
        <v>1259.1368408000001</v>
      </c>
      <c r="K676">
        <v>2750</v>
      </c>
      <c r="L676">
        <v>0</v>
      </c>
      <c r="M676">
        <v>0</v>
      </c>
      <c r="N676">
        <v>2750</v>
      </c>
    </row>
    <row r="677" spans="1:14" x14ac:dyDescent="0.25">
      <c r="A677">
        <v>365.12998199999998</v>
      </c>
      <c r="B677" s="1">
        <f>DATE(2011,5,1) + TIME(3,7,10)</f>
        <v>40664.129976851851</v>
      </c>
      <c r="C677">
        <v>80</v>
      </c>
      <c r="D677">
        <v>55.602352142000001</v>
      </c>
      <c r="E677">
        <v>50</v>
      </c>
      <c r="F677">
        <v>49.922039032000001</v>
      </c>
      <c r="G677">
        <v>1413.4379882999999</v>
      </c>
      <c r="H677">
        <v>1390.2575684000001</v>
      </c>
      <c r="I677">
        <v>1280.8626709</v>
      </c>
      <c r="J677">
        <v>1259.1168213000001</v>
      </c>
      <c r="K677">
        <v>2750</v>
      </c>
      <c r="L677">
        <v>0</v>
      </c>
      <c r="M677">
        <v>0</v>
      </c>
      <c r="N677">
        <v>2750</v>
      </c>
    </row>
    <row r="678" spans="1:14" x14ac:dyDescent="0.25">
      <c r="A678">
        <v>365.15144099999998</v>
      </c>
      <c r="B678" s="1">
        <f>DATE(2011,5,1) + TIME(3,38,4)</f>
        <v>40664.151435185187</v>
      </c>
      <c r="C678">
        <v>80</v>
      </c>
      <c r="D678">
        <v>56.407688141000001</v>
      </c>
      <c r="E678">
        <v>50</v>
      </c>
      <c r="F678">
        <v>49.917896270999996</v>
      </c>
      <c r="G678">
        <v>1413.2017822</v>
      </c>
      <c r="H678">
        <v>1390.2922363</v>
      </c>
      <c r="I678">
        <v>1280.8902588000001</v>
      </c>
      <c r="J678">
        <v>1259.1437988</v>
      </c>
      <c r="K678">
        <v>2750</v>
      </c>
      <c r="L678">
        <v>0</v>
      </c>
      <c r="M678">
        <v>0</v>
      </c>
      <c r="N678">
        <v>2750</v>
      </c>
    </row>
    <row r="679" spans="1:14" x14ac:dyDescent="0.25">
      <c r="A679">
        <v>365.17333300000001</v>
      </c>
      <c r="B679" s="1">
        <f>DATE(2011,5,1) + TIME(4,9,35)</f>
        <v>40664.173321759263</v>
      </c>
      <c r="C679">
        <v>80</v>
      </c>
      <c r="D679">
        <v>57.202522278000004</v>
      </c>
      <c r="E679">
        <v>50</v>
      </c>
      <c r="F679">
        <v>49.913703918000003</v>
      </c>
      <c r="G679">
        <v>1412.8997803</v>
      </c>
      <c r="H679">
        <v>1390.2514647999999</v>
      </c>
      <c r="I679">
        <v>1280.9261475000001</v>
      </c>
      <c r="J679">
        <v>1259.1791992000001</v>
      </c>
      <c r="K679">
        <v>2750</v>
      </c>
      <c r="L679">
        <v>0</v>
      </c>
      <c r="M679">
        <v>0</v>
      </c>
      <c r="N679">
        <v>2750</v>
      </c>
    </row>
    <row r="680" spans="1:14" x14ac:dyDescent="0.25">
      <c r="A680">
        <v>365.19567899999998</v>
      </c>
      <c r="B680" s="1">
        <f>DATE(2011,5,1) + TIME(4,41,46)</f>
        <v>40664.195671296293</v>
      </c>
      <c r="C680">
        <v>80</v>
      </c>
      <c r="D680">
        <v>57.986850738999998</v>
      </c>
      <c r="E680">
        <v>50</v>
      </c>
      <c r="F680">
        <v>49.90945816</v>
      </c>
      <c r="G680">
        <v>1412.5668945</v>
      </c>
      <c r="H680">
        <v>1390.1702881000001</v>
      </c>
      <c r="I680">
        <v>1280.9572754000001</v>
      </c>
      <c r="J680">
        <v>1259.2098389</v>
      </c>
      <c r="K680">
        <v>2750</v>
      </c>
      <c r="L680">
        <v>0</v>
      </c>
      <c r="M680">
        <v>0</v>
      </c>
      <c r="N680">
        <v>2750</v>
      </c>
    </row>
    <row r="681" spans="1:14" x14ac:dyDescent="0.25">
      <c r="A681">
        <v>365.218502</v>
      </c>
      <c r="B681" s="1">
        <f>DATE(2011,5,1) + TIME(5,14,38)</f>
        <v>40664.218495370369</v>
      </c>
      <c r="C681">
        <v>80</v>
      </c>
      <c r="D681">
        <v>58.760673523000001</v>
      </c>
      <c r="E681">
        <v>50</v>
      </c>
      <c r="F681">
        <v>49.905158997000001</v>
      </c>
      <c r="G681">
        <v>1412.2213135</v>
      </c>
      <c r="H681">
        <v>1390.0676269999999</v>
      </c>
      <c r="I681">
        <v>1280.9807129000001</v>
      </c>
      <c r="J681">
        <v>1259.2327881000001</v>
      </c>
      <c r="K681">
        <v>2750</v>
      </c>
      <c r="L681">
        <v>0</v>
      </c>
      <c r="M681">
        <v>0</v>
      </c>
      <c r="N681">
        <v>2750</v>
      </c>
    </row>
    <row r="682" spans="1:14" x14ac:dyDescent="0.25">
      <c r="A682">
        <v>365.241826</v>
      </c>
      <c r="B682" s="1">
        <f>DATE(2011,5,1) + TIME(5,48,13)</f>
        <v>40664.24181712963</v>
      </c>
      <c r="C682">
        <v>80</v>
      </c>
      <c r="D682">
        <v>59.523983002000001</v>
      </c>
      <c r="E682">
        <v>50</v>
      </c>
      <c r="F682">
        <v>49.900802612</v>
      </c>
      <c r="G682">
        <v>1411.8732910000001</v>
      </c>
      <c r="H682">
        <v>1389.9537353999999</v>
      </c>
      <c r="I682">
        <v>1280.9971923999999</v>
      </c>
      <c r="J682">
        <v>1259.2487793</v>
      </c>
      <c r="K682">
        <v>2750</v>
      </c>
      <c r="L682">
        <v>0</v>
      </c>
      <c r="M682">
        <v>0</v>
      </c>
      <c r="N682">
        <v>2750</v>
      </c>
    </row>
    <row r="683" spans="1:14" x14ac:dyDescent="0.25">
      <c r="A683">
        <v>365.26567699999998</v>
      </c>
      <c r="B683" s="1">
        <f>DATE(2011,5,1) + TIME(6,22,34)</f>
        <v>40664.2656712963</v>
      </c>
      <c r="C683">
        <v>80</v>
      </c>
      <c r="D683">
        <v>60.276512146000002</v>
      </c>
      <c r="E683">
        <v>50</v>
      </c>
      <c r="F683">
        <v>49.896385193</v>
      </c>
      <c r="G683">
        <v>1411.5284423999999</v>
      </c>
      <c r="H683">
        <v>1389.8344727000001</v>
      </c>
      <c r="I683">
        <v>1281.0083007999999</v>
      </c>
      <c r="J683">
        <v>1259.2593993999999</v>
      </c>
      <c r="K683">
        <v>2750</v>
      </c>
      <c r="L683">
        <v>0</v>
      </c>
      <c r="M683">
        <v>0</v>
      </c>
      <c r="N683">
        <v>2750</v>
      </c>
    </row>
    <row r="684" spans="1:14" x14ac:dyDescent="0.25">
      <c r="A684">
        <v>365.29008099999999</v>
      </c>
      <c r="B684" s="1">
        <f>DATE(2011,5,1) + TIME(6,57,42)</f>
        <v>40664.290069444447</v>
      </c>
      <c r="C684">
        <v>80</v>
      </c>
      <c r="D684">
        <v>61.018028258999998</v>
      </c>
      <c r="E684">
        <v>50</v>
      </c>
      <c r="F684">
        <v>49.891902924</v>
      </c>
      <c r="G684">
        <v>1411.1896973</v>
      </c>
      <c r="H684">
        <v>1389.7133789</v>
      </c>
      <c r="I684">
        <v>1281.0155029</v>
      </c>
      <c r="J684">
        <v>1259.2661132999999</v>
      </c>
      <c r="K684">
        <v>2750</v>
      </c>
      <c r="L684">
        <v>0</v>
      </c>
      <c r="M684">
        <v>0</v>
      </c>
      <c r="N684">
        <v>2750</v>
      </c>
    </row>
    <row r="685" spans="1:14" x14ac:dyDescent="0.25">
      <c r="A685">
        <v>365.31506999999999</v>
      </c>
      <c r="B685" s="1">
        <f>DATE(2011,5,1) + TIME(7,33,42)</f>
        <v>40664.315069444441</v>
      </c>
      <c r="C685">
        <v>80</v>
      </c>
      <c r="D685">
        <v>61.748935699</v>
      </c>
      <c r="E685">
        <v>50</v>
      </c>
      <c r="F685">
        <v>49.887351989999999</v>
      </c>
      <c r="G685">
        <v>1410.8586425999999</v>
      </c>
      <c r="H685">
        <v>1389.5924072</v>
      </c>
      <c r="I685">
        <v>1281.0200195</v>
      </c>
      <c r="J685">
        <v>1259.2701416</v>
      </c>
      <c r="K685">
        <v>2750</v>
      </c>
      <c r="L685">
        <v>0</v>
      </c>
      <c r="M685">
        <v>0</v>
      </c>
      <c r="N685">
        <v>2750</v>
      </c>
    </row>
    <row r="686" spans="1:14" x14ac:dyDescent="0.25">
      <c r="A686">
        <v>365.34067900000002</v>
      </c>
      <c r="B686" s="1">
        <f>DATE(2011,5,1) + TIME(8,10,34)</f>
        <v>40664.340671296297</v>
      </c>
      <c r="C686">
        <v>80</v>
      </c>
      <c r="D686">
        <v>62.469188690000003</v>
      </c>
      <c r="E686">
        <v>50</v>
      </c>
      <c r="F686">
        <v>49.882732390999998</v>
      </c>
      <c r="G686">
        <v>1410.5361327999999</v>
      </c>
      <c r="H686">
        <v>1389.4725341999999</v>
      </c>
      <c r="I686">
        <v>1281.0228271000001</v>
      </c>
      <c r="J686">
        <v>1259.2724608999999</v>
      </c>
      <c r="K686">
        <v>2750</v>
      </c>
      <c r="L686">
        <v>0</v>
      </c>
      <c r="M686">
        <v>0</v>
      </c>
      <c r="N686">
        <v>2750</v>
      </c>
    </row>
    <row r="687" spans="1:14" x14ac:dyDescent="0.25">
      <c r="A687">
        <v>365.36694199999999</v>
      </c>
      <c r="B687" s="1">
        <f>DATE(2011,5,1) + TIME(8,48,23)</f>
        <v>40664.366932870369</v>
      </c>
      <c r="C687">
        <v>80</v>
      </c>
      <c r="D687">
        <v>63.178730010999999</v>
      </c>
      <c r="E687">
        <v>50</v>
      </c>
      <c r="F687">
        <v>49.878032683999997</v>
      </c>
      <c r="G687">
        <v>1410.2224120999999</v>
      </c>
      <c r="H687">
        <v>1389.3544922000001</v>
      </c>
      <c r="I687">
        <v>1281.0244141000001</v>
      </c>
      <c r="J687">
        <v>1259.2735596</v>
      </c>
      <c r="K687">
        <v>2750</v>
      </c>
      <c r="L687">
        <v>0</v>
      </c>
      <c r="M687">
        <v>0</v>
      </c>
      <c r="N687">
        <v>2750</v>
      </c>
    </row>
    <row r="688" spans="1:14" x14ac:dyDescent="0.25">
      <c r="A688">
        <v>365.39389799999998</v>
      </c>
      <c r="B688" s="1">
        <f>DATE(2011,5,1) + TIME(9,27,12)</f>
        <v>40664.393888888888</v>
      </c>
      <c r="C688">
        <v>80</v>
      </c>
      <c r="D688">
        <v>63.877487183</v>
      </c>
      <c r="E688">
        <v>50</v>
      </c>
      <c r="F688">
        <v>49.873249053999999</v>
      </c>
      <c r="G688">
        <v>1409.9176024999999</v>
      </c>
      <c r="H688">
        <v>1389.2385254000001</v>
      </c>
      <c r="I688">
        <v>1281.0253906</v>
      </c>
      <c r="J688">
        <v>1259.2739257999999</v>
      </c>
      <c r="K688">
        <v>2750</v>
      </c>
      <c r="L688">
        <v>0</v>
      </c>
      <c r="M688">
        <v>0</v>
      </c>
      <c r="N688">
        <v>2750</v>
      </c>
    </row>
    <row r="689" spans="1:14" x14ac:dyDescent="0.25">
      <c r="A689">
        <v>365.42158799999999</v>
      </c>
      <c r="B689" s="1">
        <f>DATE(2011,5,1) + TIME(10,7,5)</f>
        <v>40664.421585648146</v>
      </c>
      <c r="C689">
        <v>80</v>
      </c>
      <c r="D689">
        <v>64.565383910999998</v>
      </c>
      <c r="E689">
        <v>50</v>
      </c>
      <c r="F689">
        <v>49.868381499999998</v>
      </c>
      <c r="G689">
        <v>1409.621582</v>
      </c>
      <c r="H689">
        <v>1389.1246338000001</v>
      </c>
      <c r="I689">
        <v>1281.0257568</v>
      </c>
      <c r="J689">
        <v>1259.2738036999999</v>
      </c>
      <c r="K689">
        <v>2750</v>
      </c>
      <c r="L689">
        <v>0</v>
      </c>
      <c r="M689">
        <v>0</v>
      </c>
      <c r="N689">
        <v>2750</v>
      </c>
    </row>
    <row r="690" spans="1:14" x14ac:dyDescent="0.25">
      <c r="A690">
        <v>365.45005700000002</v>
      </c>
      <c r="B690" s="1">
        <f>DATE(2011,5,1) + TIME(10,48,4)</f>
        <v>40664.450046296297</v>
      </c>
      <c r="C690">
        <v>80</v>
      </c>
      <c r="D690">
        <v>65.242370605000005</v>
      </c>
      <c r="E690">
        <v>50</v>
      </c>
      <c r="F690">
        <v>49.863418578999998</v>
      </c>
      <c r="G690">
        <v>1409.3338623</v>
      </c>
      <c r="H690">
        <v>1389.0130615</v>
      </c>
      <c r="I690">
        <v>1281.0258789</v>
      </c>
      <c r="J690">
        <v>1259.2733154</v>
      </c>
      <c r="K690">
        <v>2750</v>
      </c>
      <c r="L690">
        <v>0</v>
      </c>
      <c r="M690">
        <v>0</v>
      </c>
      <c r="N690">
        <v>2750</v>
      </c>
    </row>
    <row r="691" spans="1:14" x14ac:dyDescent="0.25">
      <c r="A691">
        <v>365.479354</v>
      </c>
      <c r="B691" s="1">
        <f>DATE(2011,5,1) + TIME(11,30,16)</f>
        <v>40664.479351851849</v>
      </c>
      <c r="C691">
        <v>80</v>
      </c>
      <c r="D691">
        <v>65.908401488999999</v>
      </c>
      <c r="E691">
        <v>50</v>
      </c>
      <c r="F691">
        <v>49.858360290999997</v>
      </c>
      <c r="G691">
        <v>1409.0544434000001</v>
      </c>
      <c r="H691">
        <v>1388.9035644999999</v>
      </c>
      <c r="I691">
        <v>1281.0256348</v>
      </c>
      <c r="J691">
        <v>1259.2727050999999</v>
      </c>
      <c r="K691">
        <v>2750</v>
      </c>
      <c r="L691">
        <v>0</v>
      </c>
      <c r="M691">
        <v>0</v>
      </c>
      <c r="N691">
        <v>2750</v>
      </c>
    </row>
    <row r="692" spans="1:14" x14ac:dyDescent="0.25">
      <c r="A692">
        <v>365.50953099999998</v>
      </c>
      <c r="B692" s="1">
        <f>DATE(2011,5,1) + TIME(12,13,43)</f>
        <v>40664.509525462963</v>
      </c>
      <c r="C692">
        <v>80</v>
      </c>
      <c r="D692">
        <v>66.563240050999994</v>
      </c>
      <c r="E692">
        <v>50</v>
      </c>
      <c r="F692">
        <v>49.853195190000001</v>
      </c>
      <c r="G692">
        <v>1408.7827147999999</v>
      </c>
      <c r="H692">
        <v>1388.7960204999999</v>
      </c>
      <c r="I692">
        <v>1281.0253906</v>
      </c>
      <c r="J692">
        <v>1259.2718506000001</v>
      </c>
      <c r="K692">
        <v>2750</v>
      </c>
      <c r="L692">
        <v>0</v>
      </c>
      <c r="M692">
        <v>0</v>
      </c>
      <c r="N692">
        <v>2750</v>
      </c>
    </row>
    <row r="693" spans="1:14" x14ac:dyDescent="0.25">
      <c r="A693">
        <v>365.54064799999998</v>
      </c>
      <c r="B693" s="1">
        <f>DATE(2011,5,1) + TIME(12,58,31)</f>
        <v>40664.540636574071</v>
      </c>
      <c r="C693">
        <v>80</v>
      </c>
      <c r="D693">
        <v>67.206771850999999</v>
      </c>
      <c r="E693">
        <v>50</v>
      </c>
      <c r="F693">
        <v>49.847915649000001</v>
      </c>
      <c r="G693">
        <v>1408.5184326000001</v>
      </c>
      <c r="H693">
        <v>1388.6901855000001</v>
      </c>
      <c r="I693">
        <v>1281.0249022999999</v>
      </c>
      <c r="J693">
        <v>1259.2707519999999</v>
      </c>
      <c r="K693">
        <v>2750</v>
      </c>
      <c r="L693">
        <v>0</v>
      </c>
      <c r="M693">
        <v>0</v>
      </c>
      <c r="N693">
        <v>2750</v>
      </c>
    </row>
    <row r="694" spans="1:14" x14ac:dyDescent="0.25">
      <c r="A694">
        <v>365.57278200000002</v>
      </c>
      <c r="B694" s="1">
        <f>DATE(2011,5,1) + TIME(13,44,48)</f>
        <v>40664.572777777779</v>
      </c>
      <c r="C694">
        <v>80</v>
      </c>
      <c r="D694">
        <v>67.839111328000001</v>
      </c>
      <c r="E694">
        <v>50</v>
      </c>
      <c r="F694">
        <v>49.842514037999997</v>
      </c>
      <c r="G694">
        <v>1408.2611084</v>
      </c>
      <c r="H694">
        <v>1388.5860596</v>
      </c>
      <c r="I694">
        <v>1281.0244141000001</v>
      </c>
      <c r="J694">
        <v>1259.2696533000001</v>
      </c>
      <c r="K694">
        <v>2750</v>
      </c>
      <c r="L694">
        <v>0</v>
      </c>
      <c r="M694">
        <v>0</v>
      </c>
      <c r="N694">
        <v>2750</v>
      </c>
    </row>
    <row r="695" spans="1:14" x14ac:dyDescent="0.25">
      <c r="A695">
        <v>365.60599100000002</v>
      </c>
      <c r="B695" s="1">
        <f>DATE(2011,5,1) + TIME(14,32,37)</f>
        <v>40664.605983796297</v>
      </c>
      <c r="C695">
        <v>80</v>
      </c>
      <c r="D695">
        <v>68.459815978999998</v>
      </c>
      <c r="E695">
        <v>50</v>
      </c>
      <c r="F695">
        <v>49.836982726999999</v>
      </c>
      <c r="G695">
        <v>1408.0106201000001</v>
      </c>
      <c r="H695">
        <v>1388.4833983999999</v>
      </c>
      <c r="I695">
        <v>1281.0238036999999</v>
      </c>
      <c r="J695">
        <v>1259.2685547000001</v>
      </c>
      <c r="K695">
        <v>2750</v>
      </c>
      <c r="L695">
        <v>0</v>
      </c>
      <c r="M695">
        <v>0</v>
      </c>
      <c r="N695">
        <v>2750</v>
      </c>
    </row>
    <row r="696" spans="1:14" x14ac:dyDescent="0.25">
      <c r="A696">
        <v>365.64035100000001</v>
      </c>
      <c r="B696" s="1">
        <f>DATE(2011,5,1) + TIME(15,22,6)</f>
        <v>40664.640347222223</v>
      </c>
      <c r="C696">
        <v>80</v>
      </c>
      <c r="D696">
        <v>69.068702697999996</v>
      </c>
      <c r="E696">
        <v>50</v>
      </c>
      <c r="F696">
        <v>49.831314087000003</v>
      </c>
      <c r="G696">
        <v>1407.7664795000001</v>
      </c>
      <c r="H696">
        <v>1388.3819579999999</v>
      </c>
      <c r="I696">
        <v>1281.0230713000001</v>
      </c>
      <c r="J696">
        <v>1259.2672118999999</v>
      </c>
      <c r="K696">
        <v>2750</v>
      </c>
      <c r="L696">
        <v>0</v>
      </c>
      <c r="M696">
        <v>0</v>
      </c>
      <c r="N696">
        <v>2750</v>
      </c>
    </row>
    <row r="697" spans="1:14" x14ac:dyDescent="0.25">
      <c r="A697">
        <v>365.67595</v>
      </c>
      <c r="B697" s="1">
        <f>DATE(2011,5,1) + TIME(16,13,22)</f>
        <v>40664.675949074073</v>
      </c>
      <c r="C697">
        <v>80</v>
      </c>
      <c r="D697">
        <v>69.665580750000004</v>
      </c>
      <c r="E697">
        <v>50</v>
      </c>
      <c r="F697">
        <v>49.825492859000001</v>
      </c>
      <c r="G697">
        <v>1407.5283202999999</v>
      </c>
      <c r="H697">
        <v>1388.2817382999999</v>
      </c>
      <c r="I697">
        <v>1281.0223389</v>
      </c>
      <c r="J697">
        <v>1259.2658690999999</v>
      </c>
      <c r="K697">
        <v>2750</v>
      </c>
      <c r="L697">
        <v>0</v>
      </c>
      <c r="M697">
        <v>0</v>
      </c>
      <c r="N697">
        <v>2750</v>
      </c>
    </row>
    <row r="698" spans="1:14" x14ac:dyDescent="0.25">
      <c r="A698">
        <v>365.71288099999998</v>
      </c>
      <c r="B698" s="1">
        <f>DATE(2011,5,1) + TIME(17,6,32)</f>
        <v>40664.712870370371</v>
      </c>
      <c r="C698">
        <v>80</v>
      </c>
      <c r="D698">
        <v>70.250053406000006</v>
      </c>
      <c r="E698">
        <v>50</v>
      </c>
      <c r="F698">
        <v>49.819515228</v>
      </c>
      <c r="G698">
        <v>1407.2958983999999</v>
      </c>
      <c r="H698">
        <v>1388.1823730000001</v>
      </c>
      <c r="I698">
        <v>1281.0216064000001</v>
      </c>
      <c r="J698">
        <v>1259.2644043</v>
      </c>
      <c r="K698">
        <v>2750</v>
      </c>
      <c r="L698">
        <v>0</v>
      </c>
      <c r="M698">
        <v>0</v>
      </c>
      <c r="N698">
        <v>2750</v>
      </c>
    </row>
    <row r="699" spans="1:14" x14ac:dyDescent="0.25">
      <c r="A699">
        <v>365.75125100000002</v>
      </c>
      <c r="B699" s="1">
        <f>DATE(2011,5,1) + TIME(18,1,48)</f>
        <v>40664.751250000001</v>
      </c>
      <c r="C699">
        <v>80</v>
      </c>
      <c r="D699">
        <v>70.821823120000005</v>
      </c>
      <c r="E699">
        <v>50</v>
      </c>
      <c r="F699">
        <v>49.813358307000001</v>
      </c>
      <c r="G699">
        <v>1407.0688477000001</v>
      </c>
      <c r="H699">
        <v>1388.0836182</v>
      </c>
      <c r="I699">
        <v>1281.0206298999999</v>
      </c>
      <c r="J699">
        <v>1259.2629394999999</v>
      </c>
      <c r="K699">
        <v>2750</v>
      </c>
      <c r="L699">
        <v>0</v>
      </c>
      <c r="M699">
        <v>0</v>
      </c>
      <c r="N699">
        <v>2750</v>
      </c>
    </row>
    <row r="700" spans="1:14" x14ac:dyDescent="0.25">
      <c r="A700">
        <v>365.791179</v>
      </c>
      <c r="B700" s="1">
        <f>DATE(2011,5,1) + TIME(18,59,17)</f>
        <v>40664.791168981479</v>
      </c>
      <c r="C700">
        <v>80</v>
      </c>
      <c r="D700">
        <v>71.380874633999994</v>
      </c>
      <c r="E700">
        <v>50</v>
      </c>
      <c r="F700">
        <v>49.807018280000001</v>
      </c>
      <c r="G700">
        <v>1406.8468018000001</v>
      </c>
      <c r="H700">
        <v>1387.9854736</v>
      </c>
      <c r="I700">
        <v>1281.0197754000001</v>
      </c>
      <c r="J700">
        <v>1259.2613524999999</v>
      </c>
      <c r="K700">
        <v>2750</v>
      </c>
      <c r="L700">
        <v>0</v>
      </c>
      <c r="M700">
        <v>0</v>
      </c>
      <c r="N700">
        <v>2750</v>
      </c>
    </row>
    <row r="701" spans="1:14" x14ac:dyDescent="0.25">
      <c r="A701">
        <v>365.83279900000002</v>
      </c>
      <c r="B701" s="1">
        <f>DATE(2011,5,1) + TIME(19,59,13)</f>
        <v>40664.832789351851</v>
      </c>
      <c r="C701">
        <v>80</v>
      </c>
      <c r="D701">
        <v>71.926956176999994</v>
      </c>
      <c r="E701">
        <v>50</v>
      </c>
      <c r="F701">
        <v>49.800468445</v>
      </c>
      <c r="G701">
        <v>1406.6293945</v>
      </c>
      <c r="H701">
        <v>1387.8875731999999</v>
      </c>
      <c r="I701">
        <v>1281.0187988</v>
      </c>
      <c r="J701">
        <v>1259.2596435999999</v>
      </c>
      <c r="K701">
        <v>2750</v>
      </c>
      <c r="L701">
        <v>0</v>
      </c>
      <c r="M701">
        <v>0</v>
      </c>
      <c r="N701">
        <v>2750</v>
      </c>
    </row>
    <row r="702" spans="1:14" x14ac:dyDescent="0.25">
      <c r="A702">
        <v>365.876261</v>
      </c>
      <c r="B702" s="1">
        <f>DATE(2011,5,1) + TIME(21,1,48)</f>
        <v>40664.876250000001</v>
      </c>
      <c r="C702">
        <v>80</v>
      </c>
      <c r="D702">
        <v>72.459762573000006</v>
      </c>
      <c r="E702">
        <v>50</v>
      </c>
      <c r="F702">
        <v>49.793701171999999</v>
      </c>
      <c r="G702">
        <v>1406.4163818</v>
      </c>
      <c r="H702">
        <v>1387.7899170000001</v>
      </c>
      <c r="I702">
        <v>1281.0177002</v>
      </c>
      <c r="J702">
        <v>1259.2578125</v>
      </c>
      <c r="K702">
        <v>2750</v>
      </c>
      <c r="L702">
        <v>0</v>
      </c>
      <c r="M702">
        <v>0</v>
      </c>
      <c r="N702">
        <v>2750</v>
      </c>
    </row>
    <row r="703" spans="1:14" x14ac:dyDescent="0.25">
      <c r="A703">
        <v>365.92173700000001</v>
      </c>
      <c r="B703" s="1">
        <f>DATE(2011,5,1) + TIME(22,7,18)</f>
        <v>40664.921736111108</v>
      </c>
      <c r="C703">
        <v>80</v>
      </c>
      <c r="D703">
        <v>72.979011536000002</v>
      </c>
      <c r="E703">
        <v>50</v>
      </c>
      <c r="F703">
        <v>49.786689758000001</v>
      </c>
      <c r="G703">
        <v>1406.2073975000001</v>
      </c>
      <c r="H703">
        <v>1387.6920166</v>
      </c>
      <c r="I703">
        <v>1281.0166016000001</v>
      </c>
      <c r="J703">
        <v>1259.2559814000001</v>
      </c>
      <c r="K703">
        <v>2750</v>
      </c>
      <c r="L703">
        <v>0</v>
      </c>
      <c r="M703">
        <v>0</v>
      </c>
      <c r="N703">
        <v>2750</v>
      </c>
    </row>
    <row r="704" spans="1:14" x14ac:dyDescent="0.25">
      <c r="A704">
        <v>365.96944500000001</v>
      </c>
      <c r="B704" s="1">
        <f>DATE(2011,5,1) + TIME(23,16,0)</f>
        <v>40664.969444444447</v>
      </c>
      <c r="C704">
        <v>80</v>
      </c>
      <c r="D704">
        <v>73.484588622999993</v>
      </c>
      <c r="E704">
        <v>50</v>
      </c>
      <c r="F704">
        <v>49.779407501000001</v>
      </c>
      <c r="G704">
        <v>1406.0020752</v>
      </c>
      <c r="H704">
        <v>1387.5938721</v>
      </c>
      <c r="I704">
        <v>1281.0153809000001</v>
      </c>
      <c r="J704">
        <v>1259.2540283000001</v>
      </c>
      <c r="K704">
        <v>2750</v>
      </c>
      <c r="L704">
        <v>0</v>
      </c>
      <c r="M704">
        <v>0</v>
      </c>
      <c r="N704">
        <v>2750</v>
      </c>
    </row>
    <row r="705" spans="1:14" x14ac:dyDescent="0.25">
      <c r="A705">
        <v>366.01960400000002</v>
      </c>
      <c r="B705" s="1">
        <f>DATE(2011,5,2) + TIME(0,28,13)</f>
        <v>40665.019594907404</v>
      </c>
      <c r="C705">
        <v>80</v>
      </c>
      <c r="D705">
        <v>73.976043700999995</v>
      </c>
      <c r="E705">
        <v>50</v>
      </c>
      <c r="F705">
        <v>49.771827698000003</v>
      </c>
      <c r="G705">
        <v>1405.8000488</v>
      </c>
      <c r="H705">
        <v>1387.4949951000001</v>
      </c>
      <c r="I705">
        <v>1281.0140381000001</v>
      </c>
      <c r="J705">
        <v>1259.2520752</v>
      </c>
      <c r="K705">
        <v>2750</v>
      </c>
      <c r="L705">
        <v>0</v>
      </c>
      <c r="M705">
        <v>0</v>
      </c>
      <c r="N705">
        <v>2750</v>
      </c>
    </row>
    <row r="706" spans="1:14" x14ac:dyDescent="0.25">
      <c r="A706">
        <v>366.07246300000003</v>
      </c>
      <c r="B706" s="1">
        <f>DATE(2011,5,2) + TIME(1,44,20)</f>
        <v>40665.072453703702</v>
      </c>
      <c r="C706">
        <v>80</v>
      </c>
      <c r="D706">
        <v>74.452873229999994</v>
      </c>
      <c r="E706">
        <v>50</v>
      </c>
      <c r="F706">
        <v>49.763927459999998</v>
      </c>
      <c r="G706">
        <v>1405.6009521000001</v>
      </c>
      <c r="H706">
        <v>1387.3952637</v>
      </c>
      <c r="I706">
        <v>1281.0126952999999</v>
      </c>
      <c r="J706">
        <v>1259.2498779</v>
      </c>
      <c r="K706">
        <v>2750</v>
      </c>
      <c r="L706">
        <v>0</v>
      </c>
      <c r="M706">
        <v>0</v>
      </c>
      <c r="N706">
        <v>2750</v>
      </c>
    </row>
    <row r="707" spans="1:14" x14ac:dyDescent="0.25">
      <c r="A707">
        <v>366.12832700000001</v>
      </c>
      <c r="B707" s="1">
        <f>DATE(2011,5,2) + TIME(3,4,47)</f>
        <v>40665.128321759257</v>
      </c>
      <c r="C707">
        <v>80</v>
      </c>
      <c r="D707">
        <v>74.914680481000005</v>
      </c>
      <c r="E707">
        <v>50</v>
      </c>
      <c r="F707">
        <v>49.755668640000003</v>
      </c>
      <c r="G707">
        <v>1405.4045410000001</v>
      </c>
      <c r="H707">
        <v>1387.2944336</v>
      </c>
      <c r="I707">
        <v>1281.0112305</v>
      </c>
      <c r="J707">
        <v>1259.2476807</v>
      </c>
      <c r="K707">
        <v>2750</v>
      </c>
      <c r="L707">
        <v>0</v>
      </c>
      <c r="M707">
        <v>0</v>
      </c>
      <c r="N707">
        <v>2750</v>
      </c>
    </row>
    <row r="708" spans="1:14" x14ac:dyDescent="0.25">
      <c r="A708">
        <v>366.18755099999998</v>
      </c>
      <c r="B708" s="1">
        <f>DATE(2011,5,2) + TIME(4,30,4)</f>
        <v>40665.1875462963</v>
      </c>
      <c r="C708">
        <v>80</v>
      </c>
      <c r="D708">
        <v>75.360748290999993</v>
      </c>
      <c r="E708">
        <v>50</v>
      </c>
      <c r="F708">
        <v>49.747009276999997</v>
      </c>
      <c r="G708">
        <v>1405.2103271000001</v>
      </c>
      <c r="H708">
        <v>1387.1921387</v>
      </c>
      <c r="I708">
        <v>1281.0097656</v>
      </c>
      <c r="J708">
        <v>1259.2452393000001</v>
      </c>
      <c r="K708">
        <v>2750</v>
      </c>
      <c r="L708">
        <v>0</v>
      </c>
      <c r="M708">
        <v>0</v>
      </c>
      <c r="N708">
        <v>2750</v>
      </c>
    </row>
    <row r="709" spans="1:14" x14ac:dyDescent="0.25">
      <c r="A709">
        <v>366.25055200000003</v>
      </c>
      <c r="B709" s="1">
        <f>DATE(2011,5,2) + TIME(6,0,47)</f>
        <v>40665.250543981485</v>
      </c>
      <c r="C709">
        <v>80</v>
      </c>
      <c r="D709">
        <v>75.790779114000003</v>
      </c>
      <c r="E709">
        <v>50</v>
      </c>
      <c r="F709">
        <v>49.737899779999999</v>
      </c>
      <c r="G709">
        <v>1405.0179443</v>
      </c>
      <c r="H709">
        <v>1387.0880127</v>
      </c>
      <c r="I709">
        <v>1281.0081786999999</v>
      </c>
      <c r="J709">
        <v>1259.2427978999999</v>
      </c>
      <c r="K709">
        <v>2750</v>
      </c>
      <c r="L709">
        <v>0</v>
      </c>
      <c r="M709">
        <v>0</v>
      </c>
      <c r="N709">
        <v>2750</v>
      </c>
    </row>
    <row r="710" spans="1:14" x14ac:dyDescent="0.25">
      <c r="A710">
        <v>366.31782800000002</v>
      </c>
      <c r="B710" s="1">
        <f>DATE(2011,5,2) + TIME(7,37,40)</f>
        <v>40665.317824074074</v>
      </c>
      <c r="C710">
        <v>80</v>
      </c>
      <c r="D710">
        <v>76.204299926999994</v>
      </c>
      <c r="E710">
        <v>50</v>
      </c>
      <c r="F710">
        <v>49.728290557999998</v>
      </c>
      <c r="G710">
        <v>1404.8270264</v>
      </c>
      <c r="H710">
        <v>1386.9816894999999</v>
      </c>
      <c r="I710">
        <v>1281.0063477000001</v>
      </c>
      <c r="J710">
        <v>1259.2401123</v>
      </c>
      <c r="K710">
        <v>2750</v>
      </c>
      <c r="L710">
        <v>0</v>
      </c>
      <c r="M710">
        <v>0</v>
      </c>
      <c r="N710">
        <v>2750</v>
      </c>
    </row>
    <row r="711" spans="1:14" x14ac:dyDescent="0.25">
      <c r="A711">
        <v>366.389996</v>
      </c>
      <c r="B711" s="1">
        <f>DATE(2011,5,2) + TIME(9,21,35)</f>
        <v>40665.389988425923</v>
      </c>
      <c r="C711">
        <v>80</v>
      </c>
      <c r="D711">
        <v>76.600837708</v>
      </c>
      <c r="E711">
        <v>50</v>
      </c>
      <c r="F711">
        <v>49.718101501</v>
      </c>
      <c r="G711">
        <v>1404.6368408000001</v>
      </c>
      <c r="H711">
        <v>1386.8728027</v>
      </c>
      <c r="I711">
        <v>1281.0045166</v>
      </c>
      <c r="J711">
        <v>1259.2373047000001</v>
      </c>
      <c r="K711">
        <v>2750</v>
      </c>
      <c r="L711">
        <v>0</v>
      </c>
      <c r="M711">
        <v>0</v>
      </c>
      <c r="N711">
        <v>2750</v>
      </c>
    </row>
    <row r="712" spans="1:14" x14ac:dyDescent="0.25">
      <c r="A712">
        <v>366.46780100000001</v>
      </c>
      <c r="B712" s="1">
        <f>DATE(2011,5,2) + TIME(11,13,38)</f>
        <v>40665.467800925922</v>
      </c>
      <c r="C712">
        <v>80</v>
      </c>
      <c r="D712">
        <v>76.979789733999993</v>
      </c>
      <c r="E712">
        <v>50</v>
      </c>
      <c r="F712">
        <v>49.707256317000002</v>
      </c>
      <c r="G712">
        <v>1404.4470214999999</v>
      </c>
      <c r="H712">
        <v>1386.7608643000001</v>
      </c>
      <c r="I712">
        <v>1281.0025635</v>
      </c>
      <c r="J712">
        <v>1259.2342529</v>
      </c>
      <c r="K712">
        <v>2750</v>
      </c>
      <c r="L712">
        <v>0</v>
      </c>
      <c r="M712">
        <v>0</v>
      </c>
      <c r="N712">
        <v>2750</v>
      </c>
    </row>
    <row r="713" spans="1:14" x14ac:dyDescent="0.25">
      <c r="A713">
        <v>366.552166</v>
      </c>
      <c r="B713" s="1">
        <f>DATE(2011,5,2) + TIME(13,15,7)</f>
        <v>40665.552164351851</v>
      </c>
      <c r="C713">
        <v>80</v>
      </c>
      <c r="D713">
        <v>77.340522766000007</v>
      </c>
      <c r="E713">
        <v>50</v>
      </c>
      <c r="F713">
        <v>49.695652008000003</v>
      </c>
      <c r="G713">
        <v>1404.2569579999999</v>
      </c>
      <c r="H713">
        <v>1386.6452637</v>
      </c>
      <c r="I713">
        <v>1281.0003661999999</v>
      </c>
      <c r="J713">
        <v>1259.230957</v>
      </c>
      <c r="K713">
        <v>2750</v>
      </c>
      <c r="L713">
        <v>0</v>
      </c>
      <c r="M713">
        <v>0</v>
      </c>
      <c r="N713">
        <v>2750</v>
      </c>
    </row>
    <row r="714" spans="1:14" x14ac:dyDescent="0.25">
      <c r="A714">
        <v>366.637427</v>
      </c>
      <c r="B714" s="1">
        <f>DATE(2011,5,2) + TIME(15,17,53)</f>
        <v>40665.637418981481</v>
      </c>
      <c r="C714">
        <v>80</v>
      </c>
      <c r="D714">
        <v>77.660148621000005</v>
      </c>
      <c r="E714">
        <v>50</v>
      </c>
      <c r="F714">
        <v>49.683994292999998</v>
      </c>
      <c r="G714">
        <v>1404.0760498</v>
      </c>
      <c r="H714">
        <v>1386.5300293</v>
      </c>
      <c r="I714">
        <v>1280.9979248</v>
      </c>
      <c r="J714">
        <v>1259.2275391000001</v>
      </c>
      <c r="K714">
        <v>2750</v>
      </c>
      <c r="L714">
        <v>0</v>
      </c>
      <c r="M714">
        <v>0</v>
      </c>
      <c r="N714">
        <v>2750</v>
      </c>
    </row>
    <row r="715" spans="1:14" x14ac:dyDescent="0.25">
      <c r="A715">
        <v>366.72317500000003</v>
      </c>
      <c r="B715" s="1">
        <f>DATE(2011,5,2) + TIME(17,21,22)</f>
        <v>40665.723171296297</v>
      </c>
      <c r="C715">
        <v>80</v>
      </c>
      <c r="D715">
        <v>77.941749572999996</v>
      </c>
      <c r="E715">
        <v>50</v>
      </c>
      <c r="F715">
        <v>49.672325133999998</v>
      </c>
      <c r="G715">
        <v>1403.9058838000001</v>
      </c>
      <c r="H715">
        <v>1386.4183350000001</v>
      </c>
      <c r="I715">
        <v>1280.9954834</v>
      </c>
      <c r="J715">
        <v>1259.223999</v>
      </c>
      <c r="K715">
        <v>2750</v>
      </c>
      <c r="L715">
        <v>0</v>
      </c>
      <c r="M715">
        <v>0</v>
      </c>
      <c r="N715">
        <v>2750</v>
      </c>
    </row>
    <row r="716" spans="1:14" x14ac:dyDescent="0.25">
      <c r="A716">
        <v>366.80945600000001</v>
      </c>
      <c r="B716" s="1">
        <f>DATE(2011,5,2) + TIME(19,25,36)</f>
        <v>40665.809444444443</v>
      </c>
      <c r="C716">
        <v>80</v>
      </c>
      <c r="D716">
        <v>78.189765929999993</v>
      </c>
      <c r="E716">
        <v>50</v>
      </c>
      <c r="F716">
        <v>49.660644531000003</v>
      </c>
      <c r="G716">
        <v>1403.7453613</v>
      </c>
      <c r="H716">
        <v>1386.3101807</v>
      </c>
      <c r="I716">
        <v>1280.9929199000001</v>
      </c>
      <c r="J716">
        <v>1259.2204589999999</v>
      </c>
      <c r="K716">
        <v>2750</v>
      </c>
      <c r="L716">
        <v>0</v>
      </c>
      <c r="M716">
        <v>0</v>
      </c>
      <c r="N716">
        <v>2750</v>
      </c>
    </row>
    <row r="717" spans="1:14" x14ac:dyDescent="0.25">
      <c r="A717">
        <v>366.89646800000003</v>
      </c>
      <c r="B717" s="1">
        <f>DATE(2011,5,2) + TIME(21,30,54)</f>
        <v>40665.896458333336</v>
      </c>
      <c r="C717">
        <v>80</v>
      </c>
      <c r="D717">
        <v>78.408447265999996</v>
      </c>
      <c r="E717">
        <v>50</v>
      </c>
      <c r="F717">
        <v>49.648921967</v>
      </c>
      <c r="G717">
        <v>1403.5931396000001</v>
      </c>
      <c r="H717">
        <v>1386.2050781</v>
      </c>
      <c r="I717">
        <v>1280.9903564000001</v>
      </c>
      <c r="J717">
        <v>1259.2169189000001</v>
      </c>
      <c r="K717">
        <v>2750</v>
      </c>
      <c r="L717">
        <v>0</v>
      </c>
      <c r="M717">
        <v>0</v>
      </c>
      <c r="N717">
        <v>2750</v>
      </c>
    </row>
    <row r="718" spans="1:14" x14ac:dyDescent="0.25">
      <c r="A718">
        <v>366.98439300000001</v>
      </c>
      <c r="B718" s="1">
        <f>DATE(2011,5,2) + TIME(23,37,31)</f>
        <v>40665.984386574077</v>
      </c>
      <c r="C718">
        <v>80</v>
      </c>
      <c r="D718">
        <v>78.601402282999999</v>
      </c>
      <c r="E718">
        <v>50</v>
      </c>
      <c r="F718">
        <v>49.637138366999999</v>
      </c>
      <c r="G718">
        <v>1403.4483643000001</v>
      </c>
      <c r="H718">
        <v>1386.1026611</v>
      </c>
      <c r="I718">
        <v>1280.987793</v>
      </c>
      <c r="J718">
        <v>1259.2133789</v>
      </c>
      <c r="K718">
        <v>2750</v>
      </c>
      <c r="L718">
        <v>0</v>
      </c>
      <c r="M718">
        <v>0</v>
      </c>
      <c r="N718">
        <v>2750</v>
      </c>
    </row>
    <row r="719" spans="1:14" x14ac:dyDescent="0.25">
      <c r="A719">
        <v>367.07341200000002</v>
      </c>
      <c r="B719" s="1">
        <f>DATE(2011,5,3) + TIME(1,45,42)</f>
        <v>40666.07340277778</v>
      </c>
      <c r="C719">
        <v>80</v>
      </c>
      <c r="D719">
        <v>78.771705627000003</v>
      </c>
      <c r="E719">
        <v>50</v>
      </c>
      <c r="F719">
        <v>49.625270843999999</v>
      </c>
      <c r="G719">
        <v>1403.3099365</v>
      </c>
      <c r="H719">
        <v>1386.0028076000001</v>
      </c>
      <c r="I719">
        <v>1280.9852295000001</v>
      </c>
      <c r="J719">
        <v>1259.2097168</v>
      </c>
      <c r="K719">
        <v>2750</v>
      </c>
      <c r="L719">
        <v>0</v>
      </c>
      <c r="M719">
        <v>0</v>
      </c>
      <c r="N719">
        <v>2750</v>
      </c>
    </row>
    <row r="720" spans="1:14" x14ac:dyDescent="0.25">
      <c r="A720">
        <v>367.163704</v>
      </c>
      <c r="B720" s="1">
        <f>DATE(2011,5,3) + TIME(3,55,44)</f>
        <v>40666.163703703707</v>
      </c>
      <c r="C720">
        <v>80</v>
      </c>
      <c r="D720">
        <v>78.922019958000007</v>
      </c>
      <c r="E720">
        <v>50</v>
      </c>
      <c r="F720">
        <v>49.613292694000002</v>
      </c>
      <c r="G720">
        <v>1403.1770019999999</v>
      </c>
      <c r="H720">
        <v>1385.9049072</v>
      </c>
      <c r="I720">
        <v>1280.9825439000001</v>
      </c>
      <c r="J720">
        <v>1259.2060547000001</v>
      </c>
      <c r="K720">
        <v>2750</v>
      </c>
      <c r="L720">
        <v>0</v>
      </c>
      <c r="M720">
        <v>0</v>
      </c>
      <c r="N720">
        <v>2750</v>
      </c>
    </row>
    <row r="721" spans="1:14" x14ac:dyDescent="0.25">
      <c r="A721">
        <v>367.255449</v>
      </c>
      <c r="B721" s="1">
        <f>DATE(2011,5,3) + TIME(6,7,50)</f>
        <v>40666.255439814813</v>
      </c>
      <c r="C721">
        <v>80</v>
      </c>
      <c r="D721">
        <v>79.054672241000006</v>
      </c>
      <c r="E721">
        <v>50</v>
      </c>
      <c r="F721">
        <v>49.601188659999998</v>
      </c>
      <c r="G721">
        <v>1403.0489502</v>
      </c>
      <c r="H721">
        <v>1385.8088379000001</v>
      </c>
      <c r="I721">
        <v>1280.9798584</v>
      </c>
      <c r="J721">
        <v>1259.2023925999999</v>
      </c>
      <c r="K721">
        <v>2750</v>
      </c>
      <c r="L721">
        <v>0</v>
      </c>
      <c r="M721">
        <v>0</v>
      </c>
      <c r="N721">
        <v>2750</v>
      </c>
    </row>
    <row r="722" spans="1:14" x14ac:dyDescent="0.25">
      <c r="A722">
        <v>367.34883400000001</v>
      </c>
      <c r="B722" s="1">
        <f>DATE(2011,5,3) + TIME(8,22,19)</f>
        <v>40666.34883101852</v>
      </c>
      <c r="C722">
        <v>80</v>
      </c>
      <c r="D722">
        <v>79.171669006000002</v>
      </c>
      <c r="E722">
        <v>50</v>
      </c>
      <c r="F722">
        <v>49.588935851999999</v>
      </c>
      <c r="G722">
        <v>1402.925293</v>
      </c>
      <c r="H722">
        <v>1385.7143555</v>
      </c>
      <c r="I722">
        <v>1280.9771728999999</v>
      </c>
      <c r="J722">
        <v>1259.1986084</v>
      </c>
      <c r="K722">
        <v>2750</v>
      </c>
      <c r="L722">
        <v>0</v>
      </c>
      <c r="M722">
        <v>0</v>
      </c>
      <c r="N722">
        <v>2750</v>
      </c>
    </row>
    <row r="723" spans="1:14" x14ac:dyDescent="0.25">
      <c r="A723">
        <v>367.44406600000002</v>
      </c>
      <c r="B723" s="1">
        <f>DATE(2011,5,3) + TIME(10,39,27)</f>
        <v>40666.444062499999</v>
      </c>
      <c r="C723">
        <v>80</v>
      </c>
      <c r="D723">
        <v>79.274787903000004</v>
      </c>
      <c r="E723">
        <v>50</v>
      </c>
      <c r="F723">
        <v>49.576503754000001</v>
      </c>
      <c r="G723">
        <v>1402.8052978999999</v>
      </c>
      <c r="H723">
        <v>1385.6213379000001</v>
      </c>
      <c r="I723">
        <v>1280.9743652</v>
      </c>
      <c r="J723">
        <v>1259.1947021000001</v>
      </c>
      <c r="K723">
        <v>2750</v>
      </c>
      <c r="L723">
        <v>0</v>
      </c>
      <c r="M723">
        <v>0</v>
      </c>
      <c r="N723">
        <v>2750</v>
      </c>
    </row>
    <row r="724" spans="1:14" x14ac:dyDescent="0.25">
      <c r="A724">
        <v>367.54136199999999</v>
      </c>
      <c r="B724" s="1">
        <f>DATE(2011,5,3) + TIME(12,59,33)</f>
        <v>40666.541354166664</v>
      </c>
      <c r="C724">
        <v>80</v>
      </c>
      <c r="D724">
        <v>79.365592957000004</v>
      </c>
      <c r="E724">
        <v>50</v>
      </c>
      <c r="F724">
        <v>49.563873291</v>
      </c>
      <c r="G724">
        <v>1402.6884766000001</v>
      </c>
      <c r="H724">
        <v>1385.5292969</v>
      </c>
      <c r="I724">
        <v>1280.9714355000001</v>
      </c>
      <c r="J724">
        <v>1259.1907959</v>
      </c>
      <c r="K724">
        <v>2750</v>
      </c>
      <c r="L724">
        <v>0</v>
      </c>
      <c r="M724">
        <v>0</v>
      </c>
      <c r="N724">
        <v>2750</v>
      </c>
    </row>
    <row r="725" spans="1:14" x14ac:dyDescent="0.25">
      <c r="A725">
        <v>367.64090900000002</v>
      </c>
      <c r="B725" s="1">
        <f>DATE(2011,5,3) + TIME(15,22,54)</f>
        <v>40666.640902777777</v>
      </c>
      <c r="C725">
        <v>80</v>
      </c>
      <c r="D725">
        <v>79.445419311999999</v>
      </c>
      <c r="E725">
        <v>50</v>
      </c>
      <c r="F725">
        <v>49.551021575999997</v>
      </c>
      <c r="G725">
        <v>1402.5743408000001</v>
      </c>
      <c r="H725">
        <v>1385.4382324000001</v>
      </c>
      <c r="I725">
        <v>1280.9685059000001</v>
      </c>
      <c r="J725">
        <v>1259.1866454999999</v>
      </c>
      <c r="K725">
        <v>2750</v>
      </c>
      <c r="L725">
        <v>0</v>
      </c>
      <c r="M725">
        <v>0</v>
      </c>
      <c r="N725">
        <v>2750</v>
      </c>
    </row>
    <row r="726" spans="1:14" x14ac:dyDescent="0.25">
      <c r="A726">
        <v>367.74293899999998</v>
      </c>
      <c r="B726" s="1">
        <f>DATE(2011,5,3) + TIME(17,49,49)</f>
        <v>40666.742928240739</v>
      </c>
      <c r="C726">
        <v>80</v>
      </c>
      <c r="D726">
        <v>79.515502929999997</v>
      </c>
      <c r="E726">
        <v>50</v>
      </c>
      <c r="F726">
        <v>49.537921906000001</v>
      </c>
      <c r="G726">
        <v>1402.4627685999999</v>
      </c>
      <c r="H726">
        <v>1385.3480225000001</v>
      </c>
      <c r="I726">
        <v>1280.9654541</v>
      </c>
      <c r="J726">
        <v>1259.1826172000001</v>
      </c>
      <c r="K726">
        <v>2750</v>
      </c>
      <c r="L726">
        <v>0</v>
      </c>
      <c r="M726">
        <v>0</v>
      </c>
      <c r="N726">
        <v>2750</v>
      </c>
    </row>
    <row r="727" spans="1:14" x14ac:dyDescent="0.25">
      <c r="A727">
        <v>367.84770200000003</v>
      </c>
      <c r="B727" s="1">
        <f>DATE(2011,5,3) + TIME(20,20,41)</f>
        <v>40666.847696759258</v>
      </c>
      <c r="C727">
        <v>80</v>
      </c>
      <c r="D727">
        <v>79.576904296999999</v>
      </c>
      <c r="E727">
        <v>50</v>
      </c>
      <c r="F727">
        <v>49.524543762</v>
      </c>
      <c r="G727">
        <v>1402.3531493999999</v>
      </c>
      <c r="H727">
        <v>1385.2584228999999</v>
      </c>
      <c r="I727">
        <v>1280.9624022999999</v>
      </c>
      <c r="J727">
        <v>1259.1783447</v>
      </c>
      <c r="K727">
        <v>2750</v>
      </c>
      <c r="L727">
        <v>0</v>
      </c>
      <c r="M727">
        <v>0</v>
      </c>
      <c r="N727">
        <v>2750</v>
      </c>
    </row>
    <row r="728" spans="1:14" x14ac:dyDescent="0.25">
      <c r="A728">
        <v>367.955467</v>
      </c>
      <c r="B728" s="1">
        <f>DATE(2011,5,3) + TIME(22,55,52)</f>
        <v>40666.955462962964</v>
      </c>
      <c r="C728">
        <v>80</v>
      </c>
      <c r="D728">
        <v>79.630592346</v>
      </c>
      <c r="E728">
        <v>50</v>
      </c>
      <c r="F728">
        <v>49.510864257999998</v>
      </c>
      <c r="G728">
        <v>1402.2451172000001</v>
      </c>
      <c r="H728">
        <v>1385.1691894999999</v>
      </c>
      <c r="I728">
        <v>1280.9592285000001</v>
      </c>
      <c r="J728">
        <v>1259.1739502</v>
      </c>
      <c r="K728">
        <v>2750</v>
      </c>
      <c r="L728">
        <v>0</v>
      </c>
      <c r="M728">
        <v>0</v>
      </c>
      <c r="N728">
        <v>2750</v>
      </c>
    </row>
    <row r="729" spans="1:14" x14ac:dyDescent="0.25">
      <c r="A729">
        <v>368.066531</v>
      </c>
      <c r="B729" s="1">
        <f>DATE(2011,5,4) + TIME(1,35,48)</f>
        <v>40667.066527777781</v>
      </c>
      <c r="C729">
        <v>80</v>
      </c>
      <c r="D729">
        <v>79.677429199000002</v>
      </c>
      <c r="E729">
        <v>50</v>
      </c>
      <c r="F729">
        <v>49.496845245000003</v>
      </c>
      <c r="G729">
        <v>1402.1385498</v>
      </c>
      <c r="H729">
        <v>1385.0802002</v>
      </c>
      <c r="I729">
        <v>1280.9559326000001</v>
      </c>
      <c r="J729">
        <v>1259.1694336</v>
      </c>
      <c r="K729">
        <v>2750</v>
      </c>
      <c r="L729">
        <v>0</v>
      </c>
      <c r="M729">
        <v>0</v>
      </c>
      <c r="N729">
        <v>2750</v>
      </c>
    </row>
    <row r="730" spans="1:14" x14ac:dyDescent="0.25">
      <c r="A730">
        <v>368.18122099999999</v>
      </c>
      <c r="B730" s="1">
        <f>DATE(2011,5,4) + TIME(4,20,57)</f>
        <v>40667.181215277778</v>
      </c>
      <c r="C730">
        <v>80</v>
      </c>
      <c r="D730">
        <v>79.718177795000003</v>
      </c>
      <c r="E730">
        <v>50</v>
      </c>
      <c r="F730">
        <v>49.482452393000003</v>
      </c>
      <c r="G730">
        <v>1402.0329589999999</v>
      </c>
      <c r="H730">
        <v>1384.9913329999999</v>
      </c>
      <c r="I730">
        <v>1280.9525146000001</v>
      </c>
      <c r="J730">
        <v>1259.1647949000001</v>
      </c>
      <c r="K730">
        <v>2750</v>
      </c>
      <c r="L730">
        <v>0</v>
      </c>
      <c r="M730">
        <v>0</v>
      </c>
      <c r="N730">
        <v>2750</v>
      </c>
    </row>
    <row r="731" spans="1:14" x14ac:dyDescent="0.25">
      <c r="A731">
        <v>368.29990199999997</v>
      </c>
      <c r="B731" s="1">
        <f>DATE(2011,5,4) + TIME(7,11,51)</f>
        <v>40667.299895833334</v>
      </c>
      <c r="C731">
        <v>80</v>
      </c>
      <c r="D731">
        <v>79.753524780000006</v>
      </c>
      <c r="E731">
        <v>50</v>
      </c>
      <c r="F731">
        <v>49.467647552000003</v>
      </c>
      <c r="G731">
        <v>1401.9282227000001</v>
      </c>
      <c r="H731">
        <v>1384.9024658000001</v>
      </c>
      <c r="I731">
        <v>1280.9489745999999</v>
      </c>
      <c r="J731">
        <v>1259.1600341999999</v>
      </c>
      <c r="K731">
        <v>2750</v>
      </c>
      <c r="L731">
        <v>0</v>
      </c>
      <c r="M731">
        <v>0</v>
      </c>
      <c r="N731">
        <v>2750</v>
      </c>
    </row>
    <row r="732" spans="1:14" x14ac:dyDescent="0.25">
      <c r="A732">
        <v>368.422979</v>
      </c>
      <c r="B732" s="1">
        <f>DATE(2011,5,4) + TIME(10,9,5)</f>
        <v>40667.422974537039</v>
      </c>
      <c r="C732">
        <v>80</v>
      </c>
      <c r="D732">
        <v>79.784088135000005</v>
      </c>
      <c r="E732">
        <v>50</v>
      </c>
      <c r="F732">
        <v>49.452388763000002</v>
      </c>
      <c r="G732">
        <v>1401.8237305</v>
      </c>
      <c r="H732">
        <v>1384.8133545000001</v>
      </c>
      <c r="I732">
        <v>1280.9453125</v>
      </c>
      <c r="J732">
        <v>1259.1550293</v>
      </c>
      <c r="K732">
        <v>2750</v>
      </c>
      <c r="L732">
        <v>0</v>
      </c>
      <c r="M732">
        <v>0</v>
      </c>
      <c r="N732">
        <v>2750</v>
      </c>
    </row>
    <row r="733" spans="1:14" x14ac:dyDescent="0.25">
      <c r="A733">
        <v>368.55091900000002</v>
      </c>
      <c r="B733" s="1">
        <f>DATE(2011,5,4) + TIME(13,13,19)</f>
        <v>40667.55091435185</v>
      </c>
      <c r="C733">
        <v>80</v>
      </c>
      <c r="D733">
        <v>79.810417174999998</v>
      </c>
      <c r="E733">
        <v>50</v>
      </c>
      <c r="F733">
        <v>49.436626433999997</v>
      </c>
      <c r="G733">
        <v>1401.7194824000001</v>
      </c>
      <c r="H733">
        <v>1384.7236327999999</v>
      </c>
      <c r="I733">
        <v>1280.9414062000001</v>
      </c>
      <c r="J733">
        <v>1259.1499022999999</v>
      </c>
      <c r="K733">
        <v>2750</v>
      </c>
      <c r="L733">
        <v>0</v>
      </c>
      <c r="M733">
        <v>0</v>
      </c>
      <c r="N733">
        <v>2750</v>
      </c>
    </row>
    <row r="734" spans="1:14" x14ac:dyDescent="0.25">
      <c r="A734">
        <v>368.68432000000001</v>
      </c>
      <c r="B734" s="1">
        <f>DATE(2011,5,4) + TIME(16,25,25)</f>
        <v>40667.684317129628</v>
      </c>
      <c r="C734">
        <v>80</v>
      </c>
      <c r="D734">
        <v>79.833023071</v>
      </c>
      <c r="E734">
        <v>50</v>
      </c>
      <c r="F734">
        <v>49.420295715000002</v>
      </c>
      <c r="G734">
        <v>1401.6149902</v>
      </c>
      <c r="H734">
        <v>1384.6334228999999</v>
      </c>
      <c r="I734">
        <v>1280.9375</v>
      </c>
      <c r="J734">
        <v>1259.1445312000001</v>
      </c>
      <c r="K734">
        <v>2750</v>
      </c>
      <c r="L734">
        <v>0</v>
      </c>
      <c r="M734">
        <v>0</v>
      </c>
      <c r="N734">
        <v>2750</v>
      </c>
    </row>
    <row r="735" spans="1:14" x14ac:dyDescent="0.25">
      <c r="A735">
        <v>368.82370100000003</v>
      </c>
      <c r="B735" s="1">
        <f>DATE(2011,5,4) + TIME(19,46,7)</f>
        <v>40667.823692129627</v>
      </c>
      <c r="C735">
        <v>80</v>
      </c>
      <c r="D735">
        <v>79.852333068999997</v>
      </c>
      <c r="E735">
        <v>50</v>
      </c>
      <c r="F735">
        <v>49.403347015000001</v>
      </c>
      <c r="G735">
        <v>1401.5100098</v>
      </c>
      <c r="H735">
        <v>1384.5422363</v>
      </c>
      <c r="I735">
        <v>1280.9333495999999</v>
      </c>
      <c r="J735">
        <v>1259.1390381000001</v>
      </c>
      <c r="K735">
        <v>2750</v>
      </c>
      <c r="L735">
        <v>0</v>
      </c>
      <c r="M735">
        <v>0</v>
      </c>
      <c r="N735">
        <v>2750</v>
      </c>
    </row>
    <row r="736" spans="1:14" x14ac:dyDescent="0.25">
      <c r="A736">
        <v>368.969223</v>
      </c>
      <c r="B736" s="1">
        <f>DATE(2011,5,4) + TIME(23,15,40)</f>
        <v>40667.969212962962</v>
      </c>
      <c r="C736">
        <v>80</v>
      </c>
      <c r="D736">
        <v>79.868698120000005</v>
      </c>
      <c r="E736">
        <v>50</v>
      </c>
      <c r="F736">
        <v>49.385765075999998</v>
      </c>
      <c r="G736">
        <v>1401.4042969</v>
      </c>
      <c r="H736">
        <v>1384.4500731999999</v>
      </c>
      <c r="I736">
        <v>1280.9289550999999</v>
      </c>
      <c r="J736">
        <v>1259.1331786999999</v>
      </c>
      <c r="K736">
        <v>2750</v>
      </c>
      <c r="L736">
        <v>0</v>
      </c>
      <c r="M736">
        <v>0</v>
      </c>
      <c r="N736">
        <v>2750</v>
      </c>
    </row>
    <row r="737" spans="1:14" x14ac:dyDescent="0.25">
      <c r="A737">
        <v>369.12015400000001</v>
      </c>
      <c r="B737" s="1">
        <f>DATE(2011,5,5) + TIME(2,53,1)</f>
        <v>40668.120150462964</v>
      </c>
      <c r="C737">
        <v>80</v>
      </c>
      <c r="D737">
        <v>79.882400512999993</v>
      </c>
      <c r="E737">
        <v>50</v>
      </c>
      <c r="F737">
        <v>49.367618561</v>
      </c>
      <c r="G737">
        <v>1401.2978516000001</v>
      </c>
      <c r="H737">
        <v>1384.3569336</v>
      </c>
      <c r="I737">
        <v>1280.9243164</v>
      </c>
      <c r="J737">
        <v>1259.1270752</v>
      </c>
      <c r="K737">
        <v>2750</v>
      </c>
      <c r="L737">
        <v>0</v>
      </c>
      <c r="M737">
        <v>0</v>
      </c>
      <c r="N737">
        <v>2750</v>
      </c>
    </row>
    <row r="738" spans="1:14" x14ac:dyDescent="0.25">
      <c r="A738">
        <v>369.27709299999998</v>
      </c>
      <c r="B738" s="1">
        <f>DATE(2011,5,5) + TIME(6,39,0)</f>
        <v>40668.277083333334</v>
      </c>
      <c r="C738">
        <v>80</v>
      </c>
      <c r="D738">
        <v>79.893836974999999</v>
      </c>
      <c r="E738">
        <v>50</v>
      </c>
      <c r="F738">
        <v>49.348850249999998</v>
      </c>
      <c r="G738">
        <v>1401.1912841999999</v>
      </c>
      <c r="H738">
        <v>1384.2634277</v>
      </c>
      <c r="I738">
        <v>1280.9195557</v>
      </c>
      <c r="J738">
        <v>1259.1207274999999</v>
      </c>
      <c r="K738">
        <v>2750</v>
      </c>
      <c r="L738">
        <v>0</v>
      </c>
      <c r="M738">
        <v>0</v>
      </c>
      <c r="N738">
        <v>2750</v>
      </c>
    </row>
    <row r="739" spans="1:14" x14ac:dyDescent="0.25">
      <c r="A739">
        <v>369.44074999999998</v>
      </c>
      <c r="B739" s="1">
        <f>DATE(2011,5,5) + TIME(10,34,40)</f>
        <v>40668.440740740742</v>
      </c>
      <c r="C739">
        <v>80</v>
      </c>
      <c r="D739">
        <v>79.903327942000004</v>
      </c>
      <c r="E739">
        <v>50</v>
      </c>
      <c r="F739">
        <v>49.329391479000002</v>
      </c>
      <c r="G739">
        <v>1401.0842285000001</v>
      </c>
      <c r="H739">
        <v>1384.1693115</v>
      </c>
      <c r="I739">
        <v>1280.9146728999999</v>
      </c>
      <c r="J739">
        <v>1259.1141356999999</v>
      </c>
      <c r="K739">
        <v>2750</v>
      </c>
      <c r="L739">
        <v>0</v>
      </c>
      <c r="M739">
        <v>0</v>
      </c>
      <c r="N739">
        <v>2750</v>
      </c>
    </row>
    <row r="740" spans="1:14" x14ac:dyDescent="0.25">
      <c r="A740">
        <v>369.61177300000003</v>
      </c>
      <c r="B740" s="1">
        <f>DATE(2011,5,5) + TIME(14,40,57)</f>
        <v>40668.611770833333</v>
      </c>
      <c r="C740">
        <v>80</v>
      </c>
      <c r="D740">
        <v>79.911186217999997</v>
      </c>
      <c r="E740">
        <v>50</v>
      </c>
      <c r="F740">
        <v>49.309181213000002</v>
      </c>
      <c r="G740">
        <v>1400.9763184000001</v>
      </c>
      <c r="H740">
        <v>1384.0742187999999</v>
      </c>
      <c r="I740">
        <v>1280.9094238</v>
      </c>
      <c r="J740">
        <v>1259.1071777</v>
      </c>
      <c r="K740">
        <v>2750</v>
      </c>
      <c r="L740">
        <v>0</v>
      </c>
      <c r="M740">
        <v>0</v>
      </c>
      <c r="N740">
        <v>2750</v>
      </c>
    </row>
    <row r="741" spans="1:14" x14ac:dyDescent="0.25">
      <c r="A741">
        <v>369.78688699999998</v>
      </c>
      <c r="B741" s="1">
        <f>DATE(2011,5,5) + TIME(18,53,7)</f>
        <v>40668.786886574075</v>
      </c>
      <c r="C741">
        <v>80</v>
      </c>
      <c r="D741">
        <v>79.917533875000004</v>
      </c>
      <c r="E741">
        <v>50</v>
      </c>
      <c r="F741">
        <v>49.288524627999998</v>
      </c>
      <c r="G741">
        <v>1400.8675536999999</v>
      </c>
      <c r="H741">
        <v>1383.9782714999999</v>
      </c>
      <c r="I741">
        <v>1280.9039307</v>
      </c>
      <c r="J741">
        <v>1259.1000977000001</v>
      </c>
      <c r="K741">
        <v>2750</v>
      </c>
      <c r="L741">
        <v>0</v>
      </c>
      <c r="M741">
        <v>0</v>
      </c>
      <c r="N741">
        <v>2750</v>
      </c>
    </row>
    <row r="742" spans="1:14" x14ac:dyDescent="0.25">
      <c r="A742">
        <v>369.96306199999998</v>
      </c>
      <c r="B742" s="1">
        <f>DATE(2011,5,5) + TIME(23,6,48)</f>
        <v>40668.963055555556</v>
      </c>
      <c r="C742">
        <v>80</v>
      </c>
      <c r="D742">
        <v>79.922576903999996</v>
      </c>
      <c r="E742">
        <v>50</v>
      </c>
      <c r="F742">
        <v>49.267726897999999</v>
      </c>
      <c r="G742">
        <v>1400.7597656</v>
      </c>
      <c r="H742">
        <v>1383.8830565999999</v>
      </c>
      <c r="I742">
        <v>1280.8983154</v>
      </c>
      <c r="J742">
        <v>1259.0927733999999</v>
      </c>
      <c r="K742">
        <v>2750</v>
      </c>
      <c r="L742">
        <v>0</v>
      </c>
      <c r="M742">
        <v>0</v>
      </c>
      <c r="N742">
        <v>2750</v>
      </c>
    </row>
    <row r="743" spans="1:14" x14ac:dyDescent="0.25">
      <c r="A743">
        <v>370.14078899999998</v>
      </c>
      <c r="B743" s="1">
        <f>DATE(2011,5,6) + TIME(3,22,44)</f>
        <v>40669.140787037039</v>
      </c>
      <c r="C743">
        <v>80</v>
      </c>
      <c r="D743">
        <v>79.926597595000004</v>
      </c>
      <c r="E743">
        <v>50</v>
      </c>
      <c r="F743">
        <v>49.246753693000002</v>
      </c>
      <c r="G743">
        <v>1400.6547852000001</v>
      </c>
      <c r="H743">
        <v>1383.7902832</v>
      </c>
      <c r="I743">
        <v>1280.8925781</v>
      </c>
      <c r="J743">
        <v>1259.0853271000001</v>
      </c>
      <c r="K743">
        <v>2750</v>
      </c>
      <c r="L743">
        <v>0</v>
      </c>
      <c r="M743">
        <v>0</v>
      </c>
      <c r="N743">
        <v>2750</v>
      </c>
    </row>
    <row r="744" spans="1:14" x14ac:dyDescent="0.25">
      <c r="A744">
        <v>370.31961699999999</v>
      </c>
      <c r="B744" s="1">
        <f>DATE(2011,5,6) + TIME(7,40,14)</f>
        <v>40669.319606481484</v>
      </c>
      <c r="C744">
        <v>80</v>
      </c>
      <c r="D744">
        <v>79.929809570000003</v>
      </c>
      <c r="E744">
        <v>50</v>
      </c>
      <c r="F744">
        <v>49.225669861</v>
      </c>
      <c r="G744">
        <v>1400.5522461</v>
      </c>
      <c r="H744">
        <v>1383.699707</v>
      </c>
      <c r="I744">
        <v>1280.8868408000001</v>
      </c>
      <c r="J744">
        <v>1259.0778809000001</v>
      </c>
      <c r="K744">
        <v>2750</v>
      </c>
      <c r="L744">
        <v>0</v>
      </c>
      <c r="M744">
        <v>0</v>
      </c>
      <c r="N744">
        <v>2750</v>
      </c>
    </row>
    <row r="745" spans="1:14" x14ac:dyDescent="0.25">
      <c r="A745">
        <v>370.499908</v>
      </c>
      <c r="B745" s="1">
        <f>DATE(2011,5,6) + TIME(11,59,52)</f>
        <v>40669.499907407408</v>
      </c>
      <c r="C745">
        <v>80</v>
      </c>
      <c r="D745">
        <v>79.932380675999994</v>
      </c>
      <c r="E745">
        <v>50</v>
      </c>
      <c r="F745">
        <v>49.204444885000001</v>
      </c>
      <c r="G745">
        <v>1400.4520264</v>
      </c>
      <c r="H745">
        <v>1383.6110839999999</v>
      </c>
      <c r="I745">
        <v>1280.8811035000001</v>
      </c>
      <c r="J745">
        <v>1259.0703125</v>
      </c>
      <c r="K745">
        <v>2750</v>
      </c>
      <c r="L745">
        <v>0</v>
      </c>
      <c r="M745">
        <v>0</v>
      </c>
      <c r="N745">
        <v>2750</v>
      </c>
    </row>
    <row r="746" spans="1:14" x14ac:dyDescent="0.25">
      <c r="A746">
        <v>370.682053</v>
      </c>
      <c r="B746" s="1">
        <f>DATE(2011,5,6) + TIME(16,22,9)</f>
        <v>40669.68204861111</v>
      </c>
      <c r="C746">
        <v>80</v>
      </c>
      <c r="D746">
        <v>79.934448242000002</v>
      </c>
      <c r="E746">
        <v>50</v>
      </c>
      <c r="F746">
        <v>49.183059692</v>
      </c>
      <c r="G746">
        <v>1400.3538818</v>
      </c>
      <c r="H746">
        <v>1383.5245361</v>
      </c>
      <c r="I746">
        <v>1280.8752440999999</v>
      </c>
      <c r="J746">
        <v>1259.0627440999999</v>
      </c>
      <c r="K746">
        <v>2750</v>
      </c>
      <c r="L746">
        <v>0</v>
      </c>
      <c r="M746">
        <v>0</v>
      </c>
      <c r="N746">
        <v>2750</v>
      </c>
    </row>
    <row r="747" spans="1:14" x14ac:dyDescent="0.25">
      <c r="A747">
        <v>370.86648400000001</v>
      </c>
      <c r="B747" s="1">
        <f>DATE(2011,5,6) + TIME(20,47,44)</f>
        <v>40669.866481481484</v>
      </c>
      <c r="C747">
        <v>80</v>
      </c>
      <c r="D747">
        <v>79.936111449999999</v>
      </c>
      <c r="E747">
        <v>50</v>
      </c>
      <c r="F747">
        <v>49.161476135000001</v>
      </c>
      <c r="G747">
        <v>1400.2575684000001</v>
      </c>
      <c r="H747">
        <v>1383.4394531</v>
      </c>
      <c r="I747">
        <v>1280.8693848</v>
      </c>
      <c r="J747">
        <v>1259.0550536999999</v>
      </c>
      <c r="K747">
        <v>2750</v>
      </c>
      <c r="L747">
        <v>0</v>
      </c>
      <c r="M747">
        <v>0</v>
      </c>
      <c r="N747">
        <v>2750</v>
      </c>
    </row>
    <row r="748" spans="1:14" x14ac:dyDescent="0.25">
      <c r="A748">
        <v>371.05359700000002</v>
      </c>
      <c r="B748" s="1">
        <f>DATE(2011,5,7) + TIME(1,17,10)</f>
        <v>40670.053587962961</v>
      </c>
      <c r="C748">
        <v>80</v>
      </c>
      <c r="D748">
        <v>79.937461853000002</v>
      </c>
      <c r="E748">
        <v>50</v>
      </c>
      <c r="F748">
        <v>49.139663696</v>
      </c>
      <c r="G748">
        <v>1400.1627197</v>
      </c>
      <c r="H748">
        <v>1383.3557129000001</v>
      </c>
      <c r="I748">
        <v>1280.8634033000001</v>
      </c>
      <c r="J748">
        <v>1259.0472411999999</v>
      </c>
      <c r="K748">
        <v>2750</v>
      </c>
      <c r="L748">
        <v>0</v>
      </c>
      <c r="M748">
        <v>0</v>
      </c>
      <c r="N748">
        <v>2750</v>
      </c>
    </row>
    <row r="749" spans="1:14" x14ac:dyDescent="0.25">
      <c r="A749">
        <v>371.24376000000001</v>
      </c>
      <c r="B749" s="1">
        <f>DATE(2011,5,7) + TIME(5,51,0)</f>
        <v>40670.243750000001</v>
      </c>
      <c r="C749">
        <v>80</v>
      </c>
      <c r="D749">
        <v>79.938560486</v>
      </c>
      <c r="E749">
        <v>50</v>
      </c>
      <c r="F749">
        <v>49.117588042999998</v>
      </c>
      <c r="G749">
        <v>1400.0689697</v>
      </c>
      <c r="H749">
        <v>1383.2730713000001</v>
      </c>
      <c r="I749">
        <v>1280.8572998</v>
      </c>
      <c r="J749">
        <v>1259.0393065999999</v>
      </c>
      <c r="K749">
        <v>2750</v>
      </c>
      <c r="L749">
        <v>0</v>
      </c>
      <c r="M749">
        <v>0</v>
      </c>
      <c r="N749">
        <v>2750</v>
      </c>
    </row>
    <row r="750" spans="1:14" x14ac:dyDescent="0.25">
      <c r="A750">
        <v>371.43739799999997</v>
      </c>
      <c r="B750" s="1">
        <f>DATE(2011,5,7) + TIME(10,29,51)</f>
        <v>40670.437395833331</v>
      </c>
      <c r="C750">
        <v>80</v>
      </c>
      <c r="D750">
        <v>79.939460753999995</v>
      </c>
      <c r="E750">
        <v>50</v>
      </c>
      <c r="F750">
        <v>49.095214843999997</v>
      </c>
      <c r="G750">
        <v>1399.9761963000001</v>
      </c>
      <c r="H750">
        <v>1383.1914062000001</v>
      </c>
      <c r="I750">
        <v>1280.8510742000001</v>
      </c>
      <c r="J750">
        <v>1259.03125</v>
      </c>
      <c r="K750">
        <v>2750</v>
      </c>
      <c r="L750">
        <v>0</v>
      </c>
      <c r="M750">
        <v>0</v>
      </c>
      <c r="N750">
        <v>2750</v>
      </c>
    </row>
    <row r="751" spans="1:14" x14ac:dyDescent="0.25">
      <c r="A751">
        <v>371.63495899999998</v>
      </c>
      <c r="B751" s="1">
        <f>DATE(2011,5,7) + TIME(15,14,20)</f>
        <v>40670.634953703702</v>
      </c>
      <c r="C751">
        <v>80</v>
      </c>
      <c r="D751">
        <v>79.940193175999994</v>
      </c>
      <c r="E751">
        <v>50</v>
      </c>
      <c r="F751">
        <v>49.072494507000002</v>
      </c>
      <c r="G751">
        <v>1399.8842772999999</v>
      </c>
      <c r="H751">
        <v>1383.1103516000001</v>
      </c>
      <c r="I751">
        <v>1280.8448486</v>
      </c>
      <c r="J751">
        <v>1259.0230713000001</v>
      </c>
      <c r="K751">
        <v>2750</v>
      </c>
      <c r="L751">
        <v>0</v>
      </c>
      <c r="M751">
        <v>0</v>
      </c>
      <c r="N751">
        <v>2750</v>
      </c>
    </row>
    <row r="752" spans="1:14" x14ac:dyDescent="0.25">
      <c r="A752">
        <v>371.83692000000002</v>
      </c>
      <c r="B752" s="1">
        <f>DATE(2011,5,7) + TIME(20,5,9)</f>
        <v>40670.836909722224</v>
      </c>
      <c r="C752">
        <v>80</v>
      </c>
      <c r="D752">
        <v>79.940803528000004</v>
      </c>
      <c r="E752">
        <v>50</v>
      </c>
      <c r="F752">
        <v>49.049392699999999</v>
      </c>
      <c r="G752">
        <v>1399.7927245999999</v>
      </c>
      <c r="H752">
        <v>1383.0299072</v>
      </c>
      <c r="I752">
        <v>1280.8383789</v>
      </c>
      <c r="J752">
        <v>1259.0146483999999</v>
      </c>
      <c r="K752">
        <v>2750</v>
      </c>
      <c r="L752">
        <v>0</v>
      </c>
      <c r="M752">
        <v>0</v>
      </c>
      <c r="N752">
        <v>2750</v>
      </c>
    </row>
    <row r="753" spans="1:14" x14ac:dyDescent="0.25">
      <c r="A753">
        <v>372.04379799999998</v>
      </c>
      <c r="B753" s="1">
        <f>DATE(2011,5,8) + TIME(1,3,4)</f>
        <v>40671.043796296297</v>
      </c>
      <c r="C753">
        <v>80</v>
      </c>
      <c r="D753">
        <v>79.941299438000001</v>
      </c>
      <c r="E753">
        <v>50</v>
      </c>
      <c r="F753">
        <v>49.025852202999999</v>
      </c>
      <c r="G753">
        <v>1399.7016602000001</v>
      </c>
      <c r="H753">
        <v>1382.9498291</v>
      </c>
      <c r="I753">
        <v>1280.8317870999999</v>
      </c>
      <c r="J753">
        <v>1259.0061035000001</v>
      </c>
      <c r="K753">
        <v>2750</v>
      </c>
      <c r="L753">
        <v>0</v>
      </c>
      <c r="M753">
        <v>0</v>
      </c>
      <c r="N753">
        <v>2750</v>
      </c>
    </row>
    <row r="754" spans="1:14" x14ac:dyDescent="0.25">
      <c r="A754">
        <v>372.25615699999997</v>
      </c>
      <c r="B754" s="1">
        <f>DATE(2011,5,8) + TIME(6,8,51)</f>
        <v>40671.256145833337</v>
      </c>
      <c r="C754">
        <v>80</v>
      </c>
      <c r="D754">
        <v>79.941719054999993</v>
      </c>
      <c r="E754">
        <v>50</v>
      </c>
      <c r="F754">
        <v>49.001827239999997</v>
      </c>
      <c r="G754">
        <v>1399.6105957</v>
      </c>
      <c r="H754">
        <v>1382.869751</v>
      </c>
      <c r="I754">
        <v>1280.8250731999999</v>
      </c>
      <c r="J754">
        <v>1258.9973144999999</v>
      </c>
      <c r="K754">
        <v>2750</v>
      </c>
      <c r="L754">
        <v>0</v>
      </c>
      <c r="M754">
        <v>0</v>
      </c>
      <c r="N754">
        <v>2750</v>
      </c>
    </row>
    <row r="755" spans="1:14" x14ac:dyDescent="0.25">
      <c r="A755">
        <v>372.47461600000003</v>
      </c>
      <c r="B755" s="1">
        <f>DATE(2011,5,8) + TIME(11,23,26)</f>
        <v>40671.474606481483</v>
      </c>
      <c r="C755">
        <v>80</v>
      </c>
      <c r="D755">
        <v>79.942062378000003</v>
      </c>
      <c r="E755">
        <v>50</v>
      </c>
      <c r="F755">
        <v>48.977252960000001</v>
      </c>
      <c r="G755">
        <v>1399.5194091999999</v>
      </c>
      <c r="H755">
        <v>1382.7897949000001</v>
      </c>
      <c r="I755">
        <v>1280.8181152</v>
      </c>
      <c r="J755">
        <v>1258.9882812000001</v>
      </c>
      <c r="K755">
        <v>2750</v>
      </c>
      <c r="L755">
        <v>0</v>
      </c>
      <c r="M755">
        <v>0</v>
      </c>
      <c r="N755">
        <v>2750</v>
      </c>
    </row>
    <row r="756" spans="1:14" x14ac:dyDescent="0.25">
      <c r="A756">
        <v>372.69986399999999</v>
      </c>
      <c r="B756" s="1">
        <f>DATE(2011,5,8) + TIME(16,47,48)</f>
        <v>40671.699861111112</v>
      </c>
      <c r="C756">
        <v>80</v>
      </c>
      <c r="D756">
        <v>79.942352295000006</v>
      </c>
      <c r="E756">
        <v>50</v>
      </c>
      <c r="F756">
        <v>48.952068328999999</v>
      </c>
      <c r="G756">
        <v>1399.4279785000001</v>
      </c>
      <c r="H756">
        <v>1382.7095947</v>
      </c>
      <c r="I756">
        <v>1280.8110352000001</v>
      </c>
      <c r="J756">
        <v>1258.9790039</v>
      </c>
      <c r="K756">
        <v>2750</v>
      </c>
      <c r="L756">
        <v>0</v>
      </c>
      <c r="M756">
        <v>0</v>
      </c>
      <c r="N756">
        <v>2750</v>
      </c>
    </row>
    <row r="757" spans="1:14" x14ac:dyDescent="0.25">
      <c r="A757">
        <v>372.93271299999998</v>
      </c>
      <c r="B757" s="1">
        <f>DATE(2011,5,8) + TIME(22,23,6)</f>
        <v>40671.932708333334</v>
      </c>
      <c r="C757">
        <v>80</v>
      </c>
      <c r="D757">
        <v>79.942596436000002</v>
      </c>
      <c r="E757">
        <v>50</v>
      </c>
      <c r="F757">
        <v>48.926197051999999</v>
      </c>
      <c r="G757">
        <v>1399.3359375</v>
      </c>
      <c r="H757">
        <v>1382.6290283000001</v>
      </c>
      <c r="I757">
        <v>1280.8037108999999</v>
      </c>
      <c r="J757">
        <v>1258.9694824000001</v>
      </c>
      <c r="K757">
        <v>2750</v>
      </c>
      <c r="L757">
        <v>0</v>
      </c>
      <c r="M757">
        <v>0</v>
      </c>
      <c r="N757">
        <v>2750</v>
      </c>
    </row>
    <row r="758" spans="1:14" x14ac:dyDescent="0.25">
      <c r="A758">
        <v>373.17412100000001</v>
      </c>
      <c r="B758" s="1">
        <f>DATE(2011,5,9) + TIME(4,10,44)</f>
        <v>40672.174120370371</v>
      </c>
      <c r="C758">
        <v>80</v>
      </c>
      <c r="D758">
        <v>79.942802428999997</v>
      </c>
      <c r="E758">
        <v>50</v>
      </c>
      <c r="F758">
        <v>48.899551391999999</v>
      </c>
      <c r="G758">
        <v>1399.2431641000001</v>
      </c>
      <c r="H758">
        <v>1382.5478516000001</v>
      </c>
      <c r="I758">
        <v>1280.7960204999999</v>
      </c>
      <c r="J758">
        <v>1258.9595947</v>
      </c>
      <c r="K758">
        <v>2750</v>
      </c>
      <c r="L758">
        <v>0</v>
      </c>
      <c r="M758">
        <v>0</v>
      </c>
      <c r="N758">
        <v>2750</v>
      </c>
    </row>
    <row r="759" spans="1:14" x14ac:dyDescent="0.25">
      <c r="A759">
        <v>373.42362400000002</v>
      </c>
      <c r="B759" s="1">
        <f>DATE(2011,5,9) + TIME(10,10,1)</f>
        <v>40672.423622685186</v>
      </c>
      <c r="C759">
        <v>80</v>
      </c>
      <c r="D759">
        <v>79.942977905000006</v>
      </c>
      <c r="E759">
        <v>50</v>
      </c>
      <c r="F759">
        <v>48.872161865000002</v>
      </c>
      <c r="G759">
        <v>1399.1494141000001</v>
      </c>
      <c r="H759">
        <v>1382.4658202999999</v>
      </c>
      <c r="I759">
        <v>1280.7880858999999</v>
      </c>
      <c r="J759">
        <v>1258.9493408000001</v>
      </c>
      <c r="K759">
        <v>2750</v>
      </c>
      <c r="L759">
        <v>0</v>
      </c>
      <c r="M759">
        <v>0</v>
      </c>
      <c r="N759">
        <v>2750</v>
      </c>
    </row>
    <row r="760" spans="1:14" x14ac:dyDescent="0.25">
      <c r="A760">
        <v>373.68027799999999</v>
      </c>
      <c r="B760" s="1">
        <f>DATE(2011,5,9) + TIME(16,19,35)</f>
        <v>40672.680266203701</v>
      </c>
      <c r="C760">
        <v>80</v>
      </c>
      <c r="D760">
        <v>79.943122864000003</v>
      </c>
      <c r="E760">
        <v>50</v>
      </c>
      <c r="F760">
        <v>48.844100951999998</v>
      </c>
      <c r="G760">
        <v>1399.0548096</v>
      </c>
      <c r="H760">
        <v>1382.3831786999999</v>
      </c>
      <c r="I760">
        <v>1280.7799072</v>
      </c>
      <c r="J760">
        <v>1258.9387207</v>
      </c>
      <c r="K760">
        <v>2750</v>
      </c>
      <c r="L760">
        <v>0</v>
      </c>
      <c r="M760">
        <v>0</v>
      </c>
      <c r="N760">
        <v>2750</v>
      </c>
    </row>
    <row r="761" spans="1:14" x14ac:dyDescent="0.25">
      <c r="A761">
        <v>373.94490500000001</v>
      </c>
      <c r="B761" s="1">
        <f>DATE(2011,5,9) + TIME(22,40,39)</f>
        <v>40672.944895833331</v>
      </c>
      <c r="C761">
        <v>80</v>
      </c>
      <c r="D761">
        <v>79.943244934000006</v>
      </c>
      <c r="E761">
        <v>50</v>
      </c>
      <c r="F761">
        <v>48.815303802000003</v>
      </c>
      <c r="G761">
        <v>1398.9599608999999</v>
      </c>
      <c r="H761">
        <v>1382.3004149999999</v>
      </c>
      <c r="I761">
        <v>1280.7713623</v>
      </c>
      <c r="J761">
        <v>1258.9277344</v>
      </c>
      <c r="K761">
        <v>2750</v>
      </c>
      <c r="L761">
        <v>0</v>
      </c>
      <c r="M761">
        <v>0</v>
      </c>
      <c r="N761">
        <v>2750</v>
      </c>
    </row>
    <row r="762" spans="1:14" x14ac:dyDescent="0.25">
      <c r="A762">
        <v>374.218368</v>
      </c>
      <c r="B762" s="1">
        <f>DATE(2011,5,10) + TIME(5,14,27)</f>
        <v>40673.218368055554</v>
      </c>
      <c r="C762">
        <v>80</v>
      </c>
      <c r="D762">
        <v>79.943344116000006</v>
      </c>
      <c r="E762">
        <v>50</v>
      </c>
      <c r="F762">
        <v>48.785705565999997</v>
      </c>
      <c r="G762">
        <v>1398.864624</v>
      </c>
      <c r="H762">
        <v>1382.2171631000001</v>
      </c>
      <c r="I762">
        <v>1280.7626952999999</v>
      </c>
      <c r="J762">
        <v>1258.9165039</v>
      </c>
      <c r="K762">
        <v>2750</v>
      </c>
      <c r="L762">
        <v>0</v>
      </c>
      <c r="M762">
        <v>0</v>
      </c>
      <c r="N762">
        <v>2750</v>
      </c>
    </row>
    <row r="763" spans="1:14" x14ac:dyDescent="0.25">
      <c r="A763">
        <v>374.49354899999997</v>
      </c>
      <c r="B763" s="1">
        <f>DATE(2011,5,10) + TIME(11,50,42)</f>
        <v>40673.493541666663</v>
      </c>
      <c r="C763">
        <v>80</v>
      </c>
      <c r="D763">
        <v>79.943428040000001</v>
      </c>
      <c r="E763">
        <v>50</v>
      </c>
      <c r="F763">
        <v>48.755859375</v>
      </c>
      <c r="G763">
        <v>1398.7684326000001</v>
      </c>
      <c r="H763">
        <v>1382.1334228999999</v>
      </c>
      <c r="I763">
        <v>1280.7535399999999</v>
      </c>
      <c r="J763">
        <v>1258.9049072</v>
      </c>
      <c r="K763">
        <v>2750</v>
      </c>
      <c r="L763">
        <v>0</v>
      </c>
      <c r="M763">
        <v>0</v>
      </c>
      <c r="N763">
        <v>2750</v>
      </c>
    </row>
    <row r="764" spans="1:14" x14ac:dyDescent="0.25">
      <c r="A764">
        <v>374.77108299999998</v>
      </c>
      <c r="B764" s="1">
        <f>DATE(2011,5,10) + TIME(18,30,21)</f>
        <v>40673.77107638889</v>
      </c>
      <c r="C764">
        <v>80</v>
      </c>
      <c r="D764">
        <v>79.943489075000002</v>
      </c>
      <c r="E764">
        <v>50</v>
      </c>
      <c r="F764">
        <v>48.725769043</v>
      </c>
      <c r="G764">
        <v>1398.6740723</v>
      </c>
      <c r="H764">
        <v>1382.0512695</v>
      </c>
      <c r="I764">
        <v>1280.7443848</v>
      </c>
      <c r="J764">
        <v>1258.8930664</v>
      </c>
      <c r="K764">
        <v>2750</v>
      </c>
      <c r="L764">
        <v>0</v>
      </c>
      <c r="M764">
        <v>0</v>
      </c>
      <c r="N764">
        <v>2750</v>
      </c>
    </row>
    <row r="765" spans="1:14" x14ac:dyDescent="0.25">
      <c r="A765">
        <v>375.05166200000002</v>
      </c>
      <c r="B765" s="1">
        <f>DATE(2011,5,11) + TIME(1,14,23)</f>
        <v>40674.051655092589</v>
      </c>
      <c r="C765">
        <v>80</v>
      </c>
      <c r="D765">
        <v>79.943542480000005</v>
      </c>
      <c r="E765">
        <v>50</v>
      </c>
      <c r="F765">
        <v>48.695407867</v>
      </c>
      <c r="G765">
        <v>1398.5812988</v>
      </c>
      <c r="H765">
        <v>1381.9704589999999</v>
      </c>
      <c r="I765">
        <v>1280.7351074000001</v>
      </c>
      <c r="J765">
        <v>1258.8812256000001</v>
      </c>
      <c r="K765">
        <v>2750</v>
      </c>
      <c r="L765">
        <v>0</v>
      </c>
      <c r="M765">
        <v>0</v>
      </c>
      <c r="N765">
        <v>2750</v>
      </c>
    </row>
    <row r="766" spans="1:14" x14ac:dyDescent="0.25">
      <c r="A766">
        <v>375.33457399999998</v>
      </c>
      <c r="B766" s="1">
        <f>DATE(2011,5,11) + TIME(8,1,47)</f>
        <v>40674.33457175926</v>
      </c>
      <c r="C766">
        <v>80</v>
      </c>
      <c r="D766">
        <v>79.943588257000002</v>
      </c>
      <c r="E766">
        <v>50</v>
      </c>
      <c r="F766">
        <v>48.664855957</v>
      </c>
      <c r="G766">
        <v>1398.489624</v>
      </c>
      <c r="H766">
        <v>1381.8907471</v>
      </c>
      <c r="I766">
        <v>1280.7257079999999</v>
      </c>
      <c r="J766">
        <v>1258.8692627</v>
      </c>
      <c r="K766">
        <v>2750</v>
      </c>
      <c r="L766">
        <v>0</v>
      </c>
      <c r="M766">
        <v>0</v>
      </c>
      <c r="N766">
        <v>2750</v>
      </c>
    </row>
    <row r="767" spans="1:14" x14ac:dyDescent="0.25">
      <c r="A767">
        <v>375.62021199999998</v>
      </c>
      <c r="B767" s="1">
        <f>DATE(2011,5,11) + TIME(14,53,6)</f>
        <v>40674.620208333334</v>
      </c>
      <c r="C767">
        <v>80</v>
      </c>
      <c r="D767">
        <v>79.943618774000001</v>
      </c>
      <c r="E767">
        <v>50</v>
      </c>
      <c r="F767">
        <v>48.634105681999998</v>
      </c>
      <c r="G767">
        <v>1398.3992920000001</v>
      </c>
      <c r="H767">
        <v>1381.8122559000001</v>
      </c>
      <c r="I767">
        <v>1280.7161865</v>
      </c>
      <c r="J767">
        <v>1258.8571777</v>
      </c>
      <c r="K767">
        <v>2750</v>
      </c>
      <c r="L767">
        <v>0</v>
      </c>
      <c r="M767">
        <v>0</v>
      </c>
      <c r="N767">
        <v>2750</v>
      </c>
    </row>
    <row r="768" spans="1:14" x14ac:dyDescent="0.25">
      <c r="A768">
        <v>375.90916600000003</v>
      </c>
      <c r="B768" s="1">
        <f>DATE(2011,5,11) + TIME(21,49,11)</f>
        <v>40674.909155092595</v>
      </c>
      <c r="C768">
        <v>80</v>
      </c>
      <c r="D768">
        <v>79.943641662999994</v>
      </c>
      <c r="E768">
        <v>50</v>
      </c>
      <c r="F768">
        <v>48.603115082000002</v>
      </c>
      <c r="G768">
        <v>1398.3101807</v>
      </c>
      <c r="H768">
        <v>1381.7348632999999</v>
      </c>
      <c r="I768">
        <v>1280.7066649999999</v>
      </c>
      <c r="J768">
        <v>1258.8448486</v>
      </c>
      <c r="K768">
        <v>2750</v>
      </c>
      <c r="L768">
        <v>0</v>
      </c>
      <c r="M768">
        <v>0</v>
      </c>
      <c r="N768">
        <v>2750</v>
      </c>
    </row>
    <row r="769" spans="1:14" x14ac:dyDescent="0.25">
      <c r="A769">
        <v>376.202065</v>
      </c>
      <c r="B769" s="1">
        <f>DATE(2011,5,12) + TIME(4,50,58)</f>
        <v>40675.202060185184</v>
      </c>
      <c r="C769">
        <v>80</v>
      </c>
      <c r="D769">
        <v>79.943664550999998</v>
      </c>
      <c r="E769">
        <v>50</v>
      </c>
      <c r="F769">
        <v>48.571846008000001</v>
      </c>
      <c r="G769">
        <v>1398.2220459</v>
      </c>
      <c r="H769">
        <v>1381.6584473</v>
      </c>
      <c r="I769">
        <v>1280.6968993999999</v>
      </c>
      <c r="J769">
        <v>1258.8325195</v>
      </c>
      <c r="K769">
        <v>2750</v>
      </c>
      <c r="L769">
        <v>0</v>
      </c>
      <c r="M769">
        <v>0</v>
      </c>
      <c r="N769">
        <v>2750</v>
      </c>
    </row>
    <row r="770" spans="1:14" x14ac:dyDescent="0.25">
      <c r="A770">
        <v>376.49958199999998</v>
      </c>
      <c r="B770" s="1">
        <f>DATE(2011,5,12) + TIME(11,59,23)</f>
        <v>40675.499571759261</v>
      </c>
      <c r="C770">
        <v>80</v>
      </c>
      <c r="D770">
        <v>79.943679810000006</v>
      </c>
      <c r="E770">
        <v>50</v>
      </c>
      <c r="F770">
        <v>48.540248871000003</v>
      </c>
      <c r="G770">
        <v>1398.1347656</v>
      </c>
      <c r="H770">
        <v>1381.5827637</v>
      </c>
      <c r="I770">
        <v>1280.6871338000001</v>
      </c>
      <c r="J770">
        <v>1258.8199463000001</v>
      </c>
      <c r="K770">
        <v>2750</v>
      </c>
      <c r="L770">
        <v>0</v>
      </c>
      <c r="M770">
        <v>0</v>
      </c>
      <c r="N770">
        <v>2750</v>
      </c>
    </row>
    <row r="771" spans="1:14" x14ac:dyDescent="0.25">
      <c r="A771">
        <v>376.80243100000001</v>
      </c>
      <c r="B771" s="1">
        <f>DATE(2011,5,12) + TIME(19,15,29)</f>
        <v>40675.802418981482</v>
      </c>
      <c r="C771">
        <v>80</v>
      </c>
      <c r="D771">
        <v>79.943687439000001</v>
      </c>
      <c r="E771">
        <v>50</v>
      </c>
      <c r="F771">
        <v>48.508262633999998</v>
      </c>
      <c r="G771">
        <v>1398.0479736</v>
      </c>
      <c r="H771">
        <v>1381.5074463000001</v>
      </c>
      <c r="I771">
        <v>1280.677124</v>
      </c>
      <c r="J771">
        <v>1258.8071289</v>
      </c>
      <c r="K771">
        <v>2750</v>
      </c>
      <c r="L771">
        <v>0</v>
      </c>
      <c r="M771">
        <v>0</v>
      </c>
      <c r="N771">
        <v>2750</v>
      </c>
    </row>
    <row r="772" spans="1:14" x14ac:dyDescent="0.25">
      <c r="A772">
        <v>377.11136699999997</v>
      </c>
      <c r="B772" s="1">
        <f>DATE(2011,5,13) + TIME(2,40,22)</f>
        <v>40676.11136574074</v>
      </c>
      <c r="C772">
        <v>80</v>
      </c>
      <c r="D772">
        <v>79.943695067999997</v>
      </c>
      <c r="E772">
        <v>50</v>
      </c>
      <c r="F772">
        <v>48.475826263000002</v>
      </c>
      <c r="G772">
        <v>1397.9614257999999</v>
      </c>
      <c r="H772">
        <v>1381.4326172000001</v>
      </c>
      <c r="I772">
        <v>1280.6668701000001</v>
      </c>
      <c r="J772">
        <v>1258.7940673999999</v>
      </c>
      <c r="K772">
        <v>2750</v>
      </c>
      <c r="L772">
        <v>0</v>
      </c>
      <c r="M772">
        <v>0</v>
      </c>
      <c r="N772">
        <v>2750</v>
      </c>
    </row>
    <row r="773" spans="1:14" x14ac:dyDescent="0.25">
      <c r="A773">
        <v>377.42720400000002</v>
      </c>
      <c r="B773" s="1">
        <f>DATE(2011,5,13) + TIME(10,15,10)</f>
        <v>40676.427199074074</v>
      </c>
      <c r="C773">
        <v>80</v>
      </c>
      <c r="D773">
        <v>79.943695067999997</v>
      </c>
      <c r="E773">
        <v>50</v>
      </c>
      <c r="F773">
        <v>48.442867278999998</v>
      </c>
      <c r="G773">
        <v>1397.8751221</v>
      </c>
      <c r="H773">
        <v>1381.3579102000001</v>
      </c>
      <c r="I773">
        <v>1280.6564940999999</v>
      </c>
      <c r="J773">
        <v>1258.7807617000001</v>
      </c>
      <c r="K773">
        <v>2750</v>
      </c>
      <c r="L773">
        <v>0</v>
      </c>
      <c r="M773">
        <v>0</v>
      </c>
      <c r="N773">
        <v>2750</v>
      </c>
    </row>
    <row r="774" spans="1:14" x14ac:dyDescent="0.25">
      <c r="A774">
        <v>377.75082700000002</v>
      </c>
      <c r="B774" s="1">
        <f>DATE(2011,5,13) + TIME(18,1,11)</f>
        <v>40676.750821759262</v>
      </c>
      <c r="C774">
        <v>80</v>
      </c>
      <c r="D774">
        <v>79.943702697999996</v>
      </c>
      <c r="E774">
        <v>50</v>
      </c>
      <c r="F774">
        <v>48.409313202</v>
      </c>
      <c r="G774">
        <v>1397.7888184000001</v>
      </c>
      <c r="H774">
        <v>1381.2832031</v>
      </c>
      <c r="I774">
        <v>1280.645874</v>
      </c>
      <c r="J774">
        <v>1258.7670897999999</v>
      </c>
      <c r="K774">
        <v>2750</v>
      </c>
      <c r="L774">
        <v>0</v>
      </c>
      <c r="M774">
        <v>0</v>
      </c>
      <c r="N774">
        <v>2750</v>
      </c>
    </row>
    <row r="775" spans="1:14" x14ac:dyDescent="0.25">
      <c r="A775">
        <v>378.08320900000001</v>
      </c>
      <c r="B775" s="1">
        <f>DATE(2011,5,14) + TIME(1,59,49)</f>
        <v>40677.08320601852</v>
      </c>
      <c r="C775">
        <v>80</v>
      </c>
      <c r="D775">
        <v>79.943695067999997</v>
      </c>
      <c r="E775">
        <v>50</v>
      </c>
      <c r="F775">
        <v>48.375076294000003</v>
      </c>
      <c r="G775">
        <v>1397.7021483999999</v>
      </c>
      <c r="H775">
        <v>1381.2082519999999</v>
      </c>
      <c r="I775">
        <v>1280.6348877</v>
      </c>
      <c r="J775">
        <v>1258.7530518000001</v>
      </c>
      <c r="K775">
        <v>2750</v>
      </c>
      <c r="L775">
        <v>0</v>
      </c>
      <c r="M775">
        <v>0</v>
      </c>
      <c r="N775">
        <v>2750</v>
      </c>
    </row>
    <row r="776" spans="1:14" x14ac:dyDescent="0.25">
      <c r="A776">
        <v>378.42530599999998</v>
      </c>
      <c r="B776" s="1">
        <f>DATE(2011,5,14) + TIME(10,12,26)</f>
        <v>40677.425300925926</v>
      </c>
      <c r="C776">
        <v>80</v>
      </c>
      <c r="D776">
        <v>79.943695067999997</v>
      </c>
      <c r="E776">
        <v>50</v>
      </c>
      <c r="F776">
        <v>48.340072632000002</v>
      </c>
      <c r="G776">
        <v>1397.6151123</v>
      </c>
      <c r="H776">
        <v>1381.1329346</v>
      </c>
      <c r="I776">
        <v>1280.6236572</v>
      </c>
      <c r="J776">
        <v>1258.7386475000001</v>
      </c>
      <c r="K776">
        <v>2750</v>
      </c>
      <c r="L776">
        <v>0</v>
      </c>
      <c r="M776">
        <v>0</v>
      </c>
      <c r="N776">
        <v>2750</v>
      </c>
    </row>
    <row r="777" spans="1:14" x14ac:dyDescent="0.25">
      <c r="A777">
        <v>378.77736800000002</v>
      </c>
      <c r="B777" s="1">
        <f>DATE(2011,5,14) + TIME(18,39,24)</f>
        <v>40677.777361111112</v>
      </c>
      <c r="C777">
        <v>80</v>
      </c>
      <c r="D777">
        <v>79.943687439000001</v>
      </c>
      <c r="E777">
        <v>50</v>
      </c>
      <c r="F777">
        <v>48.304275513</v>
      </c>
      <c r="G777">
        <v>1397.5273437999999</v>
      </c>
      <c r="H777">
        <v>1381.0571289</v>
      </c>
      <c r="I777">
        <v>1280.6120605000001</v>
      </c>
      <c r="J777">
        <v>1258.7238769999999</v>
      </c>
      <c r="K777">
        <v>2750</v>
      </c>
      <c r="L777">
        <v>0</v>
      </c>
      <c r="M777">
        <v>0</v>
      </c>
      <c r="N777">
        <v>2750</v>
      </c>
    </row>
    <row r="778" spans="1:14" x14ac:dyDescent="0.25">
      <c r="A778">
        <v>379.14061099999998</v>
      </c>
      <c r="B778" s="1">
        <f>DATE(2011,5,15) + TIME(3,22,28)</f>
        <v>40678.140601851854</v>
      </c>
      <c r="C778">
        <v>80</v>
      </c>
      <c r="D778">
        <v>79.943679810000006</v>
      </c>
      <c r="E778">
        <v>50</v>
      </c>
      <c r="F778">
        <v>48.267581939999999</v>
      </c>
      <c r="G778">
        <v>1397.4389647999999</v>
      </c>
      <c r="H778">
        <v>1380.9808350000001</v>
      </c>
      <c r="I778">
        <v>1280.5999756000001</v>
      </c>
      <c r="J778">
        <v>1258.7086182</v>
      </c>
      <c r="K778">
        <v>2750</v>
      </c>
      <c r="L778">
        <v>0</v>
      </c>
      <c r="M778">
        <v>0</v>
      </c>
      <c r="N778">
        <v>2750</v>
      </c>
    </row>
    <row r="779" spans="1:14" x14ac:dyDescent="0.25">
      <c r="A779">
        <v>379.512001</v>
      </c>
      <c r="B779" s="1">
        <f>DATE(2011,5,15) + TIME(12,17,16)</f>
        <v>40678.511990740742</v>
      </c>
      <c r="C779">
        <v>80</v>
      </c>
      <c r="D779">
        <v>79.943672179999993</v>
      </c>
      <c r="E779">
        <v>50</v>
      </c>
      <c r="F779">
        <v>48.230182648000003</v>
      </c>
      <c r="G779">
        <v>1397.3496094</v>
      </c>
      <c r="H779">
        <v>1380.9038086</v>
      </c>
      <c r="I779">
        <v>1280.5875243999999</v>
      </c>
      <c r="J779">
        <v>1258.692749</v>
      </c>
      <c r="K779">
        <v>2750</v>
      </c>
      <c r="L779">
        <v>0</v>
      </c>
      <c r="M779">
        <v>0</v>
      </c>
      <c r="N779">
        <v>2750</v>
      </c>
    </row>
    <row r="780" spans="1:14" x14ac:dyDescent="0.25">
      <c r="A780">
        <v>379.88480600000003</v>
      </c>
      <c r="B780" s="1">
        <f>DATE(2011,5,15) + TIME(21,14,7)</f>
        <v>40678.88480324074</v>
      </c>
      <c r="C780">
        <v>80</v>
      </c>
      <c r="D780">
        <v>79.943664550999998</v>
      </c>
      <c r="E780">
        <v>50</v>
      </c>
      <c r="F780">
        <v>48.192546843999999</v>
      </c>
      <c r="G780">
        <v>1397.2602539</v>
      </c>
      <c r="H780">
        <v>1380.8266602000001</v>
      </c>
      <c r="I780">
        <v>1280.574707</v>
      </c>
      <c r="J780">
        <v>1258.6766356999999</v>
      </c>
      <c r="K780">
        <v>2750</v>
      </c>
      <c r="L780">
        <v>0</v>
      </c>
      <c r="M780">
        <v>0</v>
      </c>
      <c r="N780">
        <v>2750</v>
      </c>
    </row>
    <row r="781" spans="1:14" x14ac:dyDescent="0.25">
      <c r="A781">
        <v>380.25997799999999</v>
      </c>
      <c r="B781" s="1">
        <f>DATE(2011,5,16) + TIME(6,14,22)</f>
        <v>40679.259976851848</v>
      </c>
      <c r="C781">
        <v>80</v>
      </c>
      <c r="D781">
        <v>79.943649292000003</v>
      </c>
      <c r="E781">
        <v>50</v>
      </c>
      <c r="F781">
        <v>48.154708862</v>
      </c>
      <c r="G781">
        <v>1397.1723632999999</v>
      </c>
      <c r="H781">
        <v>1380.7509766000001</v>
      </c>
      <c r="I781">
        <v>1280.5618896000001</v>
      </c>
      <c r="J781">
        <v>1258.6604004000001</v>
      </c>
      <c r="K781">
        <v>2750</v>
      </c>
      <c r="L781">
        <v>0</v>
      </c>
      <c r="M781">
        <v>0</v>
      </c>
      <c r="N781">
        <v>2750</v>
      </c>
    </row>
    <row r="782" spans="1:14" x14ac:dyDescent="0.25">
      <c r="A782">
        <v>380.63833</v>
      </c>
      <c r="B782" s="1">
        <f>DATE(2011,5,16) + TIME(15,19,11)</f>
        <v>40679.638321759259</v>
      </c>
      <c r="C782">
        <v>80</v>
      </c>
      <c r="D782">
        <v>79.943641662999994</v>
      </c>
      <c r="E782">
        <v>50</v>
      </c>
      <c r="F782">
        <v>48.116657257</v>
      </c>
      <c r="G782">
        <v>1397.0858154</v>
      </c>
      <c r="H782">
        <v>1380.6762695</v>
      </c>
      <c r="I782">
        <v>1280.5489502</v>
      </c>
      <c r="J782">
        <v>1258.644043</v>
      </c>
      <c r="K782">
        <v>2750</v>
      </c>
      <c r="L782">
        <v>0</v>
      </c>
      <c r="M782">
        <v>0</v>
      </c>
      <c r="N782">
        <v>2750</v>
      </c>
    </row>
    <row r="783" spans="1:14" x14ac:dyDescent="0.25">
      <c r="A783">
        <v>381.02076199999999</v>
      </c>
      <c r="B783" s="1">
        <f>DATE(2011,5,17) + TIME(0,29,53)</f>
        <v>40680.020752314813</v>
      </c>
      <c r="C783">
        <v>80</v>
      </c>
      <c r="D783">
        <v>79.943626404</v>
      </c>
      <c r="E783">
        <v>50</v>
      </c>
      <c r="F783">
        <v>48.078357697000001</v>
      </c>
      <c r="G783">
        <v>1397.0002440999999</v>
      </c>
      <c r="H783">
        <v>1380.6025391000001</v>
      </c>
      <c r="I783">
        <v>1280.5358887</v>
      </c>
      <c r="J783">
        <v>1258.6274414</v>
      </c>
      <c r="K783">
        <v>2750</v>
      </c>
      <c r="L783">
        <v>0</v>
      </c>
      <c r="M783">
        <v>0</v>
      </c>
      <c r="N783">
        <v>2750</v>
      </c>
    </row>
    <row r="784" spans="1:14" x14ac:dyDescent="0.25">
      <c r="A784">
        <v>381.40818999999999</v>
      </c>
      <c r="B784" s="1">
        <f>DATE(2011,5,17) + TIME(9,47,47)</f>
        <v>40680.408182870371</v>
      </c>
      <c r="C784">
        <v>80</v>
      </c>
      <c r="D784">
        <v>79.943618774000001</v>
      </c>
      <c r="E784">
        <v>50</v>
      </c>
      <c r="F784">
        <v>48.03976059</v>
      </c>
      <c r="G784">
        <v>1396.9155272999999</v>
      </c>
      <c r="H784">
        <v>1380.5295410000001</v>
      </c>
      <c r="I784">
        <v>1280.5225829999999</v>
      </c>
      <c r="J784">
        <v>1258.6105957</v>
      </c>
      <c r="K784">
        <v>2750</v>
      </c>
      <c r="L784">
        <v>0</v>
      </c>
      <c r="M784">
        <v>0</v>
      </c>
      <c r="N784">
        <v>2750</v>
      </c>
    </row>
    <row r="785" spans="1:14" x14ac:dyDescent="0.25">
      <c r="A785">
        <v>381.80156099999999</v>
      </c>
      <c r="B785" s="1">
        <f>DATE(2011,5,17) + TIME(19,14,14)</f>
        <v>40680.801550925928</v>
      </c>
      <c r="C785">
        <v>80</v>
      </c>
      <c r="D785">
        <v>79.943603515999996</v>
      </c>
      <c r="E785">
        <v>50</v>
      </c>
      <c r="F785">
        <v>48.000797272</v>
      </c>
      <c r="G785">
        <v>1396.8312988</v>
      </c>
      <c r="H785">
        <v>1380.4570312000001</v>
      </c>
      <c r="I785">
        <v>1280.5091553</v>
      </c>
      <c r="J785">
        <v>1258.5935059000001</v>
      </c>
      <c r="K785">
        <v>2750</v>
      </c>
      <c r="L785">
        <v>0</v>
      </c>
      <c r="M785">
        <v>0</v>
      </c>
      <c r="N785">
        <v>2750</v>
      </c>
    </row>
    <row r="786" spans="1:14" x14ac:dyDescent="0.25">
      <c r="A786">
        <v>382.20184499999999</v>
      </c>
      <c r="B786" s="1">
        <f>DATE(2011,5,18) + TIME(4,50,39)</f>
        <v>40681.201840277776</v>
      </c>
      <c r="C786">
        <v>80</v>
      </c>
      <c r="D786">
        <v>79.943595885999997</v>
      </c>
      <c r="E786">
        <v>50</v>
      </c>
      <c r="F786">
        <v>47.961402892999999</v>
      </c>
      <c r="G786">
        <v>1396.7475586</v>
      </c>
      <c r="H786">
        <v>1380.3847656</v>
      </c>
      <c r="I786">
        <v>1280.4953613</v>
      </c>
      <c r="J786">
        <v>1258.5761719</v>
      </c>
      <c r="K786">
        <v>2750</v>
      </c>
      <c r="L786">
        <v>0</v>
      </c>
      <c r="M786">
        <v>0</v>
      </c>
      <c r="N786">
        <v>2750</v>
      </c>
    </row>
    <row r="787" spans="1:14" x14ac:dyDescent="0.25">
      <c r="A787">
        <v>382.60691400000002</v>
      </c>
      <c r="B787" s="1">
        <f>DATE(2011,5,18) + TIME(14,33,57)</f>
        <v>40681.606909722221</v>
      </c>
      <c r="C787">
        <v>80</v>
      </c>
      <c r="D787">
        <v>79.943580627000003</v>
      </c>
      <c r="E787">
        <v>50</v>
      </c>
      <c r="F787">
        <v>47.921691895000002</v>
      </c>
      <c r="G787">
        <v>1396.6639404</v>
      </c>
      <c r="H787">
        <v>1380.3128661999999</v>
      </c>
      <c r="I787">
        <v>1280.4814452999999</v>
      </c>
      <c r="J787">
        <v>1258.5583495999999</v>
      </c>
      <c r="K787">
        <v>2750</v>
      </c>
      <c r="L787">
        <v>0</v>
      </c>
      <c r="M787">
        <v>0</v>
      </c>
      <c r="N787">
        <v>2750</v>
      </c>
    </row>
    <row r="788" spans="1:14" x14ac:dyDescent="0.25">
      <c r="A788">
        <v>383.017718</v>
      </c>
      <c r="B788" s="1">
        <f>DATE(2011,5,19) + TIME(0,25,30)</f>
        <v>40682.017708333333</v>
      </c>
      <c r="C788">
        <v>80</v>
      </c>
      <c r="D788">
        <v>79.943572997999993</v>
      </c>
      <c r="E788">
        <v>50</v>
      </c>
      <c r="F788">
        <v>47.881622313999998</v>
      </c>
      <c r="G788">
        <v>1396.5808105000001</v>
      </c>
      <c r="H788">
        <v>1380.2413329999999</v>
      </c>
      <c r="I788">
        <v>1280.4671631000001</v>
      </c>
      <c r="J788">
        <v>1258.5404053</v>
      </c>
      <c r="K788">
        <v>2750</v>
      </c>
      <c r="L788">
        <v>0</v>
      </c>
      <c r="M788">
        <v>0</v>
      </c>
      <c r="N788">
        <v>2750</v>
      </c>
    </row>
    <row r="789" spans="1:14" x14ac:dyDescent="0.25">
      <c r="A789">
        <v>383.43521900000002</v>
      </c>
      <c r="B789" s="1">
        <f>DATE(2011,5,19) + TIME(10,26,42)</f>
        <v>40682.435208333336</v>
      </c>
      <c r="C789">
        <v>80</v>
      </c>
      <c r="D789">
        <v>79.943565368999998</v>
      </c>
      <c r="E789">
        <v>50</v>
      </c>
      <c r="F789">
        <v>47.841129303000002</v>
      </c>
      <c r="G789">
        <v>1396.4982910000001</v>
      </c>
      <c r="H789">
        <v>1380.1702881000001</v>
      </c>
      <c r="I789">
        <v>1280.4527588000001</v>
      </c>
      <c r="J789">
        <v>1258.5220947</v>
      </c>
      <c r="K789">
        <v>2750</v>
      </c>
      <c r="L789">
        <v>0</v>
      </c>
      <c r="M789">
        <v>0</v>
      </c>
      <c r="N789">
        <v>2750</v>
      </c>
    </row>
    <row r="790" spans="1:14" x14ac:dyDescent="0.25">
      <c r="A790">
        <v>383.860434</v>
      </c>
      <c r="B790" s="1">
        <f>DATE(2011,5,19) + TIME(20,39,1)</f>
        <v>40682.86042824074</v>
      </c>
      <c r="C790">
        <v>80</v>
      </c>
      <c r="D790">
        <v>79.943550110000004</v>
      </c>
      <c r="E790">
        <v>50</v>
      </c>
      <c r="F790">
        <v>47.800148010000001</v>
      </c>
      <c r="G790">
        <v>1396.4158935999999</v>
      </c>
      <c r="H790">
        <v>1380.0993652</v>
      </c>
      <c r="I790">
        <v>1280.4379882999999</v>
      </c>
      <c r="J790">
        <v>1258.5035399999999</v>
      </c>
      <c r="K790">
        <v>2750</v>
      </c>
      <c r="L790">
        <v>0</v>
      </c>
      <c r="M790">
        <v>0</v>
      </c>
      <c r="N790">
        <v>2750</v>
      </c>
    </row>
    <row r="791" spans="1:14" x14ac:dyDescent="0.25">
      <c r="A791">
        <v>384.29445600000003</v>
      </c>
      <c r="B791" s="1">
        <f>DATE(2011,5,20) + TIME(7,4,1)</f>
        <v>40683.294456018521</v>
      </c>
      <c r="C791">
        <v>80</v>
      </c>
      <c r="D791">
        <v>79.943542480000005</v>
      </c>
      <c r="E791">
        <v>50</v>
      </c>
      <c r="F791">
        <v>47.758590697999999</v>
      </c>
      <c r="G791">
        <v>1396.3334961</v>
      </c>
      <c r="H791">
        <v>1380.0285644999999</v>
      </c>
      <c r="I791">
        <v>1280.4229736</v>
      </c>
      <c r="J791">
        <v>1258.4844971</v>
      </c>
      <c r="K791">
        <v>2750</v>
      </c>
      <c r="L791">
        <v>0</v>
      </c>
      <c r="M791">
        <v>0</v>
      </c>
      <c r="N791">
        <v>2750</v>
      </c>
    </row>
    <row r="792" spans="1:14" x14ac:dyDescent="0.25">
      <c r="A792">
        <v>384.738474</v>
      </c>
      <c r="B792" s="1">
        <f>DATE(2011,5,20) + TIME(17,43,24)</f>
        <v>40683.73847222222</v>
      </c>
      <c r="C792">
        <v>80</v>
      </c>
      <c r="D792">
        <v>79.943534850999995</v>
      </c>
      <c r="E792">
        <v>50</v>
      </c>
      <c r="F792">
        <v>47.716369628999999</v>
      </c>
      <c r="G792">
        <v>1396.2509766000001</v>
      </c>
      <c r="H792">
        <v>1379.9575195</v>
      </c>
      <c r="I792">
        <v>1280.4075928</v>
      </c>
      <c r="J792">
        <v>1258.4649658000001</v>
      </c>
      <c r="K792">
        <v>2750</v>
      </c>
      <c r="L792">
        <v>0</v>
      </c>
      <c r="M792">
        <v>0</v>
      </c>
      <c r="N792">
        <v>2750</v>
      </c>
    </row>
    <row r="793" spans="1:14" x14ac:dyDescent="0.25">
      <c r="A793">
        <v>385.19378799999998</v>
      </c>
      <c r="B793" s="1">
        <f>DATE(2011,5,21) + TIME(4,39,3)</f>
        <v>40684.193784722222</v>
      </c>
      <c r="C793">
        <v>80</v>
      </c>
      <c r="D793">
        <v>79.943519592000001</v>
      </c>
      <c r="E793">
        <v>50</v>
      </c>
      <c r="F793">
        <v>47.673385619999998</v>
      </c>
      <c r="G793">
        <v>1396.1682129000001</v>
      </c>
      <c r="H793">
        <v>1379.8863524999999</v>
      </c>
      <c r="I793">
        <v>1280.3918457</v>
      </c>
      <c r="J793">
        <v>1258.4450684000001</v>
      </c>
      <c r="K793">
        <v>2750</v>
      </c>
      <c r="L793">
        <v>0</v>
      </c>
      <c r="M793">
        <v>0</v>
      </c>
      <c r="N793">
        <v>2750</v>
      </c>
    </row>
    <row r="794" spans="1:14" x14ac:dyDescent="0.25">
      <c r="A794">
        <v>385.66184800000002</v>
      </c>
      <c r="B794" s="1">
        <f>DATE(2011,5,21) + TIME(15,53,3)</f>
        <v>40684.661840277775</v>
      </c>
      <c r="C794">
        <v>80</v>
      </c>
      <c r="D794">
        <v>79.943511963000006</v>
      </c>
      <c r="E794">
        <v>50</v>
      </c>
      <c r="F794">
        <v>47.629520415999998</v>
      </c>
      <c r="G794">
        <v>1396.0848389</v>
      </c>
      <c r="H794">
        <v>1379.8145752</v>
      </c>
      <c r="I794">
        <v>1280.3756103999999</v>
      </c>
      <c r="J794">
        <v>1258.4244385</v>
      </c>
      <c r="K794">
        <v>2750</v>
      </c>
      <c r="L794">
        <v>0</v>
      </c>
      <c r="M794">
        <v>0</v>
      </c>
      <c r="N794">
        <v>2750</v>
      </c>
    </row>
    <row r="795" spans="1:14" x14ac:dyDescent="0.25">
      <c r="A795">
        <v>386.138462</v>
      </c>
      <c r="B795" s="1">
        <f>DATE(2011,5,22) + TIME(3,19,23)</f>
        <v>40685.138460648152</v>
      </c>
      <c r="C795">
        <v>80</v>
      </c>
      <c r="D795">
        <v>79.943504333000007</v>
      </c>
      <c r="E795">
        <v>50</v>
      </c>
      <c r="F795">
        <v>47.584991455000001</v>
      </c>
      <c r="G795">
        <v>1396.0007324000001</v>
      </c>
      <c r="H795">
        <v>1379.7423096</v>
      </c>
      <c r="I795">
        <v>1280.3587646000001</v>
      </c>
      <c r="J795">
        <v>1258.4033202999999</v>
      </c>
      <c r="K795">
        <v>2750</v>
      </c>
      <c r="L795">
        <v>0</v>
      </c>
      <c r="M795">
        <v>0</v>
      </c>
      <c r="N795">
        <v>2750</v>
      </c>
    </row>
    <row r="796" spans="1:14" x14ac:dyDescent="0.25">
      <c r="A796">
        <v>386.61731800000001</v>
      </c>
      <c r="B796" s="1">
        <f>DATE(2011,5,22) + TIME(14,48,56)</f>
        <v>40685.617314814815</v>
      </c>
      <c r="C796">
        <v>80</v>
      </c>
      <c r="D796">
        <v>79.943496703999998</v>
      </c>
      <c r="E796">
        <v>50</v>
      </c>
      <c r="F796">
        <v>47.540191649999997</v>
      </c>
      <c r="G796">
        <v>1395.916626</v>
      </c>
      <c r="H796">
        <v>1379.6699219</v>
      </c>
      <c r="I796">
        <v>1280.3415527</v>
      </c>
      <c r="J796">
        <v>1258.3817139</v>
      </c>
      <c r="K796">
        <v>2750</v>
      </c>
      <c r="L796">
        <v>0</v>
      </c>
      <c r="M796">
        <v>0</v>
      </c>
      <c r="N796">
        <v>2750</v>
      </c>
    </row>
    <row r="797" spans="1:14" x14ac:dyDescent="0.25">
      <c r="A797">
        <v>387.09946400000001</v>
      </c>
      <c r="B797" s="1">
        <f>DATE(2011,5,23) + TIME(2,23,13)</f>
        <v>40686.099456018521</v>
      </c>
      <c r="C797">
        <v>80</v>
      </c>
      <c r="D797">
        <v>79.943489075000002</v>
      </c>
      <c r="E797">
        <v>50</v>
      </c>
      <c r="F797">
        <v>47.495174407999997</v>
      </c>
      <c r="G797">
        <v>1395.8336182</v>
      </c>
      <c r="H797">
        <v>1379.5986327999999</v>
      </c>
      <c r="I797">
        <v>1280.3240966999999</v>
      </c>
      <c r="J797">
        <v>1258.3598632999999</v>
      </c>
      <c r="K797">
        <v>2750</v>
      </c>
      <c r="L797">
        <v>0</v>
      </c>
      <c r="M797">
        <v>0</v>
      </c>
      <c r="N797">
        <v>2750</v>
      </c>
    </row>
    <row r="798" spans="1:14" x14ac:dyDescent="0.25">
      <c r="A798">
        <v>387.58606200000003</v>
      </c>
      <c r="B798" s="1">
        <f>DATE(2011,5,23) + TIME(14,3,55)</f>
        <v>40686.586053240739</v>
      </c>
      <c r="C798">
        <v>80</v>
      </c>
      <c r="D798">
        <v>79.943481445000003</v>
      </c>
      <c r="E798">
        <v>50</v>
      </c>
      <c r="F798">
        <v>47.449928284000002</v>
      </c>
      <c r="G798">
        <v>1395.7517089999999</v>
      </c>
      <c r="H798">
        <v>1379.5281981999999</v>
      </c>
      <c r="I798">
        <v>1280.3066406</v>
      </c>
      <c r="J798">
        <v>1258.3377685999999</v>
      </c>
      <c r="K798">
        <v>2750</v>
      </c>
      <c r="L798">
        <v>0</v>
      </c>
      <c r="M798">
        <v>0</v>
      </c>
      <c r="N798">
        <v>2750</v>
      </c>
    </row>
    <row r="799" spans="1:14" x14ac:dyDescent="0.25">
      <c r="A799">
        <v>388.078284</v>
      </c>
      <c r="B799" s="1">
        <f>DATE(2011,5,24) + TIME(1,52,43)</f>
        <v>40687.078275462962</v>
      </c>
      <c r="C799">
        <v>80</v>
      </c>
      <c r="D799">
        <v>79.943473815999994</v>
      </c>
      <c r="E799">
        <v>50</v>
      </c>
      <c r="F799">
        <v>47.404407501000001</v>
      </c>
      <c r="G799">
        <v>1395.6704102000001</v>
      </c>
      <c r="H799">
        <v>1379.4582519999999</v>
      </c>
      <c r="I799">
        <v>1280.2888184000001</v>
      </c>
      <c r="J799">
        <v>1258.3153076000001</v>
      </c>
      <c r="K799">
        <v>2750</v>
      </c>
      <c r="L799">
        <v>0</v>
      </c>
      <c r="M799">
        <v>0</v>
      </c>
      <c r="N799">
        <v>2750</v>
      </c>
    </row>
    <row r="800" spans="1:14" x14ac:dyDescent="0.25">
      <c r="A800">
        <v>388.577338</v>
      </c>
      <c r="B800" s="1">
        <f>DATE(2011,5,24) + TIME(13,51,21)</f>
        <v>40687.577326388891</v>
      </c>
      <c r="C800">
        <v>80</v>
      </c>
      <c r="D800">
        <v>79.943466186999999</v>
      </c>
      <c r="E800">
        <v>50</v>
      </c>
      <c r="F800">
        <v>47.358539581000002</v>
      </c>
      <c r="G800">
        <v>1395.5895995999999</v>
      </c>
      <c r="H800">
        <v>1379.3887939000001</v>
      </c>
      <c r="I800">
        <v>1280.270874</v>
      </c>
      <c r="J800">
        <v>1258.2926024999999</v>
      </c>
      <c r="K800">
        <v>2750</v>
      </c>
      <c r="L800">
        <v>0</v>
      </c>
      <c r="M800">
        <v>0</v>
      </c>
      <c r="N800">
        <v>2750</v>
      </c>
    </row>
    <row r="801" spans="1:14" x14ac:dyDescent="0.25">
      <c r="A801">
        <v>389.08448600000003</v>
      </c>
      <c r="B801" s="1">
        <f>DATE(2011,5,25) + TIME(2,1,39)</f>
        <v>40688.084479166668</v>
      </c>
      <c r="C801">
        <v>80</v>
      </c>
      <c r="D801">
        <v>79.943466186999999</v>
      </c>
      <c r="E801">
        <v>50</v>
      </c>
      <c r="F801">
        <v>47.312244415000002</v>
      </c>
      <c r="G801">
        <v>1395.5091553</v>
      </c>
      <c r="H801">
        <v>1379.3195800999999</v>
      </c>
      <c r="I801">
        <v>1280.2524414</v>
      </c>
      <c r="J801">
        <v>1258.2694091999999</v>
      </c>
      <c r="K801">
        <v>2750</v>
      </c>
      <c r="L801">
        <v>0</v>
      </c>
      <c r="M801">
        <v>0</v>
      </c>
      <c r="N801">
        <v>2750</v>
      </c>
    </row>
    <row r="802" spans="1:14" x14ac:dyDescent="0.25">
      <c r="A802">
        <v>389.60106400000001</v>
      </c>
      <c r="B802" s="1">
        <f>DATE(2011,5,25) + TIME(14,25,31)</f>
        <v>40688.601053240738</v>
      </c>
      <c r="C802">
        <v>80</v>
      </c>
      <c r="D802">
        <v>79.943458557</v>
      </c>
      <c r="E802">
        <v>50</v>
      </c>
      <c r="F802">
        <v>47.265419006000002</v>
      </c>
      <c r="G802">
        <v>1395.4288329999999</v>
      </c>
      <c r="H802">
        <v>1379.2504882999999</v>
      </c>
      <c r="I802">
        <v>1280.2337646000001</v>
      </c>
      <c r="J802">
        <v>1258.2457274999999</v>
      </c>
      <c r="K802">
        <v>2750</v>
      </c>
      <c r="L802">
        <v>0</v>
      </c>
      <c r="M802">
        <v>0</v>
      </c>
      <c r="N802">
        <v>2750</v>
      </c>
    </row>
    <row r="803" spans="1:14" x14ac:dyDescent="0.25">
      <c r="A803">
        <v>390.12849699999998</v>
      </c>
      <c r="B803" s="1">
        <f>DATE(2011,5,26) + TIME(3,5,2)</f>
        <v>40689.128495370373</v>
      </c>
      <c r="C803">
        <v>80</v>
      </c>
      <c r="D803">
        <v>79.943458557</v>
      </c>
      <c r="E803">
        <v>50</v>
      </c>
      <c r="F803">
        <v>47.217960357999999</v>
      </c>
      <c r="G803">
        <v>1395.3483887</v>
      </c>
      <c r="H803">
        <v>1379.1812743999999</v>
      </c>
      <c r="I803">
        <v>1280.2145995999999</v>
      </c>
      <c r="J803">
        <v>1258.2214355000001</v>
      </c>
      <c r="K803">
        <v>2750</v>
      </c>
      <c r="L803">
        <v>0</v>
      </c>
      <c r="M803">
        <v>0</v>
      </c>
      <c r="N803">
        <v>2750</v>
      </c>
    </row>
    <row r="804" spans="1:14" x14ac:dyDescent="0.25">
      <c r="A804">
        <v>390.663186</v>
      </c>
      <c r="B804" s="1">
        <f>DATE(2011,5,26) + TIME(15,54,59)</f>
        <v>40689.663182870368</v>
      </c>
      <c r="C804">
        <v>80</v>
      </c>
      <c r="D804">
        <v>79.943450928000004</v>
      </c>
      <c r="E804">
        <v>50</v>
      </c>
      <c r="F804">
        <v>47.170021057</v>
      </c>
      <c r="G804">
        <v>1395.2675781</v>
      </c>
      <c r="H804">
        <v>1379.1119385</v>
      </c>
      <c r="I804">
        <v>1280.1948242000001</v>
      </c>
      <c r="J804">
        <v>1258.1966553</v>
      </c>
      <c r="K804">
        <v>2750</v>
      </c>
      <c r="L804">
        <v>0</v>
      </c>
      <c r="M804">
        <v>0</v>
      </c>
      <c r="N804">
        <v>2750</v>
      </c>
    </row>
    <row r="805" spans="1:14" x14ac:dyDescent="0.25">
      <c r="A805">
        <v>391.20627999999999</v>
      </c>
      <c r="B805" s="1">
        <f>DATE(2011,5,27) + TIME(4,57,2)</f>
        <v>40690.206273148149</v>
      </c>
      <c r="C805">
        <v>80</v>
      </c>
      <c r="D805">
        <v>79.943450928000004</v>
      </c>
      <c r="E805">
        <v>50</v>
      </c>
      <c r="F805">
        <v>47.121570587000001</v>
      </c>
      <c r="G805">
        <v>1395.1871338000001</v>
      </c>
      <c r="H805">
        <v>1379.0427245999999</v>
      </c>
      <c r="I805">
        <v>1280.1748047000001</v>
      </c>
      <c r="J805">
        <v>1258.1712646000001</v>
      </c>
      <c r="K805">
        <v>2750</v>
      </c>
      <c r="L805">
        <v>0</v>
      </c>
      <c r="M805">
        <v>0</v>
      </c>
      <c r="N805">
        <v>2750</v>
      </c>
    </row>
    <row r="806" spans="1:14" x14ac:dyDescent="0.25">
      <c r="A806">
        <v>391.75914999999998</v>
      </c>
      <c r="B806" s="1">
        <f>DATE(2011,5,27) + TIME(18,13,10)</f>
        <v>40690.759143518517</v>
      </c>
      <c r="C806">
        <v>80</v>
      </c>
      <c r="D806">
        <v>79.943443298000005</v>
      </c>
      <c r="E806">
        <v>50</v>
      </c>
      <c r="F806">
        <v>47.072551726999997</v>
      </c>
      <c r="G806">
        <v>1395.1068115</v>
      </c>
      <c r="H806">
        <v>1378.9736327999999</v>
      </c>
      <c r="I806">
        <v>1280.1542969</v>
      </c>
      <c r="J806">
        <v>1258.1453856999999</v>
      </c>
      <c r="K806">
        <v>2750</v>
      </c>
      <c r="L806">
        <v>0</v>
      </c>
      <c r="M806">
        <v>0</v>
      </c>
      <c r="N806">
        <v>2750</v>
      </c>
    </row>
    <row r="807" spans="1:14" x14ac:dyDescent="0.25">
      <c r="A807">
        <v>392.32326499999999</v>
      </c>
      <c r="B807" s="1">
        <f>DATE(2011,5,28) + TIME(7,45,30)</f>
        <v>40691.323263888888</v>
      </c>
      <c r="C807">
        <v>80</v>
      </c>
      <c r="D807">
        <v>79.943443298000005</v>
      </c>
      <c r="E807">
        <v>50</v>
      </c>
      <c r="F807">
        <v>47.022865295000003</v>
      </c>
      <c r="G807">
        <v>1395.0264893000001</v>
      </c>
      <c r="H807">
        <v>1378.9044189000001</v>
      </c>
      <c r="I807">
        <v>1280.1333007999999</v>
      </c>
      <c r="J807">
        <v>1258.1188964999999</v>
      </c>
      <c r="K807">
        <v>2750</v>
      </c>
      <c r="L807">
        <v>0</v>
      </c>
      <c r="M807">
        <v>0</v>
      </c>
      <c r="N807">
        <v>2750</v>
      </c>
    </row>
    <row r="808" spans="1:14" x14ac:dyDescent="0.25">
      <c r="A808">
        <v>392.90022399999998</v>
      </c>
      <c r="B808" s="1">
        <f>DATE(2011,5,28) + TIME(21,36,19)</f>
        <v>40691.900219907409</v>
      </c>
      <c r="C808">
        <v>80</v>
      </c>
      <c r="D808">
        <v>79.943443298000005</v>
      </c>
      <c r="E808">
        <v>50</v>
      </c>
      <c r="F808">
        <v>46.972412108999997</v>
      </c>
      <c r="G808">
        <v>1394.9458007999999</v>
      </c>
      <c r="H808">
        <v>1378.8350829999999</v>
      </c>
      <c r="I808">
        <v>1280.1116943</v>
      </c>
      <c r="J808">
        <v>1258.0916748</v>
      </c>
      <c r="K808">
        <v>2750</v>
      </c>
      <c r="L808">
        <v>0</v>
      </c>
      <c r="M808">
        <v>0</v>
      </c>
      <c r="N808">
        <v>2750</v>
      </c>
    </row>
    <row r="809" spans="1:14" x14ac:dyDescent="0.25">
      <c r="A809">
        <v>393.49177200000003</v>
      </c>
      <c r="B809" s="1">
        <f>DATE(2011,5,29) + TIME(11,48,9)</f>
        <v>40692.491770833331</v>
      </c>
      <c r="C809">
        <v>80</v>
      </c>
      <c r="D809">
        <v>79.943443298000005</v>
      </c>
      <c r="E809">
        <v>50</v>
      </c>
      <c r="F809">
        <v>46.921066283999998</v>
      </c>
      <c r="G809">
        <v>1394.8647461</v>
      </c>
      <c r="H809">
        <v>1378.7652588000001</v>
      </c>
      <c r="I809">
        <v>1280.0895995999999</v>
      </c>
      <c r="J809">
        <v>1258.0635986</v>
      </c>
      <c r="K809">
        <v>2750</v>
      </c>
      <c r="L809">
        <v>0</v>
      </c>
      <c r="M809">
        <v>0</v>
      </c>
      <c r="N809">
        <v>2750</v>
      </c>
    </row>
    <row r="810" spans="1:14" x14ac:dyDescent="0.25">
      <c r="A810">
        <v>394.08635900000002</v>
      </c>
      <c r="B810" s="1">
        <f>DATE(2011,5,30) + TIME(2,4,21)</f>
        <v>40693.086354166669</v>
      </c>
      <c r="C810">
        <v>80</v>
      </c>
      <c r="D810">
        <v>79.943443298000005</v>
      </c>
      <c r="E810">
        <v>50</v>
      </c>
      <c r="F810">
        <v>46.869346618999998</v>
      </c>
      <c r="G810">
        <v>1394.7829589999999</v>
      </c>
      <c r="H810">
        <v>1378.6948242000001</v>
      </c>
      <c r="I810">
        <v>1280.0666504000001</v>
      </c>
      <c r="J810">
        <v>1258.034668</v>
      </c>
      <c r="K810">
        <v>2750</v>
      </c>
      <c r="L810">
        <v>0</v>
      </c>
      <c r="M810">
        <v>0</v>
      </c>
      <c r="N810">
        <v>2750</v>
      </c>
    </row>
    <row r="811" spans="1:14" x14ac:dyDescent="0.25">
      <c r="A811">
        <v>394.68437599999999</v>
      </c>
      <c r="B811" s="1">
        <f>DATE(2011,5,30) + TIME(16,25,30)</f>
        <v>40693.684374999997</v>
      </c>
      <c r="C811">
        <v>80</v>
      </c>
      <c r="D811">
        <v>79.943443298000005</v>
      </c>
      <c r="E811">
        <v>50</v>
      </c>
      <c r="F811">
        <v>46.817398071</v>
      </c>
      <c r="G811">
        <v>1394.7021483999999</v>
      </c>
      <c r="H811">
        <v>1378.6253661999999</v>
      </c>
      <c r="I811">
        <v>1280.043457</v>
      </c>
      <c r="J811">
        <v>1258.0053711</v>
      </c>
      <c r="K811">
        <v>2750</v>
      </c>
      <c r="L811">
        <v>0</v>
      </c>
      <c r="M811">
        <v>0</v>
      </c>
      <c r="N811">
        <v>2750</v>
      </c>
    </row>
    <row r="812" spans="1:14" x14ac:dyDescent="0.25">
      <c r="A812">
        <v>395.28684399999997</v>
      </c>
      <c r="B812" s="1">
        <f>DATE(2011,5,31) + TIME(6,53,3)</f>
        <v>40694.286840277775</v>
      </c>
      <c r="C812">
        <v>80</v>
      </c>
      <c r="D812">
        <v>79.943443298000005</v>
      </c>
      <c r="E812">
        <v>50</v>
      </c>
      <c r="F812">
        <v>46.765258789000001</v>
      </c>
      <c r="G812">
        <v>1394.6223144999999</v>
      </c>
      <c r="H812">
        <v>1378.5565185999999</v>
      </c>
      <c r="I812">
        <v>1280.0198975000001</v>
      </c>
      <c r="J812">
        <v>1257.9757079999999</v>
      </c>
      <c r="K812">
        <v>2750</v>
      </c>
      <c r="L812">
        <v>0</v>
      </c>
      <c r="M812">
        <v>0</v>
      </c>
      <c r="N812">
        <v>2750</v>
      </c>
    </row>
    <row r="813" spans="1:14" x14ac:dyDescent="0.25">
      <c r="A813">
        <v>395.89409899999998</v>
      </c>
      <c r="B813" s="1">
        <f>DATE(2011,5,31) + TIME(21,27,30)</f>
        <v>40694.894097222219</v>
      </c>
      <c r="C813">
        <v>80</v>
      </c>
      <c r="D813">
        <v>79.943450928000004</v>
      </c>
      <c r="E813">
        <v>50</v>
      </c>
      <c r="F813">
        <v>46.712940216</v>
      </c>
      <c r="G813">
        <v>1394.5430908000001</v>
      </c>
      <c r="H813">
        <v>1378.4882812000001</v>
      </c>
      <c r="I813">
        <v>1279.9960937999999</v>
      </c>
      <c r="J813">
        <v>1257.9455565999999</v>
      </c>
      <c r="K813">
        <v>2750</v>
      </c>
      <c r="L813">
        <v>0</v>
      </c>
      <c r="M813">
        <v>0</v>
      </c>
      <c r="N813">
        <v>2750</v>
      </c>
    </row>
    <row r="814" spans="1:14" x14ac:dyDescent="0.25">
      <c r="A814">
        <v>396</v>
      </c>
      <c r="B814" s="1">
        <f>DATE(2011,6,1) + TIME(0,0,0)</f>
        <v>40695</v>
      </c>
      <c r="C814">
        <v>80</v>
      </c>
      <c r="D814">
        <v>79.943435668999996</v>
      </c>
      <c r="E814">
        <v>50</v>
      </c>
      <c r="F814">
        <v>46.698612212999997</v>
      </c>
      <c r="G814">
        <v>1394.4661865</v>
      </c>
      <c r="H814">
        <v>1378.4221190999999</v>
      </c>
      <c r="I814">
        <v>1279.9676514</v>
      </c>
      <c r="J814">
        <v>1257.9194336</v>
      </c>
      <c r="K814">
        <v>2750</v>
      </c>
      <c r="L814">
        <v>0</v>
      </c>
      <c r="M814">
        <v>0</v>
      </c>
      <c r="N814">
        <v>2750</v>
      </c>
    </row>
    <row r="815" spans="1:14" x14ac:dyDescent="0.25">
      <c r="A815">
        <v>396.61345799999998</v>
      </c>
      <c r="B815" s="1">
        <f>DATE(2011,6,1) + TIME(14,43,22)</f>
        <v>40695.613449074073</v>
      </c>
      <c r="C815">
        <v>80</v>
      </c>
      <c r="D815">
        <v>79.943450928000004</v>
      </c>
      <c r="E815">
        <v>50</v>
      </c>
      <c r="F815">
        <v>46.648399353000002</v>
      </c>
      <c r="G815">
        <v>1394.4505615</v>
      </c>
      <c r="H815">
        <v>1378.4084473</v>
      </c>
      <c r="I815">
        <v>1279.9677733999999</v>
      </c>
      <c r="J815">
        <v>1257.9088135</v>
      </c>
      <c r="K815">
        <v>2750</v>
      </c>
      <c r="L815">
        <v>0</v>
      </c>
      <c r="M815">
        <v>0</v>
      </c>
      <c r="N815">
        <v>2750</v>
      </c>
    </row>
    <row r="816" spans="1:14" x14ac:dyDescent="0.25">
      <c r="A816">
        <v>397.23612200000002</v>
      </c>
      <c r="B816" s="1">
        <f>DATE(2011,6,2) + TIME(5,40,0)</f>
        <v>40696.236111111109</v>
      </c>
      <c r="C816">
        <v>80</v>
      </c>
      <c r="D816">
        <v>79.943450928000004</v>
      </c>
      <c r="E816">
        <v>50</v>
      </c>
      <c r="F816">
        <v>46.596786498999997</v>
      </c>
      <c r="G816">
        <v>1394.3731689000001</v>
      </c>
      <c r="H816">
        <v>1378.3416748</v>
      </c>
      <c r="I816">
        <v>1279.9432373</v>
      </c>
      <c r="J816">
        <v>1257.8779297000001</v>
      </c>
      <c r="K816">
        <v>2750</v>
      </c>
      <c r="L816">
        <v>0</v>
      </c>
      <c r="M816">
        <v>0</v>
      </c>
      <c r="N816">
        <v>2750</v>
      </c>
    </row>
    <row r="817" spans="1:14" x14ac:dyDescent="0.25">
      <c r="A817">
        <v>397.86818499999998</v>
      </c>
      <c r="B817" s="1">
        <f>DATE(2011,6,2) + TIME(20,50,11)</f>
        <v>40696.86818287037</v>
      </c>
      <c r="C817">
        <v>80</v>
      </c>
      <c r="D817">
        <v>79.943458557</v>
      </c>
      <c r="E817">
        <v>50</v>
      </c>
      <c r="F817">
        <v>46.544147490999997</v>
      </c>
      <c r="G817">
        <v>1394.2954102000001</v>
      </c>
      <c r="H817">
        <v>1378.2746582</v>
      </c>
      <c r="I817">
        <v>1279.9179687999999</v>
      </c>
      <c r="J817">
        <v>1257.8459473</v>
      </c>
      <c r="K817">
        <v>2750</v>
      </c>
      <c r="L817">
        <v>0</v>
      </c>
      <c r="M817">
        <v>0</v>
      </c>
      <c r="N817">
        <v>2750</v>
      </c>
    </row>
    <row r="818" spans="1:14" x14ac:dyDescent="0.25">
      <c r="A818">
        <v>398.51126599999998</v>
      </c>
      <c r="B818" s="1">
        <f>DATE(2011,6,3) + TIME(12,16,13)</f>
        <v>40697.511261574073</v>
      </c>
      <c r="C818">
        <v>80</v>
      </c>
      <c r="D818">
        <v>79.943466186999999</v>
      </c>
      <c r="E818">
        <v>50</v>
      </c>
      <c r="F818">
        <v>46.490627289000003</v>
      </c>
      <c r="G818">
        <v>1394.2176514</v>
      </c>
      <c r="H818">
        <v>1378.2076416</v>
      </c>
      <c r="I818">
        <v>1279.8920897999999</v>
      </c>
      <c r="J818">
        <v>1257.8132324000001</v>
      </c>
      <c r="K818">
        <v>2750</v>
      </c>
      <c r="L818">
        <v>0</v>
      </c>
      <c r="M818">
        <v>0</v>
      </c>
      <c r="N818">
        <v>2750</v>
      </c>
    </row>
    <row r="819" spans="1:14" x14ac:dyDescent="0.25">
      <c r="A819">
        <v>399.16707200000002</v>
      </c>
      <c r="B819" s="1">
        <f>DATE(2011,6,4) + TIME(4,0,34)</f>
        <v>40698.167060185187</v>
      </c>
      <c r="C819">
        <v>80</v>
      </c>
      <c r="D819">
        <v>79.943473815999994</v>
      </c>
      <c r="E819">
        <v>50</v>
      </c>
      <c r="F819">
        <v>46.436244965</v>
      </c>
      <c r="G819">
        <v>1394.1397704999999</v>
      </c>
      <c r="H819">
        <v>1378.1405029</v>
      </c>
      <c r="I819">
        <v>1279.8656006000001</v>
      </c>
      <c r="J819">
        <v>1257.7795410000001</v>
      </c>
      <c r="K819">
        <v>2750</v>
      </c>
      <c r="L819">
        <v>0</v>
      </c>
      <c r="M819">
        <v>0</v>
      </c>
      <c r="N819">
        <v>2750</v>
      </c>
    </row>
    <row r="820" spans="1:14" x14ac:dyDescent="0.25">
      <c r="A820">
        <v>399.83745399999998</v>
      </c>
      <c r="B820" s="1">
        <f>DATE(2011,6,4) + TIME(20,5,56)</f>
        <v>40698.837453703702</v>
      </c>
      <c r="C820">
        <v>80</v>
      </c>
      <c r="D820">
        <v>79.943481445000003</v>
      </c>
      <c r="E820">
        <v>50</v>
      </c>
      <c r="F820">
        <v>46.380947112999998</v>
      </c>
      <c r="G820">
        <v>1394.0616454999999</v>
      </c>
      <c r="H820">
        <v>1378.0729980000001</v>
      </c>
      <c r="I820">
        <v>1279.8383789</v>
      </c>
      <c r="J820">
        <v>1257.744751</v>
      </c>
      <c r="K820">
        <v>2750</v>
      </c>
      <c r="L820">
        <v>0</v>
      </c>
      <c r="M820">
        <v>0</v>
      </c>
      <c r="N820">
        <v>2750</v>
      </c>
    </row>
    <row r="821" spans="1:14" x14ac:dyDescent="0.25">
      <c r="A821">
        <v>400.52444300000002</v>
      </c>
      <c r="B821" s="1">
        <f>DATE(2011,6,5) + TIME(12,35,11)</f>
        <v>40699.52443287037</v>
      </c>
      <c r="C821">
        <v>80</v>
      </c>
      <c r="D821">
        <v>79.943489075000002</v>
      </c>
      <c r="E821">
        <v>50</v>
      </c>
      <c r="F821">
        <v>46.324626922999997</v>
      </c>
      <c r="G821">
        <v>1393.9830322</v>
      </c>
      <c r="H821">
        <v>1378.0051269999999</v>
      </c>
      <c r="I821">
        <v>1279.8103027</v>
      </c>
      <c r="J821">
        <v>1257.7088623</v>
      </c>
      <c r="K821">
        <v>2750</v>
      </c>
      <c r="L821">
        <v>0</v>
      </c>
      <c r="M821">
        <v>0</v>
      </c>
      <c r="N821">
        <v>2750</v>
      </c>
    </row>
    <row r="822" spans="1:14" x14ac:dyDescent="0.25">
      <c r="A822">
        <v>401.22536300000002</v>
      </c>
      <c r="B822" s="1">
        <f>DATE(2011,6,6) + TIME(5,24,31)</f>
        <v>40700.225358796299</v>
      </c>
      <c r="C822">
        <v>80</v>
      </c>
      <c r="D822">
        <v>79.943496703999998</v>
      </c>
      <c r="E822">
        <v>50</v>
      </c>
      <c r="F822">
        <v>46.267364502</v>
      </c>
      <c r="G822">
        <v>1393.9036865</v>
      </c>
      <c r="H822">
        <v>1377.9366454999999</v>
      </c>
      <c r="I822">
        <v>1279.78125</v>
      </c>
      <c r="J822">
        <v>1257.6717529</v>
      </c>
      <c r="K822">
        <v>2750</v>
      </c>
      <c r="L822">
        <v>0</v>
      </c>
      <c r="M822">
        <v>0</v>
      </c>
      <c r="N822">
        <v>2750</v>
      </c>
    </row>
    <row r="823" spans="1:14" x14ac:dyDescent="0.25">
      <c r="A823">
        <v>401.933243</v>
      </c>
      <c r="B823" s="1">
        <f>DATE(2011,6,6) + TIME(22,23,52)</f>
        <v>40700.933240740742</v>
      </c>
      <c r="C823">
        <v>80</v>
      </c>
      <c r="D823">
        <v>79.943504333000007</v>
      </c>
      <c r="E823">
        <v>50</v>
      </c>
      <c r="F823">
        <v>46.209480286000002</v>
      </c>
      <c r="G823">
        <v>1393.8239745999999</v>
      </c>
      <c r="H823">
        <v>1377.8676757999999</v>
      </c>
      <c r="I823">
        <v>1279.7512207</v>
      </c>
      <c r="J823">
        <v>1257.6335449000001</v>
      </c>
      <c r="K823">
        <v>2750</v>
      </c>
      <c r="L823">
        <v>0</v>
      </c>
      <c r="M823">
        <v>0</v>
      </c>
      <c r="N823">
        <v>2750</v>
      </c>
    </row>
    <row r="824" spans="1:14" x14ac:dyDescent="0.25">
      <c r="A824">
        <v>402.641884</v>
      </c>
      <c r="B824" s="1">
        <f>DATE(2011,6,7) + TIME(15,24,18)</f>
        <v>40701.641875000001</v>
      </c>
      <c r="C824">
        <v>80</v>
      </c>
      <c r="D824">
        <v>79.943511963000006</v>
      </c>
      <c r="E824">
        <v>50</v>
      </c>
      <c r="F824">
        <v>46.151390075999998</v>
      </c>
      <c r="G824">
        <v>1393.744751</v>
      </c>
      <c r="H824">
        <v>1377.7991943</v>
      </c>
      <c r="I824">
        <v>1279.7205810999999</v>
      </c>
      <c r="J824">
        <v>1257.5943603999999</v>
      </c>
      <c r="K824">
        <v>2750</v>
      </c>
      <c r="L824">
        <v>0</v>
      </c>
      <c r="M824">
        <v>0</v>
      </c>
      <c r="N824">
        <v>2750</v>
      </c>
    </row>
    <row r="825" spans="1:14" x14ac:dyDescent="0.25">
      <c r="A825">
        <v>403.35318000000001</v>
      </c>
      <c r="B825" s="1">
        <f>DATE(2011,6,8) + TIME(8,28,34)</f>
        <v>40702.353171296294</v>
      </c>
      <c r="C825">
        <v>80</v>
      </c>
      <c r="D825">
        <v>79.943519592000001</v>
      </c>
      <c r="E825">
        <v>50</v>
      </c>
      <c r="F825">
        <v>46.093200684000003</v>
      </c>
      <c r="G825">
        <v>1393.666626</v>
      </c>
      <c r="H825">
        <v>1377.7316894999999</v>
      </c>
      <c r="I825">
        <v>1279.6896973</v>
      </c>
      <c r="J825">
        <v>1257.5546875</v>
      </c>
      <c r="K825">
        <v>2750</v>
      </c>
      <c r="L825">
        <v>0</v>
      </c>
      <c r="M825">
        <v>0</v>
      </c>
      <c r="N825">
        <v>2750</v>
      </c>
    </row>
    <row r="826" spans="1:14" x14ac:dyDescent="0.25">
      <c r="A826">
        <v>404.06872099999998</v>
      </c>
      <c r="B826" s="1">
        <f>DATE(2011,6,9) + TIME(1,38,57)</f>
        <v>40703.068715277775</v>
      </c>
      <c r="C826">
        <v>80</v>
      </c>
      <c r="D826">
        <v>79.943534850999995</v>
      </c>
      <c r="E826">
        <v>50</v>
      </c>
      <c r="F826">
        <v>46.034900665000002</v>
      </c>
      <c r="G826">
        <v>1393.5893555</v>
      </c>
      <c r="H826">
        <v>1377.6649170000001</v>
      </c>
      <c r="I826">
        <v>1279.6583252</v>
      </c>
      <c r="J826">
        <v>1257.5142822</v>
      </c>
      <c r="K826">
        <v>2750</v>
      </c>
      <c r="L826">
        <v>0</v>
      </c>
      <c r="M826">
        <v>0</v>
      </c>
      <c r="N826">
        <v>2750</v>
      </c>
    </row>
    <row r="827" spans="1:14" x14ac:dyDescent="0.25">
      <c r="A827">
        <v>404.79005799999999</v>
      </c>
      <c r="B827" s="1">
        <f>DATE(2011,6,9) + TIME(18,57,41)</f>
        <v>40703.79005787037</v>
      </c>
      <c r="C827">
        <v>80</v>
      </c>
      <c r="D827">
        <v>79.943542480000005</v>
      </c>
      <c r="E827">
        <v>50</v>
      </c>
      <c r="F827">
        <v>45.976428986000002</v>
      </c>
      <c r="G827">
        <v>1393.5128173999999</v>
      </c>
      <c r="H827">
        <v>1377.5986327999999</v>
      </c>
      <c r="I827">
        <v>1279.6264647999999</v>
      </c>
      <c r="J827">
        <v>1257.4731445</v>
      </c>
      <c r="K827">
        <v>2750</v>
      </c>
      <c r="L827">
        <v>0</v>
      </c>
      <c r="M827">
        <v>0</v>
      </c>
      <c r="N827">
        <v>2750</v>
      </c>
    </row>
    <row r="828" spans="1:14" x14ac:dyDescent="0.25">
      <c r="A828">
        <v>405.51887699999997</v>
      </c>
      <c r="B828" s="1">
        <f>DATE(2011,6,10) + TIME(12,27,10)</f>
        <v>40704.518865740742</v>
      </c>
      <c r="C828">
        <v>80</v>
      </c>
      <c r="D828">
        <v>79.943557738999999</v>
      </c>
      <c r="E828">
        <v>50</v>
      </c>
      <c r="F828">
        <v>45.917678832999997</v>
      </c>
      <c r="G828">
        <v>1393.4368896000001</v>
      </c>
      <c r="H828">
        <v>1377.5328368999999</v>
      </c>
      <c r="I828">
        <v>1279.5938721</v>
      </c>
      <c r="J828">
        <v>1257.4311522999999</v>
      </c>
      <c r="K828">
        <v>2750</v>
      </c>
      <c r="L828">
        <v>0</v>
      </c>
      <c r="M828">
        <v>0</v>
      </c>
      <c r="N828">
        <v>2750</v>
      </c>
    </row>
    <row r="829" spans="1:14" x14ac:dyDescent="0.25">
      <c r="A829">
        <v>406.25691599999999</v>
      </c>
      <c r="B829" s="1">
        <f>DATE(2011,6,11) + TIME(6,9,57)</f>
        <v>40705.256909722222</v>
      </c>
      <c r="C829">
        <v>80</v>
      </c>
      <c r="D829">
        <v>79.943565368999998</v>
      </c>
      <c r="E829">
        <v>50</v>
      </c>
      <c r="F829">
        <v>45.858528137</v>
      </c>
      <c r="G829">
        <v>1393.3612060999999</v>
      </c>
      <c r="H829">
        <v>1377.4672852000001</v>
      </c>
      <c r="I829">
        <v>1279.5606689000001</v>
      </c>
      <c r="J829">
        <v>1257.3881836</v>
      </c>
      <c r="K829">
        <v>2750</v>
      </c>
      <c r="L829">
        <v>0</v>
      </c>
      <c r="M829">
        <v>0</v>
      </c>
      <c r="N829">
        <v>2750</v>
      </c>
    </row>
    <row r="830" spans="1:14" x14ac:dyDescent="0.25">
      <c r="A830">
        <v>407.00597699999997</v>
      </c>
      <c r="B830" s="1">
        <f>DATE(2011,6,12) + TIME(0,8,36)</f>
        <v>40706.005972222221</v>
      </c>
      <c r="C830">
        <v>80</v>
      </c>
      <c r="D830">
        <v>79.943580627000003</v>
      </c>
      <c r="E830">
        <v>50</v>
      </c>
      <c r="F830">
        <v>45.798843384000001</v>
      </c>
      <c r="G830">
        <v>1393.2856445</v>
      </c>
      <c r="H830">
        <v>1377.4018555</v>
      </c>
      <c r="I830">
        <v>1279.5267334</v>
      </c>
      <c r="J830">
        <v>1257.3439940999999</v>
      </c>
      <c r="K830">
        <v>2750</v>
      </c>
      <c r="L830">
        <v>0</v>
      </c>
      <c r="M830">
        <v>0</v>
      </c>
      <c r="N830">
        <v>2750</v>
      </c>
    </row>
    <row r="831" spans="1:14" x14ac:dyDescent="0.25">
      <c r="A831">
        <v>407.76796899999999</v>
      </c>
      <c r="B831" s="1">
        <f>DATE(2011,6,12) + TIME(18,25,52)</f>
        <v>40706.767962962964</v>
      </c>
      <c r="C831">
        <v>80</v>
      </c>
      <c r="D831">
        <v>79.943595885999997</v>
      </c>
      <c r="E831">
        <v>50</v>
      </c>
      <c r="F831">
        <v>45.738483428999999</v>
      </c>
      <c r="G831">
        <v>1393.2102050999999</v>
      </c>
      <c r="H831">
        <v>1377.3363036999999</v>
      </c>
      <c r="I831">
        <v>1279.4916992000001</v>
      </c>
      <c r="J831">
        <v>1257.2985839999999</v>
      </c>
      <c r="K831">
        <v>2750</v>
      </c>
      <c r="L831">
        <v>0</v>
      </c>
      <c r="M831">
        <v>0</v>
      </c>
      <c r="N831">
        <v>2750</v>
      </c>
    </row>
    <row r="832" spans="1:14" x14ac:dyDescent="0.25">
      <c r="A832">
        <v>408.544939</v>
      </c>
      <c r="B832" s="1">
        <f>DATE(2011,6,13) + TIME(13,4,42)</f>
        <v>40707.544930555552</v>
      </c>
      <c r="C832">
        <v>80</v>
      </c>
      <c r="D832">
        <v>79.943611145000006</v>
      </c>
      <c r="E832">
        <v>50</v>
      </c>
      <c r="F832">
        <v>45.677288054999998</v>
      </c>
      <c r="G832">
        <v>1393.1343993999999</v>
      </c>
      <c r="H832">
        <v>1377.2706298999999</v>
      </c>
      <c r="I832">
        <v>1279.4558105000001</v>
      </c>
      <c r="J832">
        <v>1257.2515868999999</v>
      </c>
      <c r="K832">
        <v>2750</v>
      </c>
      <c r="L832">
        <v>0</v>
      </c>
      <c r="M832">
        <v>0</v>
      </c>
      <c r="N832">
        <v>2750</v>
      </c>
    </row>
    <row r="833" spans="1:14" x14ac:dyDescent="0.25">
      <c r="A833">
        <v>409.33910400000002</v>
      </c>
      <c r="B833" s="1">
        <f>DATE(2011,6,14) + TIME(8,8,18)</f>
        <v>40708.339097222219</v>
      </c>
      <c r="C833">
        <v>80</v>
      </c>
      <c r="D833">
        <v>79.943626404</v>
      </c>
      <c r="E833">
        <v>50</v>
      </c>
      <c r="F833">
        <v>45.615097046000002</v>
      </c>
      <c r="G833">
        <v>1393.0583495999999</v>
      </c>
      <c r="H833">
        <v>1377.2045897999999</v>
      </c>
      <c r="I833">
        <v>1279.4185791</v>
      </c>
      <c r="J833">
        <v>1257.203125</v>
      </c>
      <c r="K833">
        <v>2750</v>
      </c>
      <c r="L833">
        <v>0</v>
      </c>
      <c r="M833">
        <v>0</v>
      </c>
      <c r="N833">
        <v>2750</v>
      </c>
    </row>
    <row r="834" spans="1:14" x14ac:dyDescent="0.25">
      <c r="A834">
        <v>410.15288700000002</v>
      </c>
      <c r="B834" s="1">
        <f>DATE(2011,6,15) + TIME(3,40,9)</f>
        <v>40709.152881944443</v>
      </c>
      <c r="C834">
        <v>80</v>
      </c>
      <c r="D834">
        <v>79.943649292000003</v>
      </c>
      <c r="E834">
        <v>50</v>
      </c>
      <c r="F834">
        <v>45.551731109999999</v>
      </c>
      <c r="G834">
        <v>1392.9816894999999</v>
      </c>
      <c r="H834">
        <v>1377.1379394999999</v>
      </c>
      <c r="I834">
        <v>1279.3801269999999</v>
      </c>
      <c r="J834">
        <v>1257.1527100000001</v>
      </c>
      <c r="K834">
        <v>2750</v>
      </c>
      <c r="L834">
        <v>0</v>
      </c>
      <c r="M834">
        <v>0</v>
      </c>
      <c r="N834">
        <v>2750</v>
      </c>
    </row>
    <row r="835" spans="1:14" x14ac:dyDescent="0.25">
      <c r="A835">
        <v>410.97891199999998</v>
      </c>
      <c r="B835" s="1">
        <f>DATE(2011,6,15) + TIME(23,29,37)</f>
        <v>40709.978900462964</v>
      </c>
      <c r="C835">
        <v>80</v>
      </c>
      <c r="D835">
        <v>79.943664550999998</v>
      </c>
      <c r="E835">
        <v>50</v>
      </c>
      <c r="F835">
        <v>45.487369536999999</v>
      </c>
      <c r="G835">
        <v>1392.9041748</v>
      </c>
      <c r="H835">
        <v>1377.0706786999999</v>
      </c>
      <c r="I835">
        <v>1279.3402100000001</v>
      </c>
      <c r="J835">
        <v>1257.1003418</v>
      </c>
      <c r="K835">
        <v>2750</v>
      </c>
      <c r="L835">
        <v>0</v>
      </c>
      <c r="M835">
        <v>0</v>
      </c>
      <c r="N835">
        <v>2750</v>
      </c>
    </row>
    <row r="836" spans="1:14" x14ac:dyDescent="0.25">
      <c r="A836">
        <v>411.81025599999998</v>
      </c>
      <c r="B836" s="1">
        <f>DATE(2011,6,16) + TIME(19,26,46)</f>
        <v>40710.810254629629</v>
      </c>
      <c r="C836">
        <v>80</v>
      </c>
      <c r="D836">
        <v>79.943679810000006</v>
      </c>
      <c r="E836">
        <v>50</v>
      </c>
      <c r="F836">
        <v>45.422374724999997</v>
      </c>
      <c r="G836">
        <v>1392.8266602000001</v>
      </c>
      <c r="H836">
        <v>1377.0032959</v>
      </c>
      <c r="I836">
        <v>1279.2990723</v>
      </c>
      <c r="J836">
        <v>1257.0463867000001</v>
      </c>
      <c r="K836">
        <v>2750</v>
      </c>
      <c r="L836">
        <v>0</v>
      </c>
      <c r="M836">
        <v>0</v>
      </c>
      <c r="N836">
        <v>2750</v>
      </c>
    </row>
    <row r="837" spans="1:14" x14ac:dyDescent="0.25">
      <c r="A837">
        <v>412.64340800000002</v>
      </c>
      <c r="B837" s="1">
        <f>DATE(2011,6,17) + TIME(15,26,30)</f>
        <v>40711.64340277778</v>
      </c>
      <c r="C837">
        <v>80</v>
      </c>
      <c r="D837">
        <v>79.943702697999996</v>
      </c>
      <c r="E837">
        <v>50</v>
      </c>
      <c r="F837">
        <v>45.357070923000002</v>
      </c>
      <c r="G837">
        <v>1392.7498779</v>
      </c>
      <c r="H837">
        <v>1376.9365233999999</v>
      </c>
      <c r="I837">
        <v>1279.2570800999999</v>
      </c>
      <c r="J837">
        <v>1256.9909668</v>
      </c>
      <c r="K837">
        <v>2750</v>
      </c>
      <c r="L837">
        <v>0</v>
      </c>
      <c r="M837">
        <v>0</v>
      </c>
      <c r="N837">
        <v>2750</v>
      </c>
    </row>
    <row r="838" spans="1:14" x14ac:dyDescent="0.25">
      <c r="A838">
        <v>413.48070100000001</v>
      </c>
      <c r="B838" s="1">
        <f>DATE(2011,6,18) + TIME(11,32,12)</f>
        <v>40712.480694444443</v>
      </c>
      <c r="C838">
        <v>80</v>
      </c>
      <c r="D838">
        <v>79.943725585999999</v>
      </c>
      <c r="E838">
        <v>50</v>
      </c>
      <c r="F838">
        <v>45.291526793999999</v>
      </c>
      <c r="G838">
        <v>1392.6738281</v>
      </c>
      <c r="H838">
        <v>1376.8703613</v>
      </c>
      <c r="I838">
        <v>1279.2143555</v>
      </c>
      <c r="J838">
        <v>1256.9345702999999</v>
      </c>
      <c r="K838">
        <v>2750</v>
      </c>
      <c r="L838">
        <v>0</v>
      </c>
      <c r="M838">
        <v>0</v>
      </c>
      <c r="N838">
        <v>2750</v>
      </c>
    </row>
    <row r="839" spans="1:14" x14ac:dyDescent="0.25">
      <c r="A839">
        <v>414.32376599999998</v>
      </c>
      <c r="B839" s="1">
        <f>DATE(2011,6,19) + TIME(7,46,13)</f>
        <v>40713.323761574073</v>
      </c>
      <c r="C839">
        <v>80</v>
      </c>
      <c r="D839">
        <v>79.943740844999994</v>
      </c>
      <c r="E839">
        <v>50</v>
      </c>
      <c r="F839">
        <v>45.225696564000003</v>
      </c>
      <c r="G839">
        <v>1392.5986327999999</v>
      </c>
      <c r="H839">
        <v>1376.8048096</v>
      </c>
      <c r="I839">
        <v>1279.1707764</v>
      </c>
      <c r="J839">
        <v>1256.8768310999999</v>
      </c>
      <c r="K839">
        <v>2750</v>
      </c>
      <c r="L839">
        <v>0</v>
      </c>
      <c r="M839">
        <v>0</v>
      </c>
      <c r="N839">
        <v>2750</v>
      </c>
    </row>
    <row r="840" spans="1:14" x14ac:dyDescent="0.25">
      <c r="A840">
        <v>415.174556</v>
      </c>
      <c r="B840" s="1">
        <f>DATE(2011,6,20) + TIME(4,11,21)</f>
        <v>40714.17454861111</v>
      </c>
      <c r="C840">
        <v>80</v>
      </c>
      <c r="D840">
        <v>79.943763732999997</v>
      </c>
      <c r="E840">
        <v>50</v>
      </c>
      <c r="F840">
        <v>45.159481049</v>
      </c>
      <c r="G840">
        <v>1392.5238036999999</v>
      </c>
      <c r="H840">
        <v>1376.7397461</v>
      </c>
      <c r="I840">
        <v>1279.1263428</v>
      </c>
      <c r="J840">
        <v>1256.8176269999999</v>
      </c>
      <c r="K840">
        <v>2750</v>
      </c>
      <c r="L840">
        <v>0</v>
      </c>
      <c r="M840">
        <v>0</v>
      </c>
      <c r="N840">
        <v>2750</v>
      </c>
    </row>
    <row r="841" spans="1:14" x14ac:dyDescent="0.25">
      <c r="A841">
        <v>416.035077</v>
      </c>
      <c r="B841" s="1">
        <f>DATE(2011,6,21) + TIME(0,50,30)</f>
        <v>40715.035069444442</v>
      </c>
      <c r="C841">
        <v>80</v>
      </c>
      <c r="D841">
        <v>79.943786621000001</v>
      </c>
      <c r="E841">
        <v>50</v>
      </c>
      <c r="F841">
        <v>45.092731475999997</v>
      </c>
      <c r="G841">
        <v>1392.4494629000001</v>
      </c>
      <c r="H841">
        <v>1376.6748047000001</v>
      </c>
      <c r="I841">
        <v>1279.0808105000001</v>
      </c>
      <c r="J841">
        <v>1256.7568358999999</v>
      </c>
      <c r="K841">
        <v>2750</v>
      </c>
      <c r="L841">
        <v>0</v>
      </c>
      <c r="M841">
        <v>0</v>
      </c>
      <c r="N841">
        <v>2750</v>
      </c>
    </row>
    <row r="842" spans="1:14" x14ac:dyDescent="0.25">
      <c r="A842">
        <v>416.90743600000002</v>
      </c>
      <c r="B842" s="1">
        <f>DATE(2011,6,21) + TIME(21,46,42)</f>
        <v>40715.907430555555</v>
      </c>
      <c r="C842">
        <v>80</v>
      </c>
      <c r="D842">
        <v>79.943809509000005</v>
      </c>
      <c r="E842">
        <v>50</v>
      </c>
      <c r="F842">
        <v>45.025299072000003</v>
      </c>
      <c r="G842">
        <v>1392.3752440999999</v>
      </c>
      <c r="H842">
        <v>1376.6101074000001</v>
      </c>
      <c r="I842">
        <v>1279.0341797000001</v>
      </c>
      <c r="J842">
        <v>1256.6943358999999</v>
      </c>
      <c r="K842">
        <v>2750</v>
      </c>
      <c r="L842">
        <v>0</v>
      </c>
      <c r="M842">
        <v>0</v>
      </c>
      <c r="N842">
        <v>2750</v>
      </c>
    </row>
    <row r="843" spans="1:14" x14ac:dyDescent="0.25">
      <c r="A843">
        <v>417.79382500000003</v>
      </c>
      <c r="B843" s="1">
        <f>DATE(2011,6,22) + TIME(19,3,6)</f>
        <v>40716.793819444443</v>
      </c>
      <c r="C843">
        <v>80</v>
      </c>
      <c r="D843">
        <v>79.943832396999994</v>
      </c>
      <c r="E843">
        <v>50</v>
      </c>
      <c r="F843">
        <v>44.957004546999997</v>
      </c>
      <c r="G843">
        <v>1392.3009033000001</v>
      </c>
      <c r="H843">
        <v>1376.5452881000001</v>
      </c>
      <c r="I843">
        <v>1278.9860839999999</v>
      </c>
      <c r="J843">
        <v>1256.6296387</v>
      </c>
      <c r="K843">
        <v>2750</v>
      </c>
      <c r="L843">
        <v>0</v>
      </c>
      <c r="M843">
        <v>0</v>
      </c>
      <c r="N843">
        <v>2750</v>
      </c>
    </row>
    <row r="844" spans="1:14" x14ac:dyDescent="0.25">
      <c r="A844">
        <v>418.696305</v>
      </c>
      <c r="B844" s="1">
        <f>DATE(2011,6,23) + TIME(16,42,40)</f>
        <v>40717.696296296293</v>
      </c>
      <c r="C844">
        <v>80</v>
      </c>
      <c r="D844">
        <v>79.943855286000002</v>
      </c>
      <c r="E844">
        <v>50</v>
      </c>
      <c r="F844">
        <v>44.887672424000002</v>
      </c>
      <c r="G844">
        <v>1392.2265625</v>
      </c>
      <c r="H844">
        <v>1376.4802245999999</v>
      </c>
      <c r="I844">
        <v>1278.9364014</v>
      </c>
      <c r="J844">
        <v>1256.5628661999999</v>
      </c>
      <c r="K844">
        <v>2750</v>
      </c>
      <c r="L844">
        <v>0</v>
      </c>
      <c r="M844">
        <v>0</v>
      </c>
      <c r="N844">
        <v>2750</v>
      </c>
    </row>
    <row r="845" spans="1:14" x14ac:dyDescent="0.25">
      <c r="A845">
        <v>419.61303199999998</v>
      </c>
      <c r="B845" s="1">
        <f>DATE(2011,6,24) + TIME(14,42,45)</f>
        <v>40718.613020833334</v>
      </c>
      <c r="C845">
        <v>80</v>
      </c>
      <c r="D845">
        <v>79.943885803000001</v>
      </c>
      <c r="E845">
        <v>50</v>
      </c>
      <c r="F845">
        <v>44.817264557000001</v>
      </c>
      <c r="G845">
        <v>1392.1517334</v>
      </c>
      <c r="H845">
        <v>1376.4149170000001</v>
      </c>
      <c r="I845">
        <v>1278.8851318</v>
      </c>
      <c r="J845">
        <v>1256.4935303</v>
      </c>
      <c r="K845">
        <v>2750</v>
      </c>
      <c r="L845">
        <v>0</v>
      </c>
      <c r="M845">
        <v>0</v>
      </c>
      <c r="N845">
        <v>2750</v>
      </c>
    </row>
    <row r="846" spans="1:14" x14ac:dyDescent="0.25">
      <c r="A846">
        <v>420.54642799999999</v>
      </c>
      <c r="B846" s="1">
        <f>DATE(2011,6,25) + TIME(13,6,51)</f>
        <v>40719.546423611115</v>
      </c>
      <c r="C846">
        <v>80</v>
      </c>
      <c r="D846">
        <v>79.943908691000004</v>
      </c>
      <c r="E846">
        <v>50</v>
      </c>
      <c r="F846">
        <v>44.745674133000001</v>
      </c>
      <c r="G846">
        <v>1392.0767822</v>
      </c>
      <c r="H846">
        <v>1376.3493652</v>
      </c>
      <c r="I846">
        <v>1278.8321533000001</v>
      </c>
      <c r="J846">
        <v>1256.4216309000001</v>
      </c>
      <c r="K846">
        <v>2750</v>
      </c>
      <c r="L846">
        <v>0</v>
      </c>
      <c r="M846">
        <v>0</v>
      </c>
      <c r="N846">
        <v>2750</v>
      </c>
    </row>
    <row r="847" spans="1:14" x14ac:dyDescent="0.25">
      <c r="A847">
        <v>421.49853200000001</v>
      </c>
      <c r="B847" s="1">
        <f>DATE(2011,6,26) + TIME(11,57,53)</f>
        <v>40720.498530092591</v>
      </c>
      <c r="C847">
        <v>80</v>
      </c>
      <c r="D847">
        <v>79.943939209000007</v>
      </c>
      <c r="E847">
        <v>50</v>
      </c>
      <c r="F847">
        <v>44.672756194999998</v>
      </c>
      <c r="G847">
        <v>1392.0015868999999</v>
      </c>
      <c r="H847">
        <v>1376.2835693</v>
      </c>
      <c r="I847">
        <v>1278.7774658000001</v>
      </c>
      <c r="J847">
        <v>1256.347168</v>
      </c>
      <c r="K847">
        <v>2750</v>
      </c>
      <c r="L847">
        <v>0</v>
      </c>
      <c r="M847">
        <v>0</v>
      </c>
      <c r="N847">
        <v>2750</v>
      </c>
    </row>
    <row r="848" spans="1:14" x14ac:dyDescent="0.25">
      <c r="A848">
        <v>422.45767999999998</v>
      </c>
      <c r="B848" s="1">
        <f>DATE(2011,6,27) + TIME(10,59,3)</f>
        <v>40721.457673611112</v>
      </c>
      <c r="C848">
        <v>80</v>
      </c>
      <c r="D848">
        <v>79.943962096999996</v>
      </c>
      <c r="E848">
        <v>50</v>
      </c>
      <c r="F848">
        <v>44.598815918</v>
      </c>
      <c r="G848">
        <v>1391.9257812000001</v>
      </c>
      <c r="H848">
        <v>1376.2172852000001</v>
      </c>
      <c r="I848">
        <v>1278.7205810999999</v>
      </c>
      <c r="J848">
        <v>1256.2696533000001</v>
      </c>
      <c r="K848">
        <v>2750</v>
      </c>
      <c r="L848">
        <v>0</v>
      </c>
      <c r="M848">
        <v>0</v>
      </c>
      <c r="N848">
        <v>2750</v>
      </c>
    </row>
    <row r="849" spans="1:14" x14ac:dyDescent="0.25">
      <c r="A849">
        <v>423.42446999999999</v>
      </c>
      <c r="B849" s="1">
        <f>DATE(2011,6,28) + TIME(10,11,14)</f>
        <v>40722.424467592595</v>
      </c>
      <c r="C849">
        <v>80</v>
      </c>
      <c r="D849">
        <v>79.943992614999999</v>
      </c>
      <c r="E849">
        <v>50</v>
      </c>
      <c r="F849">
        <v>44.524047852000002</v>
      </c>
      <c r="G849">
        <v>1391.8504639</v>
      </c>
      <c r="H849">
        <v>1376.1512451000001</v>
      </c>
      <c r="I849">
        <v>1278.6623535000001</v>
      </c>
      <c r="J849">
        <v>1256.1899414</v>
      </c>
      <c r="K849">
        <v>2750</v>
      </c>
      <c r="L849">
        <v>0</v>
      </c>
      <c r="M849">
        <v>0</v>
      </c>
      <c r="N849">
        <v>2750</v>
      </c>
    </row>
    <row r="850" spans="1:14" x14ac:dyDescent="0.25">
      <c r="A850">
        <v>424.397018</v>
      </c>
      <c r="B850" s="1">
        <f>DATE(2011,6,29) + TIME(9,31,42)</f>
        <v>40723.397013888891</v>
      </c>
      <c r="C850">
        <v>80</v>
      </c>
      <c r="D850">
        <v>79.944023131999998</v>
      </c>
      <c r="E850">
        <v>50</v>
      </c>
      <c r="F850">
        <v>44.448581695999998</v>
      </c>
      <c r="G850">
        <v>1391.7756348</v>
      </c>
      <c r="H850">
        <v>1376.0855713000001</v>
      </c>
      <c r="I850">
        <v>1278.6026611</v>
      </c>
      <c r="J850">
        <v>1256.1080322</v>
      </c>
      <c r="K850">
        <v>2750</v>
      </c>
      <c r="L850">
        <v>0</v>
      </c>
      <c r="M850">
        <v>0</v>
      </c>
      <c r="N850">
        <v>2750</v>
      </c>
    </row>
    <row r="851" spans="1:14" x14ac:dyDescent="0.25">
      <c r="A851">
        <v>425.37641200000002</v>
      </c>
      <c r="B851" s="1">
        <f>DATE(2011,6,30) + TIME(9,2,1)</f>
        <v>40724.376400462963</v>
      </c>
      <c r="C851">
        <v>80</v>
      </c>
      <c r="D851">
        <v>79.944053650000001</v>
      </c>
      <c r="E851">
        <v>50</v>
      </c>
      <c r="F851">
        <v>44.372444153000004</v>
      </c>
      <c r="G851">
        <v>1391.7011719</v>
      </c>
      <c r="H851">
        <v>1376.0203856999999</v>
      </c>
      <c r="I851">
        <v>1278.541626</v>
      </c>
      <c r="J851">
        <v>1256.0238036999999</v>
      </c>
      <c r="K851">
        <v>2750</v>
      </c>
      <c r="L851">
        <v>0</v>
      </c>
      <c r="M851">
        <v>0</v>
      </c>
      <c r="N851">
        <v>2750</v>
      </c>
    </row>
    <row r="852" spans="1:14" x14ac:dyDescent="0.25">
      <c r="A852">
        <v>426</v>
      </c>
      <c r="B852" s="1">
        <f>DATE(2011,7,1) + TIME(0,0,0)</f>
        <v>40725</v>
      </c>
      <c r="C852">
        <v>80</v>
      </c>
      <c r="D852">
        <v>79.944061278999996</v>
      </c>
      <c r="E852">
        <v>50</v>
      </c>
      <c r="F852">
        <v>44.311397552000003</v>
      </c>
      <c r="G852">
        <v>1391.6271973</v>
      </c>
      <c r="H852">
        <v>1375.9553223</v>
      </c>
      <c r="I852">
        <v>1278.4782714999999</v>
      </c>
      <c r="J852">
        <v>1255.9415283000001</v>
      </c>
      <c r="K852">
        <v>2750</v>
      </c>
      <c r="L852">
        <v>0</v>
      </c>
      <c r="M852">
        <v>0</v>
      </c>
      <c r="N852">
        <v>2750</v>
      </c>
    </row>
    <row r="853" spans="1:14" x14ac:dyDescent="0.25">
      <c r="A853">
        <v>426.98844600000001</v>
      </c>
      <c r="B853" s="1">
        <f>DATE(2011,7,1) + TIME(23,43,21)</f>
        <v>40725.988437499997</v>
      </c>
      <c r="C853">
        <v>80</v>
      </c>
      <c r="D853">
        <v>79.944099425999994</v>
      </c>
      <c r="E853">
        <v>50</v>
      </c>
      <c r="F853">
        <v>44.241111754999999</v>
      </c>
      <c r="G853">
        <v>1391.5805664</v>
      </c>
      <c r="H853">
        <v>1375.9143065999999</v>
      </c>
      <c r="I853">
        <v>1278.4383545000001</v>
      </c>
      <c r="J853">
        <v>1255.8786620999999</v>
      </c>
      <c r="K853">
        <v>2750</v>
      </c>
      <c r="L853">
        <v>0</v>
      </c>
      <c r="M853">
        <v>0</v>
      </c>
      <c r="N853">
        <v>2750</v>
      </c>
    </row>
    <row r="854" spans="1:14" x14ac:dyDescent="0.25">
      <c r="A854">
        <v>427.99381299999999</v>
      </c>
      <c r="B854" s="1">
        <f>DATE(2011,7,2) + TIME(23,51,5)</f>
        <v>40726.993807870371</v>
      </c>
      <c r="C854">
        <v>80</v>
      </c>
      <c r="D854">
        <v>79.944137573000006</v>
      </c>
      <c r="E854">
        <v>50</v>
      </c>
      <c r="F854">
        <v>44.165973663000003</v>
      </c>
      <c r="G854">
        <v>1391.5076904</v>
      </c>
      <c r="H854">
        <v>1375.8503418</v>
      </c>
      <c r="I854">
        <v>1278.3737793</v>
      </c>
      <c r="J854">
        <v>1255.7896728999999</v>
      </c>
      <c r="K854">
        <v>2750</v>
      </c>
      <c r="L854">
        <v>0</v>
      </c>
      <c r="M854">
        <v>0</v>
      </c>
      <c r="N854">
        <v>2750</v>
      </c>
    </row>
    <row r="855" spans="1:14" x14ac:dyDescent="0.25">
      <c r="A855">
        <v>429.01043499999997</v>
      </c>
      <c r="B855" s="1">
        <f>DATE(2011,7,4) + TIME(0,15,1)</f>
        <v>40728.010428240741</v>
      </c>
      <c r="C855">
        <v>80</v>
      </c>
      <c r="D855">
        <v>79.944168090999995</v>
      </c>
      <c r="E855">
        <v>50</v>
      </c>
      <c r="F855">
        <v>44.087982177999997</v>
      </c>
      <c r="G855">
        <v>1391.4343262</v>
      </c>
      <c r="H855">
        <v>1375.7857666</v>
      </c>
      <c r="I855">
        <v>1278.3067627</v>
      </c>
      <c r="J855">
        <v>1255.6965332</v>
      </c>
      <c r="K855">
        <v>2750</v>
      </c>
      <c r="L855">
        <v>0</v>
      </c>
      <c r="M855">
        <v>0</v>
      </c>
      <c r="N855">
        <v>2750</v>
      </c>
    </row>
    <row r="856" spans="1:14" x14ac:dyDescent="0.25">
      <c r="A856">
        <v>430.040796</v>
      </c>
      <c r="B856" s="1">
        <f>DATE(2011,7,5) + TIME(0,58,44)</f>
        <v>40729.04078703704</v>
      </c>
      <c r="C856">
        <v>80</v>
      </c>
      <c r="D856">
        <v>79.944198607999994</v>
      </c>
      <c r="E856">
        <v>50</v>
      </c>
      <c r="F856">
        <v>44.007995604999998</v>
      </c>
      <c r="G856">
        <v>1391.3610839999999</v>
      </c>
      <c r="H856">
        <v>1375.7213135</v>
      </c>
      <c r="I856">
        <v>1278.237793</v>
      </c>
      <c r="J856">
        <v>1255.6000977000001</v>
      </c>
      <c r="K856">
        <v>2750</v>
      </c>
      <c r="L856">
        <v>0</v>
      </c>
      <c r="M856">
        <v>0</v>
      </c>
      <c r="N856">
        <v>2750</v>
      </c>
    </row>
    <row r="857" spans="1:14" x14ac:dyDescent="0.25">
      <c r="A857">
        <v>431.087425</v>
      </c>
      <c r="B857" s="1">
        <f>DATE(2011,7,6) + TIME(2,5,53)</f>
        <v>40730.087418981479</v>
      </c>
      <c r="C857">
        <v>80</v>
      </c>
      <c r="D857">
        <v>79.944236755000006</v>
      </c>
      <c r="E857">
        <v>50</v>
      </c>
      <c r="F857">
        <v>43.926265717</v>
      </c>
      <c r="G857">
        <v>1391.2877197</v>
      </c>
      <c r="H857">
        <v>1375.6567382999999</v>
      </c>
      <c r="I857">
        <v>1278.1667480000001</v>
      </c>
      <c r="J857">
        <v>1255.5001221</v>
      </c>
      <c r="K857">
        <v>2750</v>
      </c>
      <c r="L857">
        <v>0</v>
      </c>
      <c r="M857">
        <v>0</v>
      </c>
      <c r="N857">
        <v>2750</v>
      </c>
    </row>
    <row r="858" spans="1:14" x14ac:dyDescent="0.25">
      <c r="A858">
        <v>432.15302700000001</v>
      </c>
      <c r="B858" s="1">
        <f>DATE(2011,7,7) + TIME(3,40,21)</f>
        <v>40731.153020833335</v>
      </c>
      <c r="C858">
        <v>80</v>
      </c>
      <c r="D858">
        <v>79.944274902000004</v>
      </c>
      <c r="E858">
        <v>50</v>
      </c>
      <c r="F858">
        <v>43.842754364000001</v>
      </c>
      <c r="G858">
        <v>1391.2142334</v>
      </c>
      <c r="H858">
        <v>1375.5919189000001</v>
      </c>
      <c r="I858">
        <v>1278.0933838000001</v>
      </c>
      <c r="J858">
        <v>1255.3963623</v>
      </c>
      <c r="K858">
        <v>2750</v>
      </c>
      <c r="L858">
        <v>0</v>
      </c>
      <c r="M858">
        <v>0</v>
      </c>
      <c r="N858">
        <v>2750</v>
      </c>
    </row>
    <row r="859" spans="1:14" x14ac:dyDescent="0.25">
      <c r="A859">
        <v>433.22901300000001</v>
      </c>
      <c r="B859" s="1">
        <f>DATE(2011,7,8) + TIME(5,29,46)</f>
        <v>40732.229004629633</v>
      </c>
      <c r="C859">
        <v>80</v>
      </c>
      <c r="D859">
        <v>79.944313049000002</v>
      </c>
      <c r="E859">
        <v>50</v>
      </c>
      <c r="F859">
        <v>43.757682799999998</v>
      </c>
      <c r="G859">
        <v>1391.1402588000001</v>
      </c>
      <c r="H859">
        <v>1375.5267334</v>
      </c>
      <c r="I859">
        <v>1278.0173339999999</v>
      </c>
      <c r="J859">
        <v>1255.2885742000001</v>
      </c>
      <c r="K859">
        <v>2750</v>
      </c>
      <c r="L859">
        <v>0</v>
      </c>
      <c r="M859">
        <v>0</v>
      </c>
      <c r="N859">
        <v>2750</v>
      </c>
    </row>
    <row r="860" spans="1:14" x14ac:dyDescent="0.25">
      <c r="A860">
        <v>434.31262500000003</v>
      </c>
      <c r="B860" s="1">
        <f>DATE(2011,7,9) + TIME(7,30,10)</f>
        <v>40733.312615740739</v>
      </c>
      <c r="C860">
        <v>80</v>
      </c>
      <c r="D860">
        <v>79.944343567000004</v>
      </c>
      <c r="E860">
        <v>50</v>
      </c>
      <c r="F860">
        <v>43.671314240000001</v>
      </c>
      <c r="G860">
        <v>1391.0665283000001</v>
      </c>
      <c r="H860">
        <v>1375.4616699000001</v>
      </c>
      <c r="I860">
        <v>1277.9392089999999</v>
      </c>
      <c r="J860">
        <v>1255.1773682</v>
      </c>
      <c r="K860">
        <v>2750</v>
      </c>
      <c r="L860">
        <v>0</v>
      </c>
      <c r="M860">
        <v>0</v>
      </c>
      <c r="N860">
        <v>2750</v>
      </c>
    </row>
    <row r="861" spans="1:14" x14ac:dyDescent="0.25">
      <c r="A861">
        <v>435.40644400000002</v>
      </c>
      <c r="B861" s="1">
        <f>DATE(2011,7,10) + TIME(9,45,16)</f>
        <v>40734.406435185185</v>
      </c>
      <c r="C861">
        <v>80</v>
      </c>
      <c r="D861">
        <v>79.944381714000002</v>
      </c>
      <c r="E861">
        <v>50</v>
      </c>
      <c r="F861">
        <v>43.583690642999997</v>
      </c>
      <c r="G861">
        <v>1390.9931641000001</v>
      </c>
      <c r="H861">
        <v>1375.3968506000001</v>
      </c>
      <c r="I861">
        <v>1277.8591309000001</v>
      </c>
      <c r="J861">
        <v>1255.0629882999999</v>
      </c>
      <c r="K861">
        <v>2750</v>
      </c>
      <c r="L861">
        <v>0</v>
      </c>
      <c r="M861">
        <v>0</v>
      </c>
      <c r="N861">
        <v>2750</v>
      </c>
    </row>
    <row r="862" spans="1:14" x14ac:dyDescent="0.25">
      <c r="A862">
        <v>436.51308399999999</v>
      </c>
      <c r="B862" s="1">
        <f>DATE(2011,7,11) + TIME(12,18,50)</f>
        <v>40735.513078703705</v>
      </c>
      <c r="C862">
        <v>80</v>
      </c>
      <c r="D862">
        <v>79.944419861</v>
      </c>
      <c r="E862">
        <v>50</v>
      </c>
      <c r="F862">
        <v>43.494682312000002</v>
      </c>
      <c r="G862">
        <v>1390.9200439000001</v>
      </c>
      <c r="H862">
        <v>1375.3322754000001</v>
      </c>
      <c r="I862">
        <v>1277.7769774999999</v>
      </c>
      <c r="J862">
        <v>1254.9450684000001</v>
      </c>
      <c r="K862">
        <v>2750</v>
      </c>
      <c r="L862">
        <v>0</v>
      </c>
      <c r="M862">
        <v>0</v>
      </c>
      <c r="N862">
        <v>2750</v>
      </c>
    </row>
    <row r="863" spans="1:14" x14ac:dyDescent="0.25">
      <c r="A863">
        <v>437.63527699999997</v>
      </c>
      <c r="B863" s="1">
        <f>DATE(2011,7,12) + TIME(15,14,47)</f>
        <v>40736.635266203702</v>
      </c>
      <c r="C863">
        <v>80</v>
      </c>
      <c r="D863">
        <v>79.944465636999993</v>
      </c>
      <c r="E863">
        <v>50</v>
      </c>
      <c r="F863">
        <v>43.404083252</v>
      </c>
      <c r="G863">
        <v>1390.8470459</v>
      </c>
      <c r="H863">
        <v>1375.2675781</v>
      </c>
      <c r="I863">
        <v>1277.6923827999999</v>
      </c>
      <c r="J863">
        <v>1254.8233643000001</v>
      </c>
      <c r="K863">
        <v>2750</v>
      </c>
      <c r="L863">
        <v>0</v>
      </c>
      <c r="M863">
        <v>0</v>
      </c>
      <c r="N863">
        <v>2750</v>
      </c>
    </row>
    <row r="864" spans="1:14" x14ac:dyDescent="0.25">
      <c r="A864">
        <v>438.76596000000001</v>
      </c>
      <c r="B864" s="1">
        <f>DATE(2011,7,13) + TIME(18,22,58)</f>
        <v>40737.765949074077</v>
      </c>
      <c r="C864">
        <v>80</v>
      </c>
      <c r="D864">
        <v>79.944503784000005</v>
      </c>
      <c r="E864">
        <v>50</v>
      </c>
      <c r="F864">
        <v>43.311973571999999</v>
      </c>
      <c r="G864">
        <v>1390.7738036999999</v>
      </c>
      <c r="H864">
        <v>1375.2028809000001</v>
      </c>
      <c r="I864">
        <v>1277.6052245999999</v>
      </c>
      <c r="J864">
        <v>1254.6973877</v>
      </c>
      <c r="K864">
        <v>2750</v>
      </c>
      <c r="L864">
        <v>0</v>
      </c>
      <c r="M864">
        <v>0</v>
      </c>
      <c r="N864">
        <v>2750</v>
      </c>
    </row>
    <row r="865" spans="1:14" x14ac:dyDescent="0.25">
      <c r="A865">
        <v>439.906137</v>
      </c>
      <c r="B865" s="1">
        <f>DATE(2011,7,14) + TIME(21,44,50)</f>
        <v>40738.906134259261</v>
      </c>
      <c r="C865">
        <v>80</v>
      </c>
      <c r="D865">
        <v>79.944541931000003</v>
      </c>
      <c r="E865">
        <v>50</v>
      </c>
      <c r="F865">
        <v>43.218429565000001</v>
      </c>
      <c r="G865">
        <v>1390.7009277</v>
      </c>
      <c r="H865">
        <v>1375.1383057</v>
      </c>
      <c r="I865">
        <v>1277.5159911999999</v>
      </c>
      <c r="J865">
        <v>1254.5678711</v>
      </c>
      <c r="K865">
        <v>2750</v>
      </c>
      <c r="L865">
        <v>0</v>
      </c>
      <c r="M865">
        <v>0</v>
      </c>
      <c r="N865">
        <v>2750</v>
      </c>
    </row>
    <row r="866" spans="1:14" x14ac:dyDescent="0.25">
      <c r="A866">
        <v>441.05825299999998</v>
      </c>
      <c r="B866" s="1">
        <f>DATE(2011,7,16) + TIME(1,23,53)</f>
        <v>40740.058252314811</v>
      </c>
      <c r="C866">
        <v>80</v>
      </c>
      <c r="D866">
        <v>79.944587708</v>
      </c>
      <c r="E866">
        <v>50</v>
      </c>
      <c r="F866">
        <v>43.12335968</v>
      </c>
      <c r="G866">
        <v>1390.6282959</v>
      </c>
      <c r="H866">
        <v>1375.0738524999999</v>
      </c>
      <c r="I866">
        <v>1277.4244385</v>
      </c>
      <c r="J866">
        <v>1254.4344481999999</v>
      </c>
      <c r="K866">
        <v>2750</v>
      </c>
      <c r="L866">
        <v>0</v>
      </c>
      <c r="M866">
        <v>0</v>
      </c>
      <c r="N866">
        <v>2750</v>
      </c>
    </row>
    <row r="867" spans="1:14" x14ac:dyDescent="0.25">
      <c r="A867">
        <v>442.22501499999998</v>
      </c>
      <c r="B867" s="1">
        <f>DATE(2011,7,17) + TIME(5,24,1)</f>
        <v>40741.225011574075</v>
      </c>
      <c r="C867">
        <v>80</v>
      </c>
      <c r="D867">
        <v>79.944625853999995</v>
      </c>
      <c r="E867">
        <v>50</v>
      </c>
      <c r="F867">
        <v>43.026569365999997</v>
      </c>
      <c r="G867">
        <v>1390.5557861</v>
      </c>
      <c r="H867">
        <v>1375.0095214999999</v>
      </c>
      <c r="I867">
        <v>1277.3303223</v>
      </c>
      <c r="J867">
        <v>1254.296875</v>
      </c>
      <c r="K867">
        <v>2750</v>
      </c>
      <c r="L867">
        <v>0</v>
      </c>
      <c r="M867">
        <v>0</v>
      </c>
      <c r="N867">
        <v>2750</v>
      </c>
    </row>
    <row r="868" spans="1:14" x14ac:dyDescent="0.25">
      <c r="A868">
        <v>443.40929899999998</v>
      </c>
      <c r="B868" s="1">
        <f>DATE(2011,7,18) + TIME(9,49,23)</f>
        <v>40742.40929398148</v>
      </c>
      <c r="C868">
        <v>80</v>
      </c>
      <c r="D868">
        <v>79.944671631000006</v>
      </c>
      <c r="E868">
        <v>50</v>
      </c>
      <c r="F868">
        <v>42.927810669000003</v>
      </c>
      <c r="G868">
        <v>1390.4831543</v>
      </c>
      <c r="H868">
        <v>1374.9450684000001</v>
      </c>
      <c r="I868">
        <v>1277.2336425999999</v>
      </c>
      <c r="J868">
        <v>1254.1547852000001</v>
      </c>
      <c r="K868">
        <v>2750</v>
      </c>
      <c r="L868">
        <v>0</v>
      </c>
      <c r="M868">
        <v>0</v>
      </c>
      <c r="N868">
        <v>2750</v>
      </c>
    </row>
    <row r="869" spans="1:14" x14ac:dyDescent="0.25">
      <c r="A869">
        <v>444.60762699999998</v>
      </c>
      <c r="B869" s="1">
        <f>DATE(2011,7,19) + TIME(14,34,58)</f>
        <v>40743.607615740744</v>
      </c>
      <c r="C869">
        <v>80</v>
      </c>
      <c r="D869">
        <v>79.944717406999999</v>
      </c>
      <c r="E869">
        <v>50</v>
      </c>
      <c r="F869">
        <v>42.827011108000001</v>
      </c>
      <c r="G869">
        <v>1390.4104004000001</v>
      </c>
      <c r="H869">
        <v>1374.8803711</v>
      </c>
      <c r="I869">
        <v>1277.1337891000001</v>
      </c>
      <c r="J869">
        <v>1254.0076904</v>
      </c>
      <c r="K869">
        <v>2750</v>
      </c>
      <c r="L869">
        <v>0</v>
      </c>
      <c r="M869">
        <v>0</v>
      </c>
      <c r="N869">
        <v>2750</v>
      </c>
    </row>
    <row r="870" spans="1:14" x14ac:dyDescent="0.25">
      <c r="A870">
        <v>445.81275799999997</v>
      </c>
      <c r="B870" s="1">
        <f>DATE(2011,7,20) + TIME(19,30,22)</f>
        <v>40744.812754629631</v>
      </c>
      <c r="C870">
        <v>80</v>
      </c>
      <c r="D870">
        <v>79.944763183999996</v>
      </c>
      <c r="E870">
        <v>50</v>
      </c>
      <c r="F870">
        <v>42.724411011000001</v>
      </c>
      <c r="G870">
        <v>1390.3375243999999</v>
      </c>
      <c r="H870">
        <v>1374.8156738</v>
      </c>
      <c r="I870">
        <v>1277.03125</v>
      </c>
      <c r="J870">
        <v>1253.8560791</v>
      </c>
      <c r="K870">
        <v>2750</v>
      </c>
      <c r="L870">
        <v>0</v>
      </c>
      <c r="M870">
        <v>0</v>
      </c>
      <c r="N870">
        <v>2750</v>
      </c>
    </row>
    <row r="871" spans="1:14" x14ac:dyDescent="0.25">
      <c r="A871">
        <v>447.027511</v>
      </c>
      <c r="B871" s="1">
        <f>DATE(2011,7,22) + TIME(0,39,36)</f>
        <v>40746.027499999997</v>
      </c>
      <c r="C871">
        <v>80</v>
      </c>
      <c r="D871">
        <v>79.944808960000003</v>
      </c>
      <c r="E871">
        <v>50</v>
      </c>
      <c r="F871">
        <v>42.620121001999998</v>
      </c>
      <c r="G871">
        <v>1390.2651367000001</v>
      </c>
      <c r="H871">
        <v>1374.7512207</v>
      </c>
      <c r="I871">
        <v>1276.9263916</v>
      </c>
      <c r="J871">
        <v>1253.7003173999999</v>
      </c>
      <c r="K871">
        <v>2750</v>
      </c>
      <c r="L871">
        <v>0</v>
      </c>
      <c r="M871">
        <v>0</v>
      </c>
      <c r="N871">
        <v>2750</v>
      </c>
    </row>
    <row r="872" spans="1:14" x14ac:dyDescent="0.25">
      <c r="A872">
        <v>448.25472300000001</v>
      </c>
      <c r="B872" s="1">
        <f>DATE(2011,7,23) + TIME(6,6,48)</f>
        <v>40747.25472222222</v>
      </c>
      <c r="C872">
        <v>80</v>
      </c>
      <c r="D872">
        <v>79.944854735999996</v>
      </c>
      <c r="E872">
        <v>50</v>
      </c>
      <c r="F872">
        <v>42.514003754000001</v>
      </c>
      <c r="G872">
        <v>1390.1929932</v>
      </c>
      <c r="H872">
        <v>1374.6870117000001</v>
      </c>
      <c r="I872">
        <v>1276.8192139</v>
      </c>
      <c r="J872">
        <v>1253.5404053</v>
      </c>
      <c r="K872">
        <v>2750</v>
      </c>
      <c r="L872">
        <v>0</v>
      </c>
      <c r="M872">
        <v>0</v>
      </c>
      <c r="N872">
        <v>2750</v>
      </c>
    </row>
    <row r="873" spans="1:14" x14ac:dyDescent="0.25">
      <c r="A873">
        <v>449.49736200000001</v>
      </c>
      <c r="B873" s="1">
        <f>DATE(2011,7,24) + TIME(11,56,12)</f>
        <v>40748.497361111113</v>
      </c>
      <c r="C873">
        <v>80</v>
      </c>
      <c r="D873">
        <v>79.944900512999993</v>
      </c>
      <c r="E873">
        <v>50</v>
      </c>
      <c r="F873">
        <v>42.405830383000001</v>
      </c>
      <c r="G873">
        <v>1390.1208495999999</v>
      </c>
      <c r="H873">
        <v>1374.6226807</v>
      </c>
      <c r="I873">
        <v>1276.7092285000001</v>
      </c>
      <c r="J873">
        <v>1253.3756103999999</v>
      </c>
      <c r="K873">
        <v>2750</v>
      </c>
      <c r="L873">
        <v>0</v>
      </c>
      <c r="M873">
        <v>0</v>
      </c>
      <c r="N873">
        <v>2750</v>
      </c>
    </row>
    <row r="874" spans="1:14" x14ac:dyDescent="0.25">
      <c r="A874">
        <v>450.75852400000002</v>
      </c>
      <c r="B874" s="1">
        <f>DATE(2011,7,25) + TIME(18,12,16)</f>
        <v>40749.758518518516</v>
      </c>
      <c r="C874">
        <v>80</v>
      </c>
      <c r="D874">
        <v>79.944946289000001</v>
      </c>
      <c r="E874">
        <v>50</v>
      </c>
      <c r="F874">
        <v>42.295310974000003</v>
      </c>
      <c r="G874">
        <v>1390.0487060999999</v>
      </c>
      <c r="H874">
        <v>1374.5583495999999</v>
      </c>
      <c r="I874">
        <v>1276.5961914</v>
      </c>
      <c r="J874">
        <v>1253.2058105000001</v>
      </c>
      <c r="K874">
        <v>2750</v>
      </c>
      <c r="L874">
        <v>0</v>
      </c>
      <c r="M874">
        <v>0</v>
      </c>
      <c r="N874">
        <v>2750</v>
      </c>
    </row>
    <row r="875" spans="1:14" x14ac:dyDescent="0.25">
      <c r="A875">
        <v>452.03740599999998</v>
      </c>
      <c r="B875" s="1">
        <f>DATE(2011,7,27) + TIME(0,53,51)</f>
        <v>40751.037395833337</v>
      </c>
      <c r="C875">
        <v>80</v>
      </c>
      <c r="D875">
        <v>79.944999695000007</v>
      </c>
      <c r="E875">
        <v>50</v>
      </c>
      <c r="F875">
        <v>42.182258605999998</v>
      </c>
      <c r="G875">
        <v>1389.9763184000001</v>
      </c>
      <c r="H875">
        <v>1374.4937743999999</v>
      </c>
      <c r="I875">
        <v>1276.4798584</v>
      </c>
      <c r="J875">
        <v>1253.0302733999999</v>
      </c>
      <c r="K875">
        <v>2750</v>
      </c>
      <c r="L875">
        <v>0</v>
      </c>
      <c r="M875">
        <v>0</v>
      </c>
      <c r="N875">
        <v>2750</v>
      </c>
    </row>
    <row r="876" spans="1:14" x14ac:dyDescent="0.25">
      <c r="A876">
        <v>453.329297</v>
      </c>
      <c r="B876" s="1">
        <f>DATE(2011,7,28) + TIME(7,54,11)</f>
        <v>40752.329293981478</v>
      </c>
      <c r="C876">
        <v>80</v>
      </c>
      <c r="D876">
        <v>79.945045471</v>
      </c>
      <c r="E876">
        <v>50</v>
      </c>
      <c r="F876">
        <v>42.066741942999997</v>
      </c>
      <c r="G876">
        <v>1389.9036865</v>
      </c>
      <c r="H876">
        <v>1374.4288329999999</v>
      </c>
      <c r="I876">
        <v>1276.3603516000001</v>
      </c>
      <c r="J876">
        <v>1252.848999</v>
      </c>
      <c r="K876">
        <v>2750</v>
      </c>
      <c r="L876">
        <v>0</v>
      </c>
      <c r="M876">
        <v>0</v>
      </c>
      <c r="N876">
        <v>2750</v>
      </c>
    </row>
    <row r="877" spans="1:14" x14ac:dyDescent="0.25">
      <c r="A877">
        <v>454.63461799999999</v>
      </c>
      <c r="B877" s="1">
        <f>DATE(2011,7,29) + TIME(15,13,51)</f>
        <v>40753.634618055556</v>
      </c>
      <c r="C877">
        <v>80</v>
      </c>
      <c r="D877">
        <v>79.945098877000007</v>
      </c>
      <c r="E877">
        <v>50</v>
      </c>
      <c r="F877">
        <v>41.948844909999998</v>
      </c>
      <c r="G877">
        <v>1389.8311768000001</v>
      </c>
      <c r="H877">
        <v>1374.3640137</v>
      </c>
      <c r="I877">
        <v>1276.237793</v>
      </c>
      <c r="J877">
        <v>1252.6627197</v>
      </c>
      <c r="K877">
        <v>2750</v>
      </c>
      <c r="L877">
        <v>0</v>
      </c>
      <c r="M877">
        <v>0</v>
      </c>
      <c r="N877">
        <v>2750</v>
      </c>
    </row>
    <row r="878" spans="1:14" x14ac:dyDescent="0.25">
      <c r="A878">
        <v>455.95647100000002</v>
      </c>
      <c r="B878" s="1">
        <f>DATE(2011,7,30) + TIME(22,57,19)</f>
        <v>40754.956469907411</v>
      </c>
      <c r="C878">
        <v>80</v>
      </c>
      <c r="D878">
        <v>79.945152282999999</v>
      </c>
      <c r="E878">
        <v>50</v>
      </c>
      <c r="F878">
        <v>41.828464508000003</v>
      </c>
      <c r="G878">
        <v>1389.7586670000001</v>
      </c>
      <c r="H878">
        <v>1374.2990723</v>
      </c>
      <c r="I878">
        <v>1276.1123047000001</v>
      </c>
      <c r="J878">
        <v>1252.4709473</v>
      </c>
      <c r="K878">
        <v>2750</v>
      </c>
      <c r="L878">
        <v>0</v>
      </c>
      <c r="M878">
        <v>0</v>
      </c>
      <c r="N878">
        <v>2750</v>
      </c>
    </row>
    <row r="879" spans="1:14" x14ac:dyDescent="0.25">
      <c r="A879">
        <v>457</v>
      </c>
      <c r="B879" s="1">
        <f>DATE(2011,8,1) + TIME(0,0,0)</f>
        <v>40756</v>
      </c>
      <c r="C879">
        <v>80</v>
      </c>
      <c r="D879">
        <v>79.945182799999998</v>
      </c>
      <c r="E879">
        <v>50</v>
      </c>
      <c r="F879">
        <v>41.717121124000002</v>
      </c>
      <c r="G879">
        <v>1389.6857910000001</v>
      </c>
      <c r="H879">
        <v>1374.2338867000001</v>
      </c>
      <c r="I879">
        <v>1275.9841309000001</v>
      </c>
      <c r="J879">
        <v>1252.2792969</v>
      </c>
      <c r="K879">
        <v>2750</v>
      </c>
      <c r="L879">
        <v>0</v>
      </c>
      <c r="M879">
        <v>0</v>
      </c>
      <c r="N879">
        <v>2750</v>
      </c>
    </row>
    <row r="880" spans="1:14" x14ac:dyDescent="0.25">
      <c r="A880">
        <v>458.32937800000002</v>
      </c>
      <c r="B880" s="1">
        <f>DATE(2011,8,2) + TIME(7,54,18)</f>
        <v>40757.329375000001</v>
      </c>
      <c r="C880">
        <v>80</v>
      </c>
      <c r="D880">
        <v>79.945243834999999</v>
      </c>
      <c r="E880">
        <v>50</v>
      </c>
      <c r="F880">
        <v>41.602428435999997</v>
      </c>
      <c r="G880">
        <v>1389.6290283000001</v>
      </c>
      <c r="H880">
        <v>1374.1829834</v>
      </c>
      <c r="I880">
        <v>1275.8795166</v>
      </c>
      <c r="J880">
        <v>1252.1108397999999</v>
      </c>
      <c r="K880">
        <v>2750</v>
      </c>
      <c r="L880">
        <v>0</v>
      </c>
      <c r="M880">
        <v>0</v>
      </c>
      <c r="N880">
        <v>2750</v>
      </c>
    </row>
    <row r="881" spans="1:14" x14ac:dyDescent="0.25">
      <c r="A881">
        <v>459.67352699999998</v>
      </c>
      <c r="B881" s="1">
        <f>DATE(2011,8,3) + TIME(16,9,52)</f>
        <v>40758.673518518517</v>
      </c>
      <c r="C881">
        <v>80</v>
      </c>
      <c r="D881">
        <v>79.945297241000006</v>
      </c>
      <c r="E881">
        <v>50</v>
      </c>
      <c r="F881">
        <v>41.479827880999999</v>
      </c>
      <c r="G881">
        <v>1389.5574951000001</v>
      </c>
      <c r="H881">
        <v>1374.1187743999999</v>
      </c>
      <c r="I881">
        <v>1275.7481689000001</v>
      </c>
      <c r="J881">
        <v>1251.9091797000001</v>
      </c>
      <c r="K881">
        <v>2750</v>
      </c>
      <c r="L881">
        <v>0</v>
      </c>
      <c r="M881">
        <v>0</v>
      </c>
      <c r="N881">
        <v>2750</v>
      </c>
    </row>
    <row r="882" spans="1:14" x14ac:dyDescent="0.25">
      <c r="A882">
        <v>461.029966</v>
      </c>
      <c r="B882" s="1">
        <f>DATE(2011,8,5) + TIME(0,43,9)</f>
        <v>40760.029965277776</v>
      </c>
      <c r="C882">
        <v>80</v>
      </c>
      <c r="D882">
        <v>79.945350646999998</v>
      </c>
      <c r="E882">
        <v>50</v>
      </c>
      <c r="F882">
        <v>41.352737427000001</v>
      </c>
      <c r="G882">
        <v>1389.4857178</v>
      </c>
      <c r="H882">
        <v>1374.0543213000001</v>
      </c>
      <c r="I882">
        <v>1275.6131591999999</v>
      </c>
      <c r="J882">
        <v>1251.7001952999999</v>
      </c>
      <c r="K882">
        <v>2750</v>
      </c>
      <c r="L882">
        <v>0</v>
      </c>
      <c r="M882">
        <v>0</v>
      </c>
      <c r="N882">
        <v>2750</v>
      </c>
    </row>
    <row r="883" spans="1:14" x14ac:dyDescent="0.25">
      <c r="A883">
        <v>462.401928</v>
      </c>
      <c r="B883" s="1">
        <f>DATE(2011,8,6) + TIME(9,38,46)</f>
        <v>40761.401921296296</v>
      </c>
      <c r="C883">
        <v>80</v>
      </c>
      <c r="D883">
        <v>79.945404053000004</v>
      </c>
      <c r="E883">
        <v>50</v>
      </c>
      <c r="F883">
        <v>41.222373961999999</v>
      </c>
      <c r="G883">
        <v>1389.4140625</v>
      </c>
      <c r="H883">
        <v>1373.9899902</v>
      </c>
      <c r="I883">
        <v>1275.4752197</v>
      </c>
      <c r="J883">
        <v>1251.4853516000001</v>
      </c>
      <c r="K883">
        <v>2750</v>
      </c>
      <c r="L883">
        <v>0</v>
      </c>
      <c r="M883">
        <v>0</v>
      </c>
      <c r="N883">
        <v>2750</v>
      </c>
    </row>
    <row r="884" spans="1:14" x14ac:dyDescent="0.25">
      <c r="A884">
        <v>463.78922799999998</v>
      </c>
      <c r="B884" s="1">
        <f>DATE(2011,8,7) + TIME(18,56,29)</f>
        <v>40762.789224537039</v>
      </c>
      <c r="C884">
        <v>80</v>
      </c>
      <c r="D884">
        <v>79.945457458000007</v>
      </c>
      <c r="E884">
        <v>50</v>
      </c>
      <c r="F884">
        <v>41.089118958</v>
      </c>
      <c r="G884">
        <v>1389.3422852000001</v>
      </c>
      <c r="H884">
        <v>1373.9254149999999</v>
      </c>
      <c r="I884">
        <v>1275.3342285000001</v>
      </c>
      <c r="J884">
        <v>1251.2646483999999</v>
      </c>
      <c r="K884">
        <v>2750</v>
      </c>
      <c r="L884">
        <v>0</v>
      </c>
      <c r="M884">
        <v>0</v>
      </c>
      <c r="N884">
        <v>2750</v>
      </c>
    </row>
    <row r="885" spans="1:14" x14ac:dyDescent="0.25">
      <c r="A885">
        <v>465.19135599999998</v>
      </c>
      <c r="B885" s="1">
        <f>DATE(2011,8,9) + TIME(4,35,33)</f>
        <v>40764.191354166665</v>
      </c>
      <c r="C885">
        <v>80</v>
      </c>
      <c r="D885">
        <v>79.945518493999998</v>
      </c>
      <c r="E885">
        <v>50</v>
      </c>
      <c r="F885">
        <v>40.953132629000002</v>
      </c>
      <c r="G885">
        <v>1389.2705077999999</v>
      </c>
      <c r="H885">
        <v>1373.8608397999999</v>
      </c>
      <c r="I885">
        <v>1275.1903076000001</v>
      </c>
      <c r="J885">
        <v>1251.0383300999999</v>
      </c>
      <c r="K885">
        <v>2750</v>
      </c>
      <c r="L885">
        <v>0</v>
      </c>
      <c r="M885">
        <v>0</v>
      </c>
      <c r="N885">
        <v>2750</v>
      </c>
    </row>
    <row r="886" spans="1:14" x14ac:dyDescent="0.25">
      <c r="A886">
        <v>466.611625</v>
      </c>
      <c r="B886" s="1">
        <f>DATE(2011,8,10) + TIME(14,40,44)</f>
        <v>40765.611620370371</v>
      </c>
      <c r="C886">
        <v>80</v>
      </c>
      <c r="D886">
        <v>79.945571899000001</v>
      </c>
      <c r="E886">
        <v>50</v>
      </c>
      <c r="F886">
        <v>40.814384459999999</v>
      </c>
      <c r="G886">
        <v>1389.1986084</v>
      </c>
      <c r="H886">
        <v>1373.7960204999999</v>
      </c>
      <c r="I886">
        <v>1275.043457</v>
      </c>
      <c r="J886">
        <v>1250.8062743999999</v>
      </c>
      <c r="K886">
        <v>2750</v>
      </c>
      <c r="L886">
        <v>0</v>
      </c>
      <c r="M886">
        <v>0</v>
      </c>
      <c r="N886">
        <v>2750</v>
      </c>
    </row>
    <row r="887" spans="1:14" x14ac:dyDescent="0.25">
      <c r="A887">
        <v>468.05219399999999</v>
      </c>
      <c r="B887" s="1">
        <f>DATE(2011,8,12) + TIME(1,15,9)</f>
        <v>40767.052187499998</v>
      </c>
      <c r="C887">
        <v>80</v>
      </c>
      <c r="D887">
        <v>79.945632935000006</v>
      </c>
      <c r="E887">
        <v>50</v>
      </c>
      <c r="F887">
        <v>40.672706603999998</v>
      </c>
      <c r="G887">
        <v>1389.1264647999999</v>
      </c>
      <c r="H887">
        <v>1373.7310791</v>
      </c>
      <c r="I887">
        <v>1274.8934326000001</v>
      </c>
      <c r="J887">
        <v>1250.5681152</v>
      </c>
      <c r="K887">
        <v>2750</v>
      </c>
      <c r="L887">
        <v>0</v>
      </c>
      <c r="M887">
        <v>0</v>
      </c>
      <c r="N887">
        <v>2750</v>
      </c>
    </row>
    <row r="888" spans="1:14" x14ac:dyDescent="0.25">
      <c r="A888">
        <v>469.50307700000002</v>
      </c>
      <c r="B888" s="1">
        <f>DATE(2011,8,13) + TIME(12,4,25)</f>
        <v>40768.503067129626</v>
      </c>
      <c r="C888">
        <v>80</v>
      </c>
      <c r="D888">
        <v>79.945686339999995</v>
      </c>
      <c r="E888">
        <v>50</v>
      </c>
      <c r="F888">
        <v>40.528388976999999</v>
      </c>
      <c r="G888">
        <v>1389.0540771000001</v>
      </c>
      <c r="H888">
        <v>1373.6656493999999</v>
      </c>
      <c r="I888">
        <v>1274.7401123</v>
      </c>
      <c r="J888">
        <v>1250.3237305</v>
      </c>
      <c r="K888">
        <v>2750</v>
      </c>
      <c r="L888">
        <v>0</v>
      </c>
      <c r="M888">
        <v>0</v>
      </c>
      <c r="N888">
        <v>2750</v>
      </c>
    </row>
    <row r="889" spans="1:14" x14ac:dyDescent="0.25">
      <c r="A889">
        <v>470.96393399999999</v>
      </c>
      <c r="B889" s="1">
        <f>DATE(2011,8,14) + TIME(23,8,3)</f>
        <v>40769.963923611111</v>
      </c>
      <c r="C889">
        <v>80</v>
      </c>
      <c r="D889">
        <v>79.945747374999996</v>
      </c>
      <c r="E889">
        <v>50</v>
      </c>
      <c r="F889">
        <v>40.381874084000003</v>
      </c>
      <c r="G889">
        <v>1388.9818115</v>
      </c>
      <c r="H889">
        <v>1373.6003418</v>
      </c>
      <c r="I889">
        <v>1274.5844727000001</v>
      </c>
      <c r="J889">
        <v>1250.0745850000001</v>
      </c>
      <c r="K889">
        <v>2750</v>
      </c>
      <c r="L889">
        <v>0</v>
      </c>
      <c r="M889">
        <v>0</v>
      </c>
      <c r="N889">
        <v>2750</v>
      </c>
    </row>
    <row r="890" spans="1:14" x14ac:dyDescent="0.25">
      <c r="A890">
        <v>472.43812500000001</v>
      </c>
      <c r="B890" s="1">
        <f>DATE(2011,8,16) + TIME(10,30,53)</f>
        <v>40771.438113425924</v>
      </c>
      <c r="C890">
        <v>80</v>
      </c>
      <c r="D890">
        <v>79.945808411000002</v>
      </c>
      <c r="E890">
        <v>50</v>
      </c>
      <c r="F890">
        <v>40.233219147</v>
      </c>
      <c r="G890">
        <v>1388.909668</v>
      </c>
      <c r="H890">
        <v>1373.5351562000001</v>
      </c>
      <c r="I890">
        <v>1274.4267577999999</v>
      </c>
      <c r="J890">
        <v>1249.8208007999999</v>
      </c>
      <c r="K890">
        <v>2750</v>
      </c>
      <c r="L890">
        <v>0</v>
      </c>
      <c r="M890">
        <v>0</v>
      </c>
      <c r="N890">
        <v>2750</v>
      </c>
    </row>
    <row r="891" spans="1:14" x14ac:dyDescent="0.25">
      <c r="A891">
        <v>473.924421</v>
      </c>
      <c r="B891" s="1">
        <f>DATE(2011,8,17) + TIME(22,11,9)</f>
        <v>40772.924409722225</v>
      </c>
      <c r="C891">
        <v>80</v>
      </c>
      <c r="D891">
        <v>79.945869446000003</v>
      </c>
      <c r="E891">
        <v>50</v>
      </c>
      <c r="F891">
        <v>40.082435607999997</v>
      </c>
      <c r="G891">
        <v>1388.8375243999999</v>
      </c>
      <c r="H891">
        <v>1373.4699707</v>
      </c>
      <c r="I891">
        <v>1274.2667236</v>
      </c>
      <c r="J891">
        <v>1249.5620117000001</v>
      </c>
      <c r="K891">
        <v>2750</v>
      </c>
      <c r="L891">
        <v>0</v>
      </c>
      <c r="M891">
        <v>0</v>
      </c>
      <c r="N891">
        <v>2750</v>
      </c>
    </row>
    <row r="892" spans="1:14" x14ac:dyDescent="0.25">
      <c r="A892">
        <v>475.42450000000002</v>
      </c>
      <c r="B892" s="1">
        <f>DATE(2011,8,19) + TIME(10,11,16)</f>
        <v>40774.424490740741</v>
      </c>
      <c r="C892">
        <v>80</v>
      </c>
      <c r="D892">
        <v>79.945930481000005</v>
      </c>
      <c r="E892">
        <v>50</v>
      </c>
      <c r="F892">
        <v>39.929569244</v>
      </c>
      <c r="G892">
        <v>1388.7655029</v>
      </c>
      <c r="H892">
        <v>1373.4046631000001</v>
      </c>
      <c r="I892">
        <v>1274.1046143000001</v>
      </c>
      <c r="J892">
        <v>1249.2987060999999</v>
      </c>
      <c r="K892">
        <v>2750</v>
      </c>
      <c r="L892">
        <v>0</v>
      </c>
      <c r="M892">
        <v>0</v>
      </c>
      <c r="N892">
        <v>2750</v>
      </c>
    </row>
    <row r="893" spans="1:14" x14ac:dyDescent="0.25">
      <c r="A893">
        <v>476.93900000000002</v>
      </c>
      <c r="B893" s="1">
        <f>DATE(2011,8,20) + TIME(22,32,9)</f>
        <v>40775.938993055555</v>
      </c>
      <c r="C893">
        <v>80</v>
      </c>
      <c r="D893">
        <v>79.945991516000007</v>
      </c>
      <c r="E893">
        <v>50</v>
      </c>
      <c r="F893">
        <v>39.774623871000003</v>
      </c>
      <c r="G893">
        <v>1388.6933594</v>
      </c>
      <c r="H893">
        <v>1373.3393555</v>
      </c>
      <c r="I893">
        <v>1273.9404297000001</v>
      </c>
      <c r="J893">
        <v>1249.0305175999999</v>
      </c>
      <c r="K893">
        <v>2750</v>
      </c>
      <c r="L893">
        <v>0</v>
      </c>
      <c r="M893">
        <v>0</v>
      </c>
      <c r="N893">
        <v>2750</v>
      </c>
    </row>
    <row r="894" spans="1:14" x14ac:dyDescent="0.25">
      <c r="A894">
        <v>478.46435500000001</v>
      </c>
      <c r="B894" s="1">
        <f>DATE(2011,8,22) + TIME(11,8,40)</f>
        <v>40777.46435185185</v>
      </c>
      <c r="C894">
        <v>80</v>
      </c>
      <c r="D894">
        <v>79.946052550999994</v>
      </c>
      <c r="E894">
        <v>50</v>
      </c>
      <c r="F894">
        <v>39.617740630999997</v>
      </c>
      <c r="G894">
        <v>1388.6212158000001</v>
      </c>
      <c r="H894">
        <v>1373.2738036999999</v>
      </c>
      <c r="I894">
        <v>1273.7741699000001</v>
      </c>
      <c r="J894">
        <v>1248.7579346</v>
      </c>
      <c r="K894">
        <v>2750</v>
      </c>
      <c r="L894">
        <v>0</v>
      </c>
      <c r="M894">
        <v>0</v>
      </c>
      <c r="N894">
        <v>2750</v>
      </c>
    </row>
    <row r="895" spans="1:14" x14ac:dyDescent="0.25">
      <c r="A895">
        <v>480.00603599999999</v>
      </c>
      <c r="B895" s="1">
        <f>DATE(2011,8,24) + TIME(0,8,41)</f>
        <v>40779.006030092591</v>
      </c>
      <c r="C895">
        <v>80</v>
      </c>
      <c r="D895">
        <v>79.946113585999996</v>
      </c>
      <c r="E895">
        <v>50</v>
      </c>
      <c r="F895">
        <v>39.458995819000002</v>
      </c>
      <c r="G895">
        <v>1388.5491943</v>
      </c>
      <c r="H895">
        <v>1373.208374</v>
      </c>
      <c r="I895">
        <v>1273.6064452999999</v>
      </c>
      <c r="J895">
        <v>1248.4812012</v>
      </c>
      <c r="K895">
        <v>2750</v>
      </c>
      <c r="L895">
        <v>0</v>
      </c>
      <c r="M895">
        <v>0</v>
      </c>
      <c r="N895">
        <v>2750</v>
      </c>
    </row>
    <row r="896" spans="1:14" x14ac:dyDescent="0.25">
      <c r="A896">
        <v>481.56764800000002</v>
      </c>
      <c r="B896" s="1">
        <f>DATE(2011,8,25) + TIME(13,37,24)</f>
        <v>40780.56763888889</v>
      </c>
      <c r="C896">
        <v>80</v>
      </c>
      <c r="D896">
        <v>79.946182250999996</v>
      </c>
      <c r="E896">
        <v>50</v>
      </c>
      <c r="F896">
        <v>39.298210144000002</v>
      </c>
      <c r="G896">
        <v>1388.4768065999999</v>
      </c>
      <c r="H896">
        <v>1373.1427002</v>
      </c>
      <c r="I896">
        <v>1273.4368896000001</v>
      </c>
      <c r="J896">
        <v>1248.1999512</v>
      </c>
      <c r="K896">
        <v>2750</v>
      </c>
      <c r="L896">
        <v>0</v>
      </c>
      <c r="M896">
        <v>0</v>
      </c>
      <c r="N896">
        <v>2750</v>
      </c>
    </row>
    <row r="897" spans="1:14" x14ac:dyDescent="0.25">
      <c r="A897">
        <v>483.14226200000002</v>
      </c>
      <c r="B897" s="1">
        <f>DATE(2011,8,27) + TIME(3,24,51)</f>
        <v>40782.142256944448</v>
      </c>
      <c r="C897">
        <v>80</v>
      </c>
      <c r="D897">
        <v>79.946243285999998</v>
      </c>
      <c r="E897">
        <v>50</v>
      </c>
      <c r="F897">
        <v>39.135559082</v>
      </c>
      <c r="G897">
        <v>1388.4042969</v>
      </c>
      <c r="H897">
        <v>1373.0765381000001</v>
      </c>
      <c r="I897">
        <v>1273.2652588000001</v>
      </c>
      <c r="J897">
        <v>1247.9140625</v>
      </c>
      <c r="K897">
        <v>2750</v>
      </c>
      <c r="L897">
        <v>0</v>
      </c>
      <c r="M897">
        <v>0</v>
      </c>
      <c r="N897">
        <v>2750</v>
      </c>
    </row>
    <row r="898" spans="1:14" x14ac:dyDescent="0.25">
      <c r="A898">
        <v>484.724672</v>
      </c>
      <c r="B898" s="1">
        <f>DATE(2011,8,28) + TIME(17,23,31)</f>
        <v>40783.724664351852</v>
      </c>
      <c r="C898">
        <v>80</v>
      </c>
      <c r="D898">
        <v>79.946311950999998</v>
      </c>
      <c r="E898">
        <v>50</v>
      </c>
      <c r="F898">
        <v>38.971656799000002</v>
      </c>
      <c r="G898">
        <v>1388.331543</v>
      </c>
      <c r="H898">
        <v>1373.010376</v>
      </c>
      <c r="I898">
        <v>1273.0925293</v>
      </c>
      <c r="J898">
        <v>1247.6247559000001</v>
      </c>
      <c r="K898">
        <v>2750</v>
      </c>
      <c r="L898">
        <v>0</v>
      </c>
      <c r="M898">
        <v>0</v>
      </c>
      <c r="N898">
        <v>2750</v>
      </c>
    </row>
    <row r="899" spans="1:14" x14ac:dyDescent="0.25">
      <c r="A899">
        <v>486.31964900000003</v>
      </c>
      <c r="B899" s="1">
        <f>DATE(2011,8,30) + TIME(7,40,17)</f>
        <v>40785.319641203707</v>
      </c>
      <c r="C899">
        <v>80</v>
      </c>
      <c r="D899">
        <v>79.946372986</v>
      </c>
      <c r="E899">
        <v>50</v>
      </c>
      <c r="F899">
        <v>38.806911468999999</v>
      </c>
      <c r="G899">
        <v>1388.2590332</v>
      </c>
      <c r="H899">
        <v>1372.9442139</v>
      </c>
      <c r="I899">
        <v>1272.9194336</v>
      </c>
      <c r="J899">
        <v>1247.3332519999999</v>
      </c>
      <c r="K899">
        <v>2750</v>
      </c>
      <c r="L899">
        <v>0</v>
      </c>
      <c r="M899">
        <v>0</v>
      </c>
      <c r="N899">
        <v>2750</v>
      </c>
    </row>
    <row r="900" spans="1:14" x14ac:dyDescent="0.25">
      <c r="A900">
        <v>487.15982400000001</v>
      </c>
      <c r="B900" s="1">
        <f>DATE(2011,8,31) + TIME(3,50,8)</f>
        <v>40786.159814814811</v>
      </c>
      <c r="C900">
        <v>80</v>
      </c>
      <c r="D900">
        <v>79.946403502999999</v>
      </c>
      <c r="E900">
        <v>50</v>
      </c>
      <c r="F900">
        <v>38.679267883000001</v>
      </c>
      <c r="G900">
        <v>1388.1864014</v>
      </c>
      <c r="H900">
        <v>1372.8779297000001</v>
      </c>
      <c r="I900">
        <v>1272.7493896000001</v>
      </c>
      <c r="J900">
        <v>1247.0638428</v>
      </c>
      <c r="K900">
        <v>2750</v>
      </c>
      <c r="L900">
        <v>0</v>
      </c>
      <c r="M900">
        <v>0</v>
      </c>
      <c r="N900">
        <v>2750</v>
      </c>
    </row>
    <row r="901" spans="1:14" x14ac:dyDescent="0.25">
      <c r="A901">
        <v>488</v>
      </c>
      <c r="B901" s="1">
        <f>DATE(2011,9,1) + TIME(0,0,0)</f>
        <v>40787</v>
      </c>
      <c r="C901">
        <v>80</v>
      </c>
      <c r="D901">
        <v>79.946434021000002</v>
      </c>
      <c r="E901">
        <v>50</v>
      </c>
      <c r="F901">
        <v>38.573047637999998</v>
      </c>
      <c r="G901">
        <v>1388.1479492000001</v>
      </c>
      <c r="H901">
        <v>1372.8426514</v>
      </c>
      <c r="I901">
        <v>1272.6534423999999</v>
      </c>
      <c r="J901">
        <v>1246.8909911999999</v>
      </c>
      <c r="K901">
        <v>2750</v>
      </c>
      <c r="L901">
        <v>0</v>
      </c>
      <c r="M901">
        <v>0</v>
      </c>
      <c r="N901">
        <v>2750</v>
      </c>
    </row>
    <row r="902" spans="1:14" x14ac:dyDescent="0.25">
      <c r="A902">
        <v>488.815112</v>
      </c>
      <c r="B902" s="1">
        <f>DATE(2011,9,1) + TIME(19,33,45)</f>
        <v>40787.815104166664</v>
      </c>
      <c r="C902">
        <v>80</v>
      </c>
      <c r="D902">
        <v>79.946472168</v>
      </c>
      <c r="E902">
        <v>50</v>
      </c>
      <c r="F902">
        <v>38.478641510000003</v>
      </c>
      <c r="G902">
        <v>1388.1099853999999</v>
      </c>
      <c r="H902">
        <v>1372.8079834</v>
      </c>
      <c r="I902">
        <v>1272.5609131000001</v>
      </c>
      <c r="J902">
        <v>1246.7290039</v>
      </c>
      <c r="K902">
        <v>2750</v>
      </c>
      <c r="L902">
        <v>0</v>
      </c>
      <c r="M902">
        <v>0</v>
      </c>
      <c r="N902">
        <v>2750</v>
      </c>
    </row>
    <row r="903" spans="1:14" x14ac:dyDescent="0.25">
      <c r="A903">
        <v>489.630224</v>
      </c>
      <c r="B903" s="1">
        <f>DATE(2011,9,2) + TIME(15,7,31)</f>
        <v>40788.630219907405</v>
      </c>
      <c r="C903">
        <v>80</v>
      </c>
      <c r="D903">
        <v>79.946502686000002</v>
      </c>
      <c r="E903">
        <v>50</v>
      </c>
      <c r="F903">
        <v>38.389961243000002</v>
      </c>
      <c r="G903">
        <v>1388.0733643000001</v>
      </c>
      <c r="H903">
        <v>1372.7744141000001</v>
      </c>
      <c r="I903">
        <v>1272.4724120999999</v>
      </c>
      <c r="J903">
        <v>1246.5748291</v>
      </c>
      <c r="K903">
        <v>2750</v>
      </c>
      <c r="L903">
        <v>0</v>
      </c>
      <c r="M903">
        <v>0</v>
      </c>
      <c r="N903">
        <v>2750</v>
      </c>
    </row>
    <row r="904" spans="1:14" x14ac:dyDescent="0.25">
      <c r="A904">
        <v>490.445336</v>
      </c>
      <c r="B904" s="1">
        <f>DATE(2011,9,3) + TIME(10,41,16)</f>
        <v>40789.445324074077</v>
      </c>
      <c r="C904">
        <v>80</v>
      </c>
      <c r="D904">
        <v>79.946533203000001</v>
      </c>
      <c r="E904">
        <v>50</v>
      </c>
      <c r="F904">
        <v>38.304294585999997</v>
      </c>
      <c r="G904">
        <v>1388.0368652</v>
      </c>
      <c r="H904">
        <v>1372.7409668</v>
      </c>
      <c r="I904">
        <v>1272.3850098</v>
      </c>
      <c r="J904">
        <v>1246.4233397999999</v>
      </c>
      <c r="K904">
        <v>2750</v>
      </c>
      <c r="L904">
        <v>0</v>
      </c>
      <c r="M904">
        <v>0</v>
      </c>
      <c r="N904">
        <v>2750</v>
      </c>
    </row>
    <row r="905" spans="1:14" x14ac:dyDescent="0.25">
      <c r="A905">
        <v>492.075559</v>
      </c>
      <c r="B905" s="1">
        <f>DATE(2011,9,5) + TIME(1,48,48)</f>
        <v>40791.075555555559</v>
      </c>
      <c r="C905">
        <v>80</v>
      </c>
      <c r="D905">
        <v>79.946609496999997</v>
      </c>
      <c r="E905">
        <v>50</v>
      </c>
      <c r="F905">
        <v>38.193431854000004</v>
      </c>
      <c r="G905">
        <v>1388.0008545000001</v>
      </c>
      <c r="H905">
        <v>1372.7080077999999</v>
      </c>
      <c r="I905">
        <v>1272.2958983999999</v>
      </c>
      <c r="J905">
        <v>1246.2553711</v>
      </c>
      <c r="K905">
        <v>2750</v>
      </c>
      <c r="L905">
        <v>0</v>
      </c>
      <c r="M905">
        <v>0</v>
      </c>
      <c r="N905">
        <v>2750</v>
      </c>
    </row>
    <row r="906" spans="1:14" x14ac:dyDescent="0.25">
      <c r="A906">
        <v>493.70811800000001</v>
      </c>
      <c r="B906" s="1">
        <f>DATE(2011,9,6) + TIME(16,59,41)</f>
        <v>40792.708113425928</v>
      </c>
      <c r="C906">
        <v>80</v>
      </c>
      <c r="D906">
        <v>79.946678161999998</v>
      </c>
      <c r="E906">
        <v>50</v>
      </c>
      <c r="F906">
        <v>38.046890259000001</v>
      </c>
      <c r="G906">
        <v>1387.9287108999999</v>
      </c>
      <c r="H906">
        <v>1372.6419678</v>
      </c>
      <c r="I906">
        <v>1272.1298827999999</v>
      </c>
      <c r="J906">
        <v>1245.9770507999999</v>
      </c>
      <c r="K906">
        <v>2750</v>
      </c>
      <c r="L906">
        <v>0</v>
      </c>
      <c r="M906">
        <v>0</v>
      </c>
      <c r="N906">
        <v>2750</v>
      </c>
    </row>
    <row r="907" spans="1:14" x14ac:dyDescent="0.25">
      <c r="A907">
        <v>495.34412600000002</v>
      </c>
      <c r="B907" s="1">
        <f>DATE(2011,9,8) + TIME(8,15,32)</f>
        <v>40794.34412037037</v>
      </c>
      <c r="C907">
        <v>80</v>
      </c>
      <c r="D907">
        <v>79.946746825999995</v>
      </c>
      <c r="E907">
        <v>50</v>
      </c>
      <c r="F907">
        <v>37.890434265000003</v>
      </c>
      <c r="G907">
        <v>1387.8566894999999</v>
      </c>
      <c r="H907">
        <v>1372.5759277</v>
      </c>
      <c r="I907">
        <v>1271.9617920000001</v>
      </c>
      <c r="J907">
        <v>1245.6872559000001</v>
      </c>
      <c r="K907">
        <v>2750</v>
      </c>
      <c r="L907">
        <v>0</v>
      </c>
      <c r="M907">
        <v>0</v>
      </c>
      <c r="N907">
        <v>2750</v>
      </c>
    </row>
    <row r="908" spans="1:14" x14ac:dyDescent="0.25">
      <c r="A908">
        <v>496.99111099999999</v>
      </c>
      <c r="B908" s="1">
        <f>DATE(2011,9,9) + TIME(23,47,11)</f>
        <v>40795.991099537037</v>
      </c>
      <c r="C908">
        <v>80</v>
      </c>
      <c r="D908">
        <v>79.946815490999995</v>
      </c>
      <c r="E908">
        <v>50</v>
      </c>
      <c r="F908">
        <v>37.732353209999999</v>
      </c>
      <c r="G908">
        <v>1387.7849120999999</v>
      </c>
      <c r="H908">
        <v>1372.5100098</v>
      </c>
      <c r="I908">
        <v>1271.7944336</v>
      </c>
      <c r="J908">
        <v>1245.3953856999999</v>
      </c>
      <c r="K908">
        <v>2750</v>
      </c>
      <c r="L908">
        <v>0</v>
      </c>
      <c r="M908">
        <v>0</v>
      </c>
      <c r="N908">
        <v>2750</v>
      </c>
    </row>
    <row r="909" spans="1:14" x14ac:dyDescent="0.25">
      <c r="A909">
        <v>498.66046699999998</v>
      </c>
      <c r="B909" s="1">
        <f>DATE(2011,9,11) + TIME(15,51,4)</f>
        <v>40797.660462962966</v>
      </c>
      <c r="C909">
        <v>80</v>
      </c>
      <c r="D909">
        <v>79.946884155000006</v>
      </c>
      <c r="E909">
        <v>50</v>
      </c>
      <c r="F909">
        <v>37.575092316000003</v>
      </c>
      <c r="G909">
        <v>1387.7130127</v>
      </c>
      <c r="H909">
        <v>1372.4439697</v>
      </c>
      <c r="I909">
        <v>1271.6285399999999</v>
      </c>
      <c r="J909">
        <v>1245.1033935999999</v>
      </c>
      <c r="K909">
        <v>2750</v>
      </c>
      <c r="L909">
        <v>0</v>
      </c>
      <c r="M909">
        <v>0</v>
      </c>
      <c r="N909">
        <v>2750</v>
      </c>
    </row>
    <row r="910" spans="1:14" x14ac:dyDescent="0.25">
      <c r="A910">
        <v>500.35634099999999</v>
      </c>
      <c r="B910" s="1">
        <f>DATE(2011,9,13) + TIME(8,33,7)</f>
        <v>40799.35633101852</v>
      </c>
      <c r="C910">
        <v>80</v>
      </c>
      <c r="D910">
        <v>79.946952820000007</v>
      </c>
      <c r="E910">
        <v>50</v>
      </c>
      <c r="F910">
        <v>37.419403076000002</v>
      </c>
      <c r="G910">
        <v>1387.640625</v>
      </c>
      <c r="H910">
        <v>1372.3773193</v>
      </c>
      <c r="I910">
        <v>1271.463501</v>
      </c>
      <c r="J910">
        <v>1244.8114014</v>
      </c>
      <c r="K910">
        <v>2750</v>
      </c>
      <c r="L910">
        <v>0</v>
      </c>
      <c r="M910">
        <v>0</v>
      </c>
      <c r="N910">
        <v>2750</v>
      </c>
    </row>
    <row r="911" spans="1:14" x14ac:dyDescent="0.25">
      <c r="A911">
        <v>502.07808699999998</v>
      </c>
      <c r="B911" s="1">
        <f>DATE(2011,9,15) + TIME(1,52,26)</f>
        <v>40801.0780787037</v>
      </c>
      <c r="C911">
        <v>80</v>
      </c>
      <c r="D911">
        <v>79.947029114000003</v>
      </c>
      <c r="E911">
        <v>50</v>
      </c>
      <c r="F911">
        <v>37.265968323000003</v>
      </c>
      <c r="G911">
        <v>1387.5673827999999</v>
      </c>
      <c r="H911">
        <v>1372.3099365</v>
      </c>
      <c r="I911">
        <v>1271.2995605000001</v>
      </c>
      <c r="J911">
        <v>1244.5196533000001</v>
      </c>
      <c r="K911">
        <v>2750</v>
      </c>
      <c r="L911">
        <v>0</v>
      </c>
      <c r="M911">
        <v>0</v>
      </c>
      <c r="N911">
        <v>2750</v>
      </c>
    </row>
    <row r="912" spans="1:14" x14ac:dyDescent="0.25">
      <c r="A912">
        <v>503.81193000000002</v>
      </c>
      <c r="B912" s="1">
        <f>DATE(2011,9,16) + TIME(19,29,10)</f>
        <v>40802.811921296299</v>
      </c>
      <c r="C912">
        <v>80</v>
      </c>
      <c r="D912">
        <v>79.947097778</v>
      </c>
      <c r="E912">
        <v>50</v>
      </c>
      <c r="F912">
        <v>37.116012572999999</v>
      </c>
      <c r="G912">
        <v>1387.4935303</v>
      </c>
      <c r="H912">
        <v>1372.2416992000001</v>
      </c>
      <c r="I912">
        <v>1271.1373291</v>
      </c>
      <c r="J912">
        <v>1244.2293701000001</v>
      </c>
      <c r="K912">
        <v>2750</v>
      </c>
      <c r="L912">
        <v>0</v>
      </c>
      <c r="M912">
        <v>0</v>
      </c>
      <c r="N912">
        <v>2750</v>
      </c>
    </row>
    <row r="913" spans="1:14" x14ac:dyDescent="0.25">
      <c r="A913">
        <v>504.68484000000001</v>
      </c>
      <c r="B913" s="1">
        <f>DATE(2011,9,17) + TIME(16,26,10)</f>
        <v>40803.684837962966</v>
      </c>
      <c r="C913">
        <v>80</v>
      </c>
      <c r="D913">
        <v>79.947128296000002</v>
      </c>
      <c r="E913">
        <v>50</v>
      </c>
      <c r="F913">
        <v>37.004730225000003</v>
      </c>
      <c r="G913">
        <v>1387.4193115</v>
      </c>
      <c r="H913">
        <v>1372.1733397999999</v>
      </c>
      <c r="I913">
        <v>1270.9837646000001</v>
      </c>
      <c r="J913">
        <v>1243.9703368999999</v>
      </c>
      <c r="K913">
        <v>2750</v>
      </c>
      <c r="L913">
        <v>0</v>
      </c>
      <c r="M913">
        <v>0</v>
      </c>
      <c r="N913">
        <v>2750</v>
      </c>
    </row>
    <row r="914" spans="1:14" x14ac:dyDescent="0.25">
      <c r="A914">
        <v>505.557749</v>
      </c>
      <c r="B914" s="1">
        <f>DATE(2011,9,18) + TIME(13,23,9)</f>
        <v>40804.557743055557</v>
      </c>
      <c r="C914">
        <v>80</v>
      </c>
      <c r="D914">
        <v>79.947158813000001</v>
      </c>
      <c r="E914">
        <v>50</v>
      </c>
      <c r="F914">
        <v>36.916568755999997</v>
      </c>
      <c r="G914">
        <v>1387.3815918</v>
      </c>
      <c r="H914">
        <v>1372.1384277</v>
      </c>
      <c r="I914">
        <v>1270.9003906</v>
      </c>
      <c r="J914">
        <v>1243.8104248</v>
      </c>
      <c r="K914">
        <v>2750</v>
      </c>
      <c r="L914">
        <v>0</v>
      </c>
      <c r="M914">
        <v>0</v>
      </c>
      <c r="N914">
        <v>2750</v>
      </c>
    </row>
    <row r="915" spans="1:14" x14ac:dyDescent="0.25">
      <c r="A915">
        <v>506.43065899999999</v>
      </c>
      <c r="B915" s="1">
        <f>DATE(2011,9,19) + TIME(10,20,8)</f>
        <v>40805.430648148147</v>
      </c>
      <c r="C915">
        <v>80</v>
      </c>
      <c r="D915">
        <v>79.947196959999999</v>
      </c>
      <c r="E915">
        <v>50</v>
      </c>
      <c r="F915">
        <v>36.840244292999998</v>
      </c>
      <c r="G915">
        <v>1387.3444824000001</v>
      </c>
      <c r="H915">
        <v>1372.104126</v>
      </c>
      <c r="I915">
        <v>1270.8216553</v>
      </c>
      <c r="J915">
        <v>1243.6633300999999</v>
      </c>
      <c r="K915">
        <v>2750</v>
      </c>
      <c r="L915">
        <v>0</v>
      </c>
      <c r="M915">
        <v>0</v>
      </c>
      <c r="N915">
        <v>2750</v>
      </c>
    </row>
    <row r="916" spans="1:14" x14ac:dyDescent="0.25">
      <c r="A916">
        <v>507.30356799999998</v>
      </c>
      <c r="B916" s="1">
        <f>DATE(2011,9,20) + TIME(7,17,8)</f>
        <v>40806.303564814814</v>
      </c>
      <c r="C916">
        <v>80</v>
      </c>
      <c r="D916">
        <v>79.947235106999997</v>
      </c>
      <c r="E916">
        <v>50</v>
      </c>
      <c r="F916">
        <v>36.770580291999998</v>
      </c>
      <c r="G916">
        <v>1387.3074951000001</v>
      </c>
      <c r="H916">
        <v>1372.0698242000001</v>
      </c>
      <c r="I916">
        <v>1270.7457274999999</v>
      </c>
      <c r="J916">
        <v>1243.5231934000001</v>
      </c>
      <c r="K916">
        <v>2750</v>
      </c>
      <c r="L916">
        <v>0</v>
      </c>
      <c r="M916">
        <v>0</v>
      </c>
      <c r="N916">
        <v>2750</v>
      </c>
    </row>
    <row r="917" spans="1:14" x14ac:dyDescent="0.25">
      <c r="A917">
        <v>508.17647799999997</v>
      </c>
      <c r="B917" s="1">
        <f>DATE(2011,9,21) + TIME(4,14,7)</f>
        <v>40807.176469907405</v>
      </c>
      <c r="C917">
        <v>80</v>
      </c>
      <c r="D917">
        <v>79.947265625</v>
      </c>
      <c r="E917">
        <v>50</v>
      </c>
      <c r="F917">
        <v>36.705230712999999</v>
      </c>
      <c r="G917">
        <v>1387.2706298999999</v>
      </c>
      <c r="H917">
        <v>1372.0356445</v>
      </c>
      <c r="I917">
        <v>1270.671875</v>
      </c>
      <c r="J917">
        <v>1243.3876952999999</v>
      </c>
      <c r="K917">
        <v>2750</v>
      </c>
      <c r="L917">
        <v>0</v>
      </c>
      <c r="M917">
        <v>0</v>
      </c>
      <c r="N917">
        <v>2750</v>
      </c>
    </row>
    <row r="918" spans="1:14" x14ac:dyDescent="0.25">
      <c r="A918">
        <v>509.04938800000002</v>
      </c>
      <c r="B918" s="1">
        <f>DATE(2011,9,22) + TIME(1,11,7)</f>
        <v>40808.049386574072</v>
      </c>
      <c r="C918">
        <v>80</v>
      </c>
      <c r="D918">
        <v>79.947303771999998</v>
      </c>
      <c r="E918">
        <v>50</v>
      </c>
      <c r="F918">
        <v>36.643157959</v>
      </c>
      <c r="G918">
        <v>1387.2337646000001</v>
      </c>
      <c r="H918">
        <v>1372.0014647999999</v>
      </c>
      <c r="I918">
        <v>1270.5997314000001</v>
      </c>
      <c r="J918">
        <v>1243.2554932</v>
      </c>
      <c r="K918">
        <v>2750</v>
      </c>
      <c r="L918">
        <v>0</v>
      </c>
      <c r="M918">
        <v>0</v>
      </c>
      <c r="N918">
        <v>2750</v>
      </c>
    </row>
    <row r="919" spans="1:14" x14ac:dyDescent="0.25">
      <c r="A919">
        <v>510.795207</v>
      </c>
      <c r="B919" s="1">
        <f>DATE(2011,9,23) + TIME(19,5,5)</f>
        <v>40809.79519675926</v>
      </c>
      <c r="C919">
        <v>80</v>
      </c>
      <c r="D919">
        <v>79.947387695000003</v>
      </c>
      <c r="E919">
        <v>50</v>
      </c>
      <c r="F919">
        <v>36.566040039000001</v>
      </c>
      <c r="G919">
        <v>1387.1972656</v>
      </c>
      <c r="H919">
        <v>1371.9677733999999</v>
      </c>
      <c r="I919">
        <v>1270.5252685999999</v>
      </c>
      <c r="J919">
        <v>1243.1099853999999</v>
      </c>
      <c r="K919">
        <v>2750</v>
      </c>
      <c r="L919">
        <v>0</v>
      </c>
      <c r="M919">
        <v>0</v>
      </c>
      <c r="N919">
        <v>2750</v>
      </c>
    </row>
    <row r="920" spans="1:14" x14ac:dyDescent="0.25">
      <c r="A920">
        <v>512.54336699999999</v>
      </c>
      <c r="B920" s="1">
        <f>DATE(2011,9,25) + TIME(13,2,26)</f>
        <v>40811.543356481481</v>
      </c>
      <c r="C920">
        <v>80</v>
      </c>
      <c r="D920">
        <v>79.947456360000004</v>
      </c>
      <c r="E920">
        <v>50</v>
      </c>
      <c r="F920">
        <v>36.467330933</v>
      </c>
      <c r="G920">
        <v>1387.1243896000001</v>
      </c>
      <c r="H920">
        <v>1371.9001464999999</v>
      </c>
      <c r="I920">
        <v>1270.3934326000001</v>
      </c>
      <c r="J920">
        <v>1242.8745117000001</v>
      </c>
      <c r="K920">
        <v>2750</v>
      </c>
      <c r="L920">
        <v>0</v>
      </c>
      <c r="M920">
        <v>0</v>
      </c>
      <c r="N920">
        <v>2750</v>
      </c>
    </row>
    <row r="921" spans="1:14" x14ac:dyDescent="0.25">
      <c r="A921">
        <v>514.31945599999995</v>
      </c>
      <c r="B921" s="1">
        <f>DATE(2011,9,27) + TIME(7,40,1)</f>
        <v>40813.319456018522</v>
      </c>
      <c r="C921">
        <v>80</v>
      </c>
      <c r="D921">
        <v>79.947532654</v>
      </c>
      <c r="E921">
        <v>50</v>
      </c>
      <c r="F921">
        <v>36.369171143000003</v>
      </c>
      <c r="G921">
        <v>1387.0513916</v>
      </c>
      <c r="H921">
        <v>1371.8323975000001</v>
      </c>
      <c r="I921">
        <v>1270.2629394999999</v>
      </c>
      <c r="J921">
        <v>1242.6364745999999</v>
      </c>
      <c r="K921">
        <v>2750</v>
      </c>
      <c r="L921">
        <v>0</v>
      </c>
      <c r="M921">
        <v>0</v>
      </c>
      <c r="N921">
        <v>2750</v>
      </c>
    </row>
    <row r="922" spans="1:14" x14ac:dyDescent="0.25">
      <c r="A922">
        <v>516.10666100000003</v>
      </c>
      <c r="B922" s="1">
        <f>DATE(2011,9,29) + TIME(2,33,35)</f>
        <v>40815.10665509259</v>
      </c>
      <c r="C922">
        <v>80</v>
      </c>
      <c r="D922">
        <v>79.947608947999996</v>
      </c>
      <c r="E922">
        <v>50</v>
      </c>
      <c r="F922">
        <v>36.278678894000002</v>
      </c>
      <c r="G922">
        <v>1386.9776611</v>
      </c>
      <c r="H922">
        <v>1371.7639160000001</v>
      </c>
      <c r="I922">
        <v>1270.1358643000001</v>
      </c>
      <c r="J922">
        <v>1242.4030762</v>
      </c>
      <c r="K922">
        <v>2750</v>
      </c>
      <c r="L922">
        <v>0</v>
      </c>
      <c r="M922">
        <v>0</v>
      </c>
      <c r="N922">
        <v>2750</v>
      </c>
    </row>
    <row r="923" spans="1:14" x14ac:dyDescent="0.25">
      <c r="A923">
        <v>517.90896299999997</v>
      </c>
      <c r="B923" s="1">
        <f>DATE(2011,9,30) + TIME(21,48,54)</f>
        <v>40816.908958333333</v>
      </c>
      <c r="C923">
        <v>80</v>
      </c>
      <c r="D923">
        <v>79.947677612000007</v>
      </c>
      <c r="E923">
        <v>50</v>
      </c>
      <c r="F923">
        <v>36.199096679999997</v>
      </c>
      <c r="G923">
        <v>1386.9036865</v>
      </c>
      <c r="H923">
        <v>1371.6951904</v>
      </c>
      <c r="I923">
        <v>1270.0141602000001</v>
      </c>
      <c r="J923">
        <v>1242.1791992000001</v>
      </c>
      <c r="K923">
        <v>2750</v>
      </c>
      <c r="L923">
        <v>0</v>
      </c>
      <c r="M923">
        <v>0</v>
      </c>
      <c r="N923">
        <v>2750</v>
      </c>
    </row>
    <row r="924" spans="1:14" x14ac:dyDescent="0.25">
      <c r="A924">
        <v>518</v>
      </c>
      <c r="B924" s="1">
        <f>DATE(2011,10,1) + TIME(0,0,0)</f>
        <v>40817</v>
      </c>
      <c r="C924">
        <v>80</v>
      </c>
      <c r="D924">
        <v>79.947677612000007</v>
      </c>
      <c r="E924">
        <v>50</v>
      </c>
      <c r="F924">
        <v>36.188812255999999</v>
      </c>
      <c r="G924">
        <v>1386.8382568</v>
      </c>
      <c r="H924">
        <v>1371.6346435999999</v>
      </c>
      <c r="I924">
        <v>1269.9282227000001</v>
      </c>
      <c r="J924">
        <v>1242.0458983999999</v>
      </c>
      <c r="K924">
        <v>2750</v>
      </c>
      <c r="L924">
        <v>0</v>
      </c>
      <c r="M924">
        <v>0</v>
      </c>
      <c r="N924">
        <v>2750</v>
      </c>
    </row>
    <row r="925" spans="1:14" x14ac:dyDescent="0.25">
      <c r="A925">
        <v>519.82415600000002</v>
      </c>
      <c r="B925" s="1">
        <f>DATE(2011,10,2) + TIME(19,46,47)</f>
        <v>40818.824155092596</v>
      </c>
      <c r="C925">
        <v>80</v>
      </c>
      <c r="D925">
        <v>79.947761536000002</v>
      </c>
      <c r="E925">
        <v>50</v>
      </c>
      <c r="F925">
        <v>36.127273559999999</v>
      </c>
      <c r="G925">
        <v>1386.8253173999999</v>
      </c>
      <c r="H925">
        <v>1371.6221923999999</v>
      </c>
      <c r="I925">
        <v>1269.8911132999999</v>
      </c>
      <c r="J925">
        <v>1241.9521483999999</v>
      </c>
      <c r="K925">
        <v>2750</v>
      </c>
      <c r="L925">
        <v>0</v>
      </c>
      <c r="M925">
        <v>0</v>
      </c>
      <c r="N925">
        <v>2750</v>
      </c>
    </row>
    <row r="926" spans="1:14" x14ac:dyDescent="0.25">
      <c r="A926">
        <v>521.67961500000001</v>
      </c>
      <c r="B926" s="1">
        <f>DATE(2011,10,4) + TIME(16,18,38)</f>
        <v>40820.679606481484</v>
      </c>
      <c r="C926">
        <v>80</v>
      </c>
      <c r="D926">
        <v>79.947837829999997</v>
      </c>
      <c r="E926">
        <v>50</v>
      </c>
      <c r="F926">
        <v>36.075847625999998</v>
      </c>
      <c r="G926">
        <v>1386.7510986</v>
      </c>
      <c r="H926">
        <v>1371.5531006000001</v>
      </c>
      <c r="I926">
        <v>1269.7828368999999</v>
      </c>
      <c r="J926">
        <v>1241.7539062000001</v>
      </c>
      <c r="K926">
        <v>2750</v>
      </c>
      <c r="L926">
        <v>0</v>
      </c>
      <c r="M926">
        <v>0</v>
      </c>
      <c r="N926">
        <v>2750</v>
      </c>
    </row>
    <row r="927" spans="1:14" x14ac:dyDescent="0.25">
      <c r="A927">
        <v>523.56274399999995</v>
      </c>
      <c r="B927" s="1">
        <f>DATE(2011,10,6) + TIME(13,30,21)</f>
        <v>40822.562743055554</v>
      </c>
      <c r="C927">
        <v>80</v>
      </c>
      <c r="D927">
        <v>79.947914123999993</v>
      </c>
      <c r="E927">
        <v>50</v>
      </c>
      <c r="F927">
        <v>36.038116455000001</v>
      </c>
      <c r="G927">
        <v>1386.6756591999999</v>
      </c>
      <c r="H927">
        <v>1371.4826660000001</v>
      </c>
      <c r="I927">
        <v>1269.6793213000001</v>
      </c>
      <c r="J927">
        <v>1241.5650635</v>
      </c>
      <c r="K927">
        <v>2750</v>
      </c>
      <c r="L927">
        <v>0</v>
      </c>
      <c r="M927">
        <v>0</v>
      </c>
      <c r="N927">
        <v>2750</v>
      </c>
    </row>
    <row r="928" spans="1:14" x14ac:dyDescent="0.25">
      <c r="A928">
        <v>525.461861</v>
      </c>
      <c r="B928" s="1">
        <f>DATE(2011,10,8) + TIME(11,5,4)</f>
        <v>40824.461851851855</v>
      </c>
      <c r="C928">
        <v>80</v>
      </c>
      <c r="D928">
        <v>79.947990417</v>
      </c>
      <c r="E928">
        <v>50</v>
      </c>
      <c r="F928">
        <v>36.016044616999999</v>
      </c>
      <c r="G928">
        <v>1386.5993652</v>
      </c>
      <c r="H928">
        <v>1371.411499</v>
      </c>
      <c r="I928">
        <v>1269.5817870999999</v>
      </c>
      <c r="J928">
        <v>1241.3885498</v>
      </c>
      <c r="K928">
        <v>2750</v>
      </c>
      <c r="L928">
        <v>0</v>
      </c>
      <c r="M928">
        <v>0</v>
      </c>
      <c r="N928">
        <v>2750</v>
      </c>
    </row>
    <row r="929" spans="1:14" x14ac:dyDescent="0.25">
      <c r="A929">
        <v>526.41991399999995</v>
      </c>
      <c r="B929" s="1">
        <f>DATE(2011,10,9) + TIME(10,4,40)</f>
        <v>40825.419907407406</v>
      </c>
      <c r="C929">
        <v>80</v>
      </c>
      <c r="D929">
        <v>79.948020935000002</v>
      </c>
      <c r="E929">
        <v>50</v>
      </c>
      <c r="F929">
        <v>36.011981964</v>
      </c>
      <c r="G929">
        <v>1386.5230713000001</v>
      </c>
      <c r="H929">
        <v>1371.3402100000001</v>
      </c>
      <c r="I929">
        <v>1269.5003661999999</v>
      </c>
      <c r="J929">
        <v>1241.2421875</v>
      </c>
      <c r="K929">
        <v>2750</v>
      </c>
      <c r="L929">
        <v>0</v>
      </c>
      <c r="M929">
        <v>0</v>
      </c>
      <c r="N929">
        <v>2750</v>
      </c>
    </row>
    <row r="930" spans="1:14" x14ac:dyDescent="0.25">
      <c r="A930">
        <v>527.37796600000001</v>
      </c>
      <c r="B930" s="1">
        <f>DATE(2011,10,10) + TIME(9,4,16)</f>
        <v>40826.377962962964</v>
      </c>
      <c r="C930">
        <v>80</v>
      </c>
      <c r="D930">
        <v>79.948059082</v>
      </c>
      <c r="E930">
        <v>50</v>
      </c>
      <c r="F930">
        <v>36.015441895000002</v>
      </c>
      <c r="G930">
        <v>1386.4841309000001</v>
      </c>
      <c r="H930">
        <v>1371.3037108999999</v>
      </c>
      <c r="I930">
        <v>1269.4521483999999</v>
      </c>
      <c r="J930">
        <v>1241.1568603999999</v>
      </c>
      <c r="K930">
        <v>2750</v>
      </c>
      <c r="L930">
        <v>0</v>
      </c>
      <c r="M930">
        <v>0</v>
      </c>
      <c r="N930">
        <v>2750</v>
      </c>
    </row>
    <row r="931" spans="1:14" x14ac:dyDescent="0.25">
      <c r="A931">
        <v>528.33601899999996</v>
      </c>
      <c r="B931" s="1">
        <f>DATE(2011,10,11) + TIME(8,3,52)</f>
        <v>40827.336018518516</v>
      </c>
      <c r="C931">
        <v>80</v>
      </c>
      <c r="D931">
        <v>79.948097228999998</v>
      </c>
      <c r="E931">
        <v>50</v>
      </c>
      <c r="F931">
        <v>36.024635314999998</v>
      </c>
      <c r="G931">
        <v>1386.4459228999999</v>
      </c>
      <c r="H931">
        <v>1371.2679443</v>
      </c>
      <c r="I931">
        <v>1269.4095459</v>
      </c>
      <c r="J931">
        <v>1241.0820312000001</v>
      </c>
      <c r="K931">
        <v>2750</v>
      </c>
      <c r="L931">
        <v>0</v>
      </c>
      <c r="M931">
        <v>0</v>
      </c>
      <c r="N931">
        <v>2750</v>
      </c>
    </row>
    <row r="932" spans="1:14" x14ac:dyDescent="0.25">
      <c r="A932">
        <v>529.29407200000003</v>
      </c>
      <c r="B932" s="1">
        <f>DATE(2011,10,12) + TIME(7,3,27)</f>
        <v>40828.294062499997</v>
      </c>
      <c r="C932">
        <v>80</v>
      </c>
      <c r="D932">
        <v>79.948135375999996</v>
      </c>
      <c r="E932">
        <v>50</v>
      </c>
      <c r="F932">
        <v>36.038772582999997</v>
      </c>
      <c r="G932">
        <v>1386.4078368999999</v>
      </c>
      <c r="H932">
        <v>1371.2322998</v>
      </c>
      <c r="I932">
        <v>1269.3703613</v>
      </c>
      <c r="J932">
        <v>1241.0142822</v>
      </c>
      <c r="K932">
        <v>2750</v>
      </c>
      <c r="L932">
        <v>0</v>
      </c>
      <c r="M932">
        <v>0</v>
      </c>
      <c r="N932">
        <v>2750</v>
      </c>
    </row>
    <row r="933" spans="1:14" x14ac:dyDescent="0.25">
      <c r="A933">
        <v>530.25212499999998</v>
      </c>
      <c r="B933" s="1">
        <f>DATE(2011,10,13) + TIME(6,3,3)</f>
        <v>40829.252118055556</v>
      </c>
      <c r="C933">
        <v>80</v>
      </c>
      <c r="D933">
        <v>79.948173522999994</v>
      </c>
      <c r="E933">
        <v>50</v>
      </c>
      <c r="F933">
        <v>36.057491302000003</v>
      </c>
      <c r="G933">
        <v>1386.3698730000001</v>
      </c>
      <c r="H933">
        <v>1371.1967772999999</v>
      </c>
      <c r="I933">
        <v>1269.3337402</v>
      </c>
      <c r="J933">
        <v>1240.9516602000001</v>
      </c>
      <c r="K933">
        <v>2750</v>
      </c>
      <c r="L933">
        <v>0</v>
      </c>
      <c r="M933">
        <v>0</v>
      </c>
      <c r="N933">
        <v>2750</v>
      </c>
    </row>
    <row r="934" spans="1:14" x14ac:dyDescent="0.25">
      <c r="A934">
        <v>531.21017700000004</v>
      </c>
      <c r="B934" s="1">
        <f>DATE(2011,10,14) + TIME(5,2,39)</f>
        <v>40830.210173611114</v>
      </c>
      <c r="C934">
        <v>80</v>
      </c>
      <c r="D934">
        <v>79.948211670000006</v>
      </c>
      <c r="E934">
        <v>50</v>
      </c>
      <c r="F934">
        <v>36.080589293999999</v>
      </c>
      <c r="G934">
        <v>1386.3320312000001</v>
      </c>
      <c r="H934">
        <v>1371.1613769999999</v>
      </c>
      <c r="I934">
        <v>1269.2991943</v>
      </c>
      <c r="J934">
        <v>1240.8935547000001</v>
      </c>
      <c r="K934">
        <v>2750</v>
      </c>
      <c r="L934">
        <v>0</v>
      </c>
      <c r="M934">
        <v>0</v>
      </c>
      <c r="N934">
        <v>2750</v>
      </c>
    </row>
    <row r="935" spans="1:14" x14ac:dyDescent="0.25">
      <c r="A935">
        <v>533.12628299999994</v>
      </c>
      <c r="B935" s="1">
        <f>DATE(2011,10,16) + TIME(3,1,50)</f>
        <v>40832.126273148147</v>
      </c>
      <c r="C935">
        <v>80</v>
      </c>
      <c r="D935">
        <v>79.948303222999996</v>
      </c>
      <c r="E935">
        <v>50</v>
      </c>
      <c r="F935">
        <v>36.115489959999998</v>
      </c>
      <c r="G935">
        <v>1386.2945557</v>
      </c>
      <c r="H935">
        <v>1371.1262207</v>
      </c>
      <c r="I935">
        <v>1269.2598877</v>
      </c>
      <c r="J935">
        <v>1240.8327637</v>
      </c>
      <c r="K935">
        <v>2750</v>
      </c>
      <c r="L935">
        <v>0</v>
      </c>
      <c r="M935">
        <v>0</v>
      </c>
      <c r="N935">
        <v>2750</v>
      </c>
    </row>
    <row r="936" spans="1:14" x14ac:dyDescent="0.25">
      <c r="A936">
        <v>535.05033100000003</v>
      </c>
      <c r="B936" s="1">
        <f>DATE(2011,10,18) + TIME(1,12,28)</f>
        <v>40834.050324074073</v>
      </c>
      <c r="C936">
        <v>80</v>
      </c>
      <c r="D936">
        <v>79.948379517000006</v>
      </c>
      <c r="E936">
        <v>50</v>
      </c>
      <c r="F936">
        <v>36.175788879000002</v>
      </c>
      <c r="G936">
        <v>1386.2200928</v>
      </c>
      <c r="H936">
        <v>1371.0563964999999</v>
      </c>
      <c r="I936">
        <v>1269.2038574000001</v>
      </c>
      <c r="J936">
        <v>1240.7399902</v>
      </c>
      <c r="K936">
        <v>2750</v>
      </c>
      <c r="L936">
        <v>0</v>
      </c>
      <c r="M936">
        <v>0</v>
      </c>
      <c r="N936">
        <v>2750</v>
      </c>
    </row>
    <row r="937" spans="1:14" x14ac:dyDescent="0.25">
      <c r="A937">
        <v>537.00964099999999</v>
      </c>
      <c r="B937" s="1">
        <f>DATE(2011,10,20) + TIME(0,13,52)</f>
        <v>40836.009629629632</v>
      </c>
      <c r="C937">
        <v>80</v>
      </c>
      <c r="D937">
        <v>79.948455811000002</v>
      </c>
      <c r="E937">
        <v>50</v>
      </c>
      <c r="F937">
        <v>36.255435943999998</v>
      </c>
      <c r="G937">
        <v>1386.1456298999999</v>
      </c>
      <c r="H937">
        <v>1370.9866943</v>
      </c>
      <c r="I937">
        <v>1269.1502685999999</v>
      </c>
      <c r="J937">
        <v>1240.6568603999999</v>
      </c>
      <c r="K937">
        <v>2750</v>
      </c>
      <c r="L937">
        <v>0</v>
      </c>
      <c r="M937">
        <v>0</v>
      </c>
      <c r="N937">
        <v>2750</v>
      </c>
    </row>
    <row r="938" spans="1:14" x14ac:dyDescent="0.25">
      <c r="A938">
        <v>539.00844500000005</v>
      </c>
      <c r="B938" s="1">
        <f>DATE(2011,10,22) + TIME(0,12,9)</f>
        <v>40838.008437500001</v>
      </c>
      <c r="C938">
        <v>80</v>
      </c>
      <c r="D938">
        <v>79.948539733999993</v>
      </c>
      <c r="E938">
        <v>50</v>
      </c>
      <c r="F938">
        <v>36.352993011000002</v>
      </c>
      <c r="G938">
        <v>1386.0704346</v>
      </c>
      <c r="H938">
        <v>1370.9161377</v>
      </c>
      <c r="I938">
        <v>1269.1011963000001</v>
      </c>
      <c r="J938">
        <v>1240.5858154</v>
      </c>
      <c r="K938">
        <v>2750</v>
      </c>
      <c r="L938">
        <v>0</v>
      </c>
      <c r="M938">
        <v>0</v>
      </c>
      <c r="N938">
        <v>2750</v>
      </c>
    </row>
    <row r="939" spans="1:14" x14ac:dyDescent="0.25">
      <c r="A939">
        <v>541.02025600000002</v>
      </c>
      <c r="B939" s="1">
        <f>DATE(2011,10,24) + TIME(0,29,10)</f>
        <v>40840.020254629628</v>
      </c>
      <c r="C939">
        <v>80</v>
      </c>
      <c r="D939">
        <v>79.948623656999999</v>
      </c>
      <c r="E939">
        <v>50</v>
      </c>
      <c r="F939">
        <v>36.467556000000002</v>
      </c>
      <c r="G939">
        <v>1385.9946289</v>
      </c>
      <c r="H939">
        <v>1370.8449707</v>
      </c>
      <c r="I939">
        <v>1269.0577393000001</v>
      </c>
      <c r="J939">
        <v>1240.5277100000001</v>
      </c>
      <c r="K939">
        <v>2750</v>
      </c>
      <c r="L939">
        <v>0</v>
      </c>
      <c r="M939">
        <v>0</v>
      </c>
      <c r="N939">
        <v>2750</v>
      </c>
    </row>
    <row r="940" spans="1:14" x14ac:dyDescent="0.25">
      <c r="A940">
        <v>543.05068100000005</v>
      </c>
      <c r="B940" s="1">
        <f>DATE(2011,10,26) + TIME(1,12,58)</f>
        <v>40842.050671296296</v>
      </c>
      <c r="C940">
        <v>80</v>
      </c>
      <c r="D940">
        <v>79.948699950999995</v>
      </c>
      <c r="E940">
        <v>50</v>
      </c>
      <c r="F940">
        <v>36.597522736000002</v>
      </c>
      <c r="G940">
        <v>1385.9190673999999</v>
      </c>
      <c r="H940">
        <v>1370.7740478999999</v>
      </c>
      <c r="I940">
        <v>1269.0201416</v>
      </c>
      <c r="J940">
        <v>1240.4831543</v>
      </c>
      <c r="K940">
        <v>2750</v>
      </c>
      <c r="L940">
        <v>0</v>
      </c>
      <c r="M940">
        <v>0</v>
      </c>
      <c r="N940">
        <v>2750</v>
      </c>
    </row>
    <row r="941" spans="1:14" x14ac:dyDescent="0.25">
      <c r="A941">
        <v>545.10614199999998</v>
      </c>
      <c r="B941" s="1">
        <f>DATE(2011,10,28) + TIME(2,32,50)</f>
        <v>40844.106134259258</v>
      </c>
      <c r="C941">
        <v>80</v>
      </c>
      <c r="D941">
        <v>79.948783875000004</v>
      </c>
      <c r="E941">
        <v>50</v>
      </c>
      <c r="F941">
        <v>36.741844176999997</v>
      </c>
      <c r="G941">
        <v>1385.8436279</v>
      </c>
      <c r="H941">
        <v>1370.7033690999999</v>
      </c>
      <c r="I941">
        <v>1268.9881591999999</v>
      </c>
      <c r="J941">
        <v>1240.4515381000001</v>
      </c>
      <c r="K941">
        <v>2750</v>
      </c>
      <c r="L941">
        <v>0</v>
      </c>
      <c r="M941">
        <v>0</v>
      </c>
      <c r="N941">
        <v>2750</v>
      </c>
    </row>
    <row r="942" spans="1:14" x14ac:dyDescent="0.25">
      <c r="A942">
        <v>547.18368699999996</v>
      </c>
      <c r="B942" s="1">
        <f>DATE(2011,10,30) + TIME(4,24,30)</f>
        <v>40846.183680555558</v>
      </c>
      <c r="C942">
        <v>80</v>
      </c>
      <c r="D942">
        <v>79.948867797999995</v>
      </c>
      <c r="E942">
        <v>50</v>
      </c>
      <c r="F942">
        <v>36.899490356000001</v>
      </c>
      <c r="G942">
        <v>1385.7683105000001</v>
      </c>
      <c r="H942">
        <v>1370.6325684000001</v>
      </c>
      <c r="I942">
        <v>1268.9615478999999</v>
      </c>
      <c r="J942">
        <v>1240.4321289</v>
      </c>
      <c r="K942">
        <v>2750</v>
      </c>
      <c r="L942">
        <v>0</v>
      </c>
      <c r="M942">
        <v>0</v>
      </c>
      <c r="N942">
        <v>2750</v>
      </c>
    </row>
    <row r="943" spans="1:14" x14ac:dyDescent="0.25">
      <c r="A943">
        <v>549</v>
      </c>
      <c r="B943" s="1">
        <f>DATE(2011,11,1) + TIME(0,0,0)</f>
        <v>40848</v>
      </c>
      <c r="C943">
        <v>80</v>
      </c>
      <c r="D943">
        <v>79.948936462000006</v>
      </c>
      <c r="E943">
        <v>50</v>
      </c>
      <c r="F943">
        <v>37.062637328999998</v>
      </c>
      <c r="G943">
        <v>1385.6931152</v>
      </c>
      <c r="H943">
        <v>1370.5618896000001</v>
      </c>
      <c r="I943">
        <v>1268.9425048999999</v>
      </c>
      <c r="J943">
        <v>1240.4246826000001</v>
      </c>
      <c r="K943">
        <v>2750</v>
      </c>
      <c r="L943">
        <v>0</v>
      </c>
      <c r="M943">
        <v>0</v>
      </c>
      <c r="N943">
        <v>2750</v>
      </c>
    </row>
    <row r="944" spans="1:14" x14ac:dyDescent="0.25">
      <c r="A944">
        <v>549.000001</v>
      </c>
      <c r="B944" s="1">
        <f>DATE(2011,11,1) + TIME(0,0,0)</f>
        <v>40848</v>
      </c>
      <c r="C944">
        <v>80</v>
      </c>
      <c r="D944">
        <v>79.948799132999994</v>
      </c>
      <c r="E944">
        <v>50</v>
      </c>
      <c r="F944">
        <v>37.062778473000002</v>
      </c>
      <c r="G944">
        <v>1369.5629882999999</v>
      </c>
      <c r="H944">
        <v>1355.6879882999999</v>
      </c>
      <c r="I944">
        <v>1298.5159911999999</v>
      </c>
      <c r="J944">
        <v>1269.9830322</v>
      </c>
      <c r="K944">
        <v>0</v>
      </c>
      <c r="L944">
        <v>2750</v>
      </c>
      <c r="M944">
        <v>2750</v>
      </c>
      <c r="N944">
        <v>0</v>
      </c>
    </row>
    <row r="945" spans="1:14" x14ac:dyDescent="0.25">
      <c r="A945">
        <v>549.00000399999999</v>
      </c>
      <c r="B945" s="1">
        <f>DATE(2011,11,1) + TIME(0,0,0)</f>
        <v>40848</v>
      </c>
      <c r="C945">
        <v>80</v>
      </c>
      <c r="D945">
        <v>79.948440551999994</v>
      </c>
      <c r="E945">
        <v>50</v>
      </c>
      <c r="F945">
        <v>37.063167571999998</v>
      </c>
      <c r="G945">
        <v>1367.0393065999999</v>
      </c>
      <c r="H945">
        <v>1353.1636963000001</v>
      </c>
      <c r="I945">
        <v>1301.2849120999999</v>
      </c>
      <c r="J945">
        <v>1272.8237305</v>
      </c>
      <c r="K945">
        <v>0</v>
      </c>
      <c r="L945">
        <v>2750</v>
      </c>
      <c r="M945">
        <v>2750</v>
      </c>
      <c r="N945">
        <v>0</v>
      </c>
    </row>
    <row r="946" spans="1:14" x14ac:dyDescent="0.25">
      <c r="A946">
        <v>549.00001299999997</v>
      </c>
      <c r="B946" s="1">
        <f>DATE(2011,11,1) + TIME(0,0,1)</f>
        <v>40848.000011574077</v>
      </c>
      <c r="C946">
        <v>80</v>
      </c>
      <c r="D946">
        <v>79.947715759000005</v>
      </c>
      <c r="E946">
        <v>50</v>
      </c>
      <c r="F946">
        <v>37.064125060999999</v>
      </c>
      <c r="G946">
        <v>1361.9448242000001</v>
      </c>
      <c r="H946">
        <v>1348.0683594</v>
      </c>
      <c r="I946">
        <v>1307.8494873</v>
      </c>
      <c r="J946">
        <v>1279.5230713000001</v>
      </c>
      <c r="K946">
        <v>0</v>
      </c>
      <c r="L946">
        <v>2750</v>
      </c>
      <c r="M946">
        <v>2750</v>
      </c>
      <c r="N946">
        <v>0</v>
      </c>
    </row>
    <row r="947" spans="1:14" x14ac:dyDescent="0.25">
      <c r="A947">
        <v>549.00004000000001</v>
      </c>
      <c r="B947" s="1">
        <f>DATE(2011,11,1) + TIME(0,0,3)</f>
        <v>40848.000034722223</v>
      </c>
      <c r="C947">
        <v>80</v>
      </c>
      <c r="D947">
        <v>79.946647643999995</v>
      </c>
      <c r="E947">
        <v>50</v>
      </c>
      <c r="F947">
        <v>37.066024779999999</v>
      </c>
      <c r="G947">
        <v>1354.5010986</v>
      </c>
      <c r="H947">
        <v>1340.6275635</v>
      </c>
      <c r="I947">
        <v>1319.7410889</v>
      </c>
      <c r="J947">
        <v>1291.5351562000001</v>
      </c>
      <c r="K947">
        <v>0</v>
      </c>
      <c r="L947">
        <v>2750</v>
      </c>
      <c r="M947">
        <v>2750</v>
      </c>
      <c r="N947">
        <v>0</v>
      </c>
    </row>
    <row r="948" spans="1:14" x14ac:dyDescent="0.25">
      <c r="A948">
        <v>549.00012100000004</v>
      </c>
      <c r="B948" s="1">
        <f>DATE(2011,11,1) + TIME(0,0,10)</f>
        <v>40848.000115740739</v>
      </c>
      <c r="C948">
        <v>80</v>
      </c>
      <c r="D948">
        <v>79.945457458000007</v>
      </c>
      <c r="E948">
        <v>50</v>
      </c>
      <c r="F948">
        <v>37.069313049000002</v>
      </c>
      <c r="G948">
        <v>1346.2164307</v>
      </c>
      <c r="H948">
        <v>1332.3500977000001</v>
      </c>
      <c r="I948">
        <v>1335.3377685999999</v>
      </c>
      <c r="J948">
        <v>1307.1733397999999</v>
      </c>
      <c r="K948">
        <v>0</v>
      </c>
      <c r="L948">
        <v>2750</v>
      </c>
      <c r="M948">
        <v>2750</v>
      </c>
      <c r="N948">
        <v>0</v>
      </c>
    </row>
    <row r="949" spans="1:14" x14ac:dyDescent="0.25">
      <c r="A949">
        <v>549.00036399999999</v>
      </c>
      <c r="B949" s="1">
        <f>DATE(2011,11,1) + TIME(0,0,31)</f>
        <v>40848.000358796293</v>
      </c>
      <c r="C949">
        <v>80</v>
      </c>
      <c r="D949">
        <v>79.944206238000007</v>
      </c>
      <c r="E949">
        <v>50</v>
      </c>
      <c r="F949">
        <v>37.075599670000003</v>
      </c>
      <c r="G949">
        <v>1337.8869629000001</v>
      </c>
      <c r="H949">
        <v>1324.0311279</v>
      </c>
      <c r="I949">
        <v>1351.9827881000001</v>
      </c>
      <c r="J949">
        <v>1323.847168</v>
      </c>
      <c r="K949">
        <v>0</v>
      </c>
      <c r="L949">
        <v>2750</v>
      </c>
      <c r="M949">
        <v>2750</v>
      </c>
      <c r="N949">
        <v>0</v>
      </c>
    </row>
    <row r="950" spans="1:14" x14ac:dyDescent="0.25">
      <c r="A950">
        <v>549.00109299999997</v>
      </c>
      <c r="B950" s="1">
        <f>DATE(2011,11,1) + TIME(0,1,34)</f>
        <v>40848.001087962963</v>
      </c>
      <c r="C950">
        <v>80</v>
      </c>
      <c r="D950">
        <v>79.942817688000005</v>
      </c>
      <c r="E950">
        <v>50</v>
      </c>
      <c r="F950">
        <v>37.090538025000001</v>
      </c>
      <c r="G950">
        <v>1329.5091553</v>
      </c>
      <c r="H950">
        <v>1315.6441649999999</v>
      </c>
      <c r="I950">
        <v>1368.9688721</v>
      </c>
      <c r="J950">
        <v>1340.8647461</v>
      </c>
      <c r="K950">
        <v>0</v>
      </c>
      <c r="L950">
        <v>2750</v>
      </c>
      <c r="M950">
        <v>2750</v>
      </c>
      <c r="N950">
        <v>0</v>
      </c>
    </row>
    <row r="951" spans="1:14" x14ac:dyDescent="0.25">
      <c r="A951">
        <v>549.00328000000002</v>
      </c>
      <c r="B951" s="1">
        <f>DATE(2011,11,1) + TIME(0,4,43)</f>
        <v>40848.003275462965</v>
      </c>
      <c r="C951">
        <v>80</v>
      </c>
      <c r="D951">
        <v>79.940971375000004</v>
      </c>
      <c r="E951">
        <v>50</v>
      </c>
      <c r="F951">
        <v>37.131294250000003</v>
      </c>
      <c r="G951">
        <v>1320.7360839999999</v>
      </c>
      <c r="H951">
        <v>1306.7803954999999</v>
      </c>
      <c r="I951">
        <v>1386.3048096</v>
      </c>
      <c r="J951">
        <v>1358.1810303</v>
      </c>
      <c r="K951">
        <v>0</v>
      </c>
      <c r="L951">
        <v>2750</v>
      </c>
      <c r="M951">
        <v>2750</v>
      </c>
      <c r="N951">
        <v>0</v>
      </c>
    </row>
    <row r="952" spans="1:14" x14ac:dyDescent="0.25">
      <c r="A952">
        <v>549.00984100000005</v>
      </c>
      <c r="B952" s="1">
        <f>DATE(2011,11,1) + TIME(0,14,10)</f>
        <v>40848.009837962964</v>
      </c>
      <c r="C952">
        <v>80</v>
      </c>
      <c r="D952">
        <v>79.937850952000005</v>
      </c>
      <c r="E952">
        <v>50</v>
      </c>
      <c r="F952">
        <v>37.248844147</v>
      </c>
      <c r="G952">
        <v>1311.4859618999999</v>
      </c>
      <c r="H952">
        <v>1297.4006348</v>
      </c>
      <c r="I952">
        <v>1402.6610106999999</v>
      </c>
      <c r="J952">
        <v>1374.4639893000001</v>
      </c>
      <c r="K952">
        <v>0</v>
      </c>
      <c r="L952">
        <v>2750</v>
      </c>
      <c r="M952">
        <v>2750</v>
      </c>
      <c r="N952">
        <v>0</v>
      </c>
    </row>
    <row r="953" spans="1:14" x14ac:dyDescent="0.25">
      <c r="A953">
        <v>549.02952400000004</v>
      </c>
      <c r="B953" s="1">
        <f>DATE(2011,11,1) + TIME(0,42,30)</f>
        <v>40848.029513888891</v>
      </c>
      <c r="C953">
        <v>80</v>
      </c>
      <c r="D953">
        <v>79.931381225999999</v>
      </c>
      <c r="E953">
        <v>50</v>
      </c>
      <c r="F953">
        <v>37.589694977000001</v>
      </c>
      <c r="G953">
        <v>1303.4217529</v>
      </c>
      <c r="H953">
        <v>1289.2655029</v>
      </c>
      <c r="I953">
        <v>1414.4393310999999</v>
      </c>
      <c r="J953">
        <v>1386.2746582</v>
      </c>
      <c r="K953">
        <v>0</v>
      </c>
      <c r="L953">
        <v>2750</v>
      </c>
      <c r="M953">
        <v>2750</v>
      </c>
      <c r="N953">
        <v>0</v>
      </c>
    </row>
    <row r="954" spans="1:14" x14ac:dyDescent="0.25">
      <c r="A954">
        <v>549.06858199999999</v>
      </c>
      <c r="B954" s="1">
        <f>DATE(2011,11,1) + TIME(1,38,45)</f>
        <v>40848.068576388891</v>
      </c>
      <c r="C954">
        <v>80</v>
      </c>
      <c r="D954">
        <v>79.920555114999999</v>
      </c>
      <c r="E954">
        <v>50</v>
      </c>
      <c r="F954">
        <v>38.230945587000001</v>
      </c>
      <c r="G954">
        <v>1299.4558105000001</v>
      </c>
      <c r="H954">
        <v>1285.2785644999999</v>
      </c>
      <c r="I954">
        <v>1418.6552733999999</v>
      </c>
      <c r="J954">
        <v>1390.7545166</v>
      </c>
      <c r="K954">
        <v>0</v>
      </c>
      <c r="L954">
        <v>2750</v>
      </c>
      <c r="M954">
        <v>2750</v>
      </c>
      <c r="N954">
        <v>0</v>
      </c>
    </row>
    <row r="955" spans="1:14" x14ac:dyDescent="0.25">
      <c r="A955">
        <v>549.10936500000003</v>
      </c>
      <c r="B955" s="1">
        <f>DATE(2011,11,1) + TIME(2,37,29)</f>
        <v>40848.109363425923</v>
      </c>
      <c r="C955">
        <v>80</v>
      </c>
      <c r="D955">
        <v>79.909828185999999</v>
      </c>
      <c r="E955">
        <v>50</v>
      </c>
      <c r="F955">
        <v>38.865142822000003</v>
      </c>
      <c r="G955">
        <v>1298.2615966999999</v>
      </c>
      <c r="H955">
        <v>1284.0793457</v>
      </c>
      <c r="I955">
        <v>1419.2000731999999</v>
      </c>
      <c r="J955">
        <v>1391.5943603999999</v>
      </c>
      <c r="K955">
        <v>0</v>
      </c>
      <c r="L955">
        <v>2750</v>
      </c>
      <c r="M955">
        <v>2750</v>
      </c>
      <c r="N955">
        <v>0</v>
      </c>
    </row>
    <row r="956" spans="1:14" x14ac:dyDescent="0.25">
      <c r="A956">
        <v>549.151839</v>
      </c>
      <c r="B956" s="1">
        <f>DATE(2011,11,1) + TIME(3,38,38)</f>
        <v>40848.151828703703</v>
      </c>
      <c r="C956">
        <v>80</v>
      </c>
      <c r="D956">
        <v>79.898963928000001</v>
      </c>
      <c r="E956">
        <v>50</v>
      </c>
      <c r="F956">
        <v>39.489330291999998</v>
      </c>
      <c r="G956">
        <v>1297.8685303</v>
      </c>
      <c r="H956">
        <v>1283.6844481999999</v>
      </c>
      <c r="I956">
        <v>1418.9111327999999</v>
      </c>
      <c r="J956">
        <v>1391.6014404</v>
      </c>
      <c r="K956">
        <v>0</v>
      </c>
      <c r="L956">
        <v>2750</v>
      </c>
      <c r="M956">
        <v>2750</v>
      </c>
      <c r="N956">
        <v>0</v>
      </c>
    </row>
    <row r="957" spans="1:14" x14ac:dyDescent="0.25">
      <c r="A957">
        <v>549.19612099999995</v>
      </c>
      <c r="B957" s="1">
        <f>DATE(2011,11,1) + TIME(4,42,24)</f>
        <v>40848.196111111109</v>
      </c>
      <c r="C957">
        <v>80</v>
      </c>
      <c r="D957">
        <v>79.887855529999996</v>
      </c>
      <c r="E957">
        <v>50</v>
      </c>
      <c r="F957">
        <v>40.102817535</v>
      </c>
      <c r="G957">
        <v>1297.7282714999999</v>
      </c>
      <c r="H957">
        <v>1283.5432129000001</v>
      </c>
      <c r="I957">
        <v>1418.4521483999999</v>
      </c>
      <c r="J957">
        <v>1391.4305420000001</v>
      </c>
      <c r="K957">
        <v>0</v>
      </c>
      <c r="L957">
        <v>2750</v>
      </c>
      <c r="M957">
        <v>2750</v>
      </c>
      <c r="N957">
        <v>0</v>
      </c>
    </row>
    <row r="958" spans="1:14" x14ac:dyDescent="0.25">
      <c r="A958">
        <v>549.24237300000004</v>
      </c>
      <c r="B958" s="1">
        <f>DATE(2011,11,1) + TIME(5,49,1)</f>
        <v>40848.242372685185</v>
      </c>
      <c r="C958">
        <v>80</v>
      </c>
      <c r="D958">
        <v>79.876472473000007</v>
      </c>
      <c r="E958">
        <v>50</v>
      </c>
      <c r="F958">
        <v>40.705348968999999</v>
      </c>
      <c r="G958">
        <v>1297.6739502</v>
      </c>
      <c r="H958">
        <v>1283.4881591999999</v>
      </c>
      <c r="I958">
        <v>1417.9777832</v>
      </c>
      <c r="J958">
        <v>1391.234375</v>
      </c>
      <c r="K958">
        <v>0</v>
      </c>
      <c r="L958">
        <v>2750</v>
      </c>
      <c r="M958">
        <v>2750</v>
      </c>
      <c r="N958">
        <v>0</v>
      </c>
    </row>
    <row r="959" spans="1:14" x14ac:dyDescent="0.25">
      <c r="A959">
        <v>549.29080899999997</v>
      </c>
      <c r="B959" s="1">
        <f>DATE(2011,11,1) + TIME(6,58,45)</f>
        <v>40848.290798611109</v>
      </c>
      <c r="C959">
        <v>80</v>
      </c>
      <c r="D959">
        <v>79.864761353000006</v>
      </c>
      <c r="E959">
        <v>50</v>
      </c>
      <c r="F959">
        <v>41.296783447000003</v>
      </c>
      <c r="G959">
        <v>1297.6508789</v>
      </c>
      <c r="H959">
        <v>1283.4643555</v>
      </c>
      <c r="I959">
        <v>1417.5189209</v>
      </c>
      <c r="J959">
        <v>1391.0433350000001</v>
      </c>
      <c r="K959">
        <v>0</v>
      </c>
      <c r="L959">
        <v>2750</v>
      </c>
      <c r="M959">
        <v>2750</v>
      </c>
      <c r="N959">
        <v>0</v>
      </c>
    </row>
    <row r="960" spans="1:14" x14ac:dyDescent="0.25">
      <c r="A960">
        <v>549.34167100000002</v>
      </c>
      <c r="B960" s="1">
        <f>DATE(2011,11,1) + TIME(8,12,0)</f>
        <v>40848.341666666667</v>
      </c>
      <c r="C960">
        <v>80</v>
      </c>
      <c r="D960">
        <v>79.852684021000002</v>
      </c>
      <c r="E960">
        <v>50</v>
      </c>
      <c r="F960">
        <v>41.877006530999999</v>
      </c>
      <c r="G960">
        <v>1297.6397704999999</v>
      </c>
      <c r="H960">
        <v>1283.4526367000001</v>
      </c>
      <c r="I960">
        <v>1417.0782471</v>
      </c>
      <c r="J960">
        <v>1390.8607178</v>
      </c>
      <c r="K960">
        <v>0</v>
      </c>
      <c r="L960">
        <v>2750</v>
      </c>
      <c r="M960">
        <v>2750</v>
      </c>
      <c r="N960">
        <v>0</v>
      </c>
    </row>
    <row r="961" spans="1:14" x14ac:dyDescent="0.25">
      <c r="A961">
        <v>549.39524200000005</v>
      </c>
      <c r="B961" s="1">
        <f>DATE(2011,11,1) + TIME(9,29,8)</f>
        <v>40848.395231481481</v>
      </c>
      <c r="C961">
        <v>80</v>
      </c>
      <c r="D961">
        <v>79.840194702000005</v>
      </c>
      <c r="E961">
        <v>50</v>
      </c>
      <c r="F961">
        <v>42.445838928000001</v>
      </c>
      <c r="G961">
        <v>1297.6335449000001</v>
      </c>
      <c r="H961">
        <v>1283.4458007999999</v>
      </c>
      <c r="I961">
        <v>1416.6538086</v>
      </c>
      <c r="J961">
        <v>1390.6845702999999</v>
      </c>
      <c r="K961">
        <v>0</v>
      </c>
      <c r="L961">
        <v>2750</v>
      </c>
      <c r="M961">
        <v>2750</v>
      </c>
      <c r="N961">
        <v>0</v>
      </c>
    </row>
    <row r="962" spans="1:14" x14ac:dyDescent="0.25">
      <c r="A962">
        <v>549.45185600000002</v>
      </c>
      <c r="B962" s="1">
        <f>DATE(2011,11,1) + TIME(10,50,40)</f>
        <v>40848.451851851853</v>
      </c>
      <c r="C962">
        <v>80</v>
      </c>
      <c r="D962">
        <v>79.827232361</v>
      </c>
      <c r="E962">
        <v>50</v>
      </c>
      <c r="F962">
        <v>43.003074646000002</v>
      </c>
      <c r="G962">
        <v>1297.6291504000001</v>
      </c>
      <c r="H962">
        <v>1283.4407959</v>
      </c>
      <c r="I962">
        <v>1416.2435303</v>
      </c>
      <c r="J962">
        <v>1390.5131836</v>
      </c>
      <c r="K962">
        <v>0</v>
      </c>
      <c r="L962">
        <v>2750</v>
      </c>
      <c r="M962">
        <v>2750</v>
      </c>
      <c r="N962">
        <v>0</v>
      </c>
    </row>
    <row r="963" spans="1:14" x14ac:dyDescent="0.25">
      <c r="A963">
        <v>549.51190599999995</v>
      </c>
      <c r="B963" s="1">
        <f>DATE(2011,11,1) + TIME(12,17,8)</f>
        <v>40848.51189814815</v>
      </c>
      <c r="C963">
        <v>80</v>
      </c>
      <c r="D963">
        <v>79.813743591000005</v>
      </c>
      <c r="E963">
        <v>50</v>
      </c>
      <c r="F963">
        <v>43.548439025999997</v>
      </c>
      <c r="G963">
        <v>1297.6254882999999</v>
      </c>
      <c r="H963">
        <v>1283.4364014</v>
      </c>
      <c r="I963">
        <v>1415.8457031</v>
      </c>
      <c r="J963">
        <v>1390.3453368999999</v>
      </c>
      <c r="K963">
        <v>0</v>
      </c>
      <c r="L963">
        <v>2750</v>
      </c>
      <c r="M963">
        <v>2750</v>
      </c>
      <c r="N963">
        <v>0</v>
      </c>
    </row>
    <row r="964" spans="1:14" x14ac:dyDescent="0.25">
      <c r="A964">
        <v>549.57586700000002</v>
      </c>
      <c r="B964" s="1">
        <f>DATE(2011,11,1) + TIME(13,49,14)</f>
        <v>40848.575856481482</v>
      </c>
      <c r="C964">
        <v>80</v>
      </c>
      <c r="D964">
        <v>79.799644470000004</v>
      </c>
      <c r="E964">
        <v>50</v>
      </c>
      <c r="F964">
        <v>44.081615448000001</v>
      </c>
      <c r="G964">
        <v>1297.6218262</v>
      </c>
      <c r="H964">
        <v>1283.4321289</v>
      </c>
      <c r="I964">
        <v>1415.4593506000001</v>
      </c>
      <c r="J964">
        <v>1390.1802978999999</v>
      </c>
      <c r="K964">
        <v>0</v>
      </c>
      <c r="L964">
        <v>2750</v>
      </c>
      <c r="M964">
        <v>2750</v>
      </c>
      <c r="N964">
        <v>0</v>
      </c>
    </row>
    <row r="965" spans="1:14" x14ac:dyDescent="0.25">
      <c r="A965">
        <v>549.64431400000001</v>
      </c>
      <c r="B965" s="1">
        <f>DATE(2011,11,1) + TIME(15,27,48)</f>
        <v>40848.644305555557</v>
      </c>
      <c r="C965">
        <v>80</v>
      </c>
      <c r="D965">
        <v>79.784851074000002</v>
      </c>
      <c r="E965">
        <v>50</v>
      </c>
      <c r="F965">
        <v>44.602207184000001</v>
      </c>
      <c r="G965">
        <v>1297.6181641000001</v>
      </c>
      <c r="H965">
        <v>1283.4276123</v>
      </c>
      <c r="I965">
        <v>1415.0837402</v>
      </c>
      <c r="J965">
        <v>1390.0172118999999</v>
      </c>
      <c r="K965">
        <v>0</v>
      </c>
      <c r="L965">
        <v>2750</v>
      </c>
      <c r="M965">
        <v>2750</v>
      </c>
      <c r="N965">
        <v>0</v>
      </c>
    </row>
    <row r="966" spans="1:14" x14ac:dyDescent="0.25">
      <c r="A966">
        <v>549.71795199999997</v>
      </c>
      <c r="B966" s="1">
        <f>DATE(2011,11,1) + TIME(17,13,51)</f>
        <v>40848.717951388891</v>
      </c>
      <c r="C966">
        <v>80</v>
      </c>
      <c r="D966">
        <v>79.769256592000005</v>
      </c>
      <c r="E966">
        <v>50</v>
      </c>
      <c r="F966">
        <v>45.109733581999997</v>
      </c>
      <c r="G966">
        <v>1297.6142577999999</v>
      </c>
      <c r="H966">
        <v>1283.4229736</v>
      </c>
      <c r="I966">
        <v>1414.7178954999999</v>
      </c>
      <c r="J966">
        <v>1389.8557129000001</v>
      </c>
      <c r="K966">
        <v>0</v>
      </c>
      <c r="L966">
        <v>2750</v>
      </c>
      <c r="M966">
        <v>2750</v>
      </c>
      <c r="N966">
        <v>0</v>
      </c>
    </row>
    <row r="967" spans="1:14" x14ac:dyDescent="0.25">
      <c r="A967">
        <v>549.79765999999995</v>
      </c>
      <c r="B967" s="1">
        <f>DATE(2011,11,1) + TIME(19,8,37)</f>
        <v>40848.797650462962</v>
      </c>
      <c r="C967">
        <v>80</v>
      </c>
      <c r="D967">
        <v>79.752716063999998</v>
      </c>
      <c r="E967">
        <v>50</v>
      </c>
      <c r="F967">
        <v>45.603614807</v>
      </c>
      <c r="G967">
        <v>1297.6099853999999</v>
      </c>
      <c r="H967">
        <v>1283.4178466999999</v>
      </c>
      <c r="I967">
        <v>1414.3612060999999</v>
      </c>
      <c r="J967">
        <v>1389.6951904</v>
      </c>
      <c r="K967">
        <v>0</v>
      </c>
      <c r="L967">
        <v>2750</v>
      </c>
      <c r="M967">
        <v>2750</v>
      </c>
      <c r="N967">
        <v>0</v>
      </c>
    </row>
    <row r="968" spans="1:14" x14ac:dyDescent="0.25">
      <c r="A968">
        <v>549.88454300000001</v>
      </c>
      <c r="B968" s="1">
        <f>DATE(2011,11,1) + TIME(21,13,44)</f>
        <v>40848.88453703704</v>
      </c>
      <c r="C968">
        <v>80</v>
      </c>
      <c r="D968">
        <v>79.735084533999995</v>
      </c>
      <c r="E968">
        <v>50</v>
      </c>
      <c r="F968">
        <v>46.083103180000002</v>
      </c>
      <c r="G968">
        <v>1297.6054687999999</v>
      </c>
      <c r="H968">
        <v>1283.4124756000001</v>
      </c>
      <c r="I968">
        <v>1414.0129394999999</v>
      </c>
      <c r="J968">
        <v>1389.5350341999999</v>
      </c>
      <c r="K968">
        <v>0</v>
      </c>
      <c r="L968">
        <v>2750</v>
      </c>
      <c r="M968">
        <v>2750</v>
      </c>
      <c r="N968">
        <v>0</v>
      </c>
    </row>
    <row r="969" spans="1:14" x14ac:dyDescent="0.25">
      <c r="A969">
        <v>549.98002499999996</v>
      </c>
      <c r="B969" s="1">
        <f>DATE(2011,11,1) + TIME(23,31,14)</f>
        <v>40848.980023148149</v>
      </c>
      <c r="C969">
        <v>80</v>
      </c>
      <c r="D969">
        <v>79.716133118000002</v>
      </c>
      <c r="E969">
        <v>50</v>
      </c>
      <c r="F969">
        <v>46.547298431000002</v>
      </c>
      <c r="G969">
        <v>1297.6004639</v>
      </c>
      <c r="H969">
        <v>1283.4066161999999</v>
      </c>
      <c r="I969">
        <v>1413.6726074000001</v>
      </c>
      <c r="J969">
        <v>1389.3746338000001</v>
      </c>
      <c r="K969">
        <v>0</v>
      </c>
      <c r="L969">
        <v>2750</v>
      </c>
      <c r="M969">
        <v>2750</v>
      </c>
      <c r="N969">
        <v>0</v>
      </c>
    </row>
    <row r="970" spans="1:14" x14ac:dyDescent="0.25">
      <c r="A970">
        <v>550.086007</v>
      </c>
      <c r="B970" s="1">
        <f>DATE(2011,11,2) + TIME(2,3,50)</f>
        <v>40849.085995370369</v>
      </c>
      <c r="C970">
        <v>80</v>
      </c>
      <c r="D970">
        <v>79.695602417000003</v>
      </c>
      <c r="E970">
        <v>50</v>
      </c>
      <c r="F970">
        <v>46.995201111</v>
      </c>
      <c r="G970">
        <v>1297.5949707</v>
      </c>
      <c r="H970">
        <v>1283.4001464999999</v>
      </c>
      <c r="I970">
        <v>1413.3391113</v>
      </c>
      <c r="J970">
        <v>1389.2131348</v>
      </c>
      <c r="K970">
        <v>0</v>
      </c>
      <c r="L970">
        <v>2750</v>
      </c>
      <c r="M970">
        <v>2750</v>
      </c>
      <c r="N970">
        <v>0</v>
      </c>
    </row>
    <row r="971" spans="1:14" x14ac:dyDescent="0.25">
      <c r="A971">
        <v>550.20504200000005</v>
      </c>
      <c r="B971" s="1">
        <f>DATE(2011,11,2) + TIME(4,55,15)</f>
        <v>40849.205034722225</v>
      </c>
      <c r="C971">
        <v>80</v>
      </c>
      <c r="D971">
        <v>79.673118591000005</v>
      </c>
      <c r="E971">
        <v>50</v>
      </c>
      <c r="F971">
        <v>47.425476074000002</v>
      </c>
      <c r="G971">
        <v>1297.5888672000001</v>
      </c>
      <c r="H971">
        <v>1283.3929443</v>
      </c>
      <c r="I971">
        <v>1413.0119629000001</v>
      </c>
      <c r="J971">
        <v>1389.0495605000001</v>
      </c>
      <c r="K971">
        <v>0</v>
      </c>
      <c r="L971">
        <v>2750</v>
      </c>
      <c r="M971">
        <v>2750</v>
      </c>
      <c r="N971">
        <v>0</v>
      </c>
    </row>
    <row r="972" spans="1:14" x14ac:dyDescent="0.25">
      <c r="A972">
        <v>550.340689</v>
      </c>
      <c r="B972" s="1">
        <f>DATE(2011,11,2) + TIME(8,10,35)</f>
        <v>40849.340682870374</v>
      </c>
      <c r="C972">
        <v>80</v>
      </c>
      <c r="D972">
        <v>79.648208617999998</v>
      </c>
      <c r="E972">
        <v>50</v>
      </c>
      <c r="F972">
        <v>47.836433411000002</v>
      </c>
      <c r="G972">
        <v>1297.5821533000001</v>
      </c>
      <c r="H972">
        <v>1283.3850098</v>
      </c>
      <c r="I972">
        <v>1412.6898193</v>
      </c>
      <c r="J972">
        <v>1388.8830565999999</v>
      </c>
      <c r="K972">
        <v>0</v>
      </c>
      <c r="L972">
        <v>2750</v>
      </c>
      <c r="M972">
        <v>2750</v>
      </c>
      <c r="N972">
        <v>0</v>
      </c>
    </row>
    <row r="973" spans="1:14" x14ac:dyDescent="0.25">
      <c r="A973">
        <v>550.49809400000004</v>
      </c>
      <c r="B973" s="1">
        <f>DATE(2011,11,2) + TIME(11,57,15)</f>
        <v>40849.498090277775</v>
      </c>
      <c r="C973">
        <v>80</v>
      </c>
      <c r="D973">
        <v>79.620178222999996</v>
      </c>
      <c r="E973">
        <v>50</v>
      </c>
      <c r="F973">
        <v>48.225910186999997</v>
      </c>
      <c r="G973">
        <v>1297.5744629000001</v>
      </c>
      <c r="H973">
        <v>1283.3759766000001</v>
      </c>
      <c r="I973">
        <v>1412.3719481999999</v>
      </c>
      <c r="J973">
        <v>1388.7119141000001</v>
      </c>
      <c r="K973">
        <v>0</v>
      </c>
      <c r="L973">
        <v>2750</v>
      </c>
      <c r="M973">
        <v>2750</v>
      </c>
      <c r="N973">
        <v>0</v>
      </c>
    </row>
    <row r="974" spans="1:14" x14ac:dyDescent="0.25">
      <c r="A974">
        <v>550.65767200000005</v>
      </c>
      <c r="B974" s="1">
        <f>DATE(2011,11,2) + TIME(15,47,2)</f>
        <v>40849.65766203704</v>
      </c>
      <c r="C974">
        <v>80</v>
      </c>
      <c r="D974">
        <v>79.591896057</v>
      </c>
      <c r="E974">
        <v>50</v>
      </c>
      <c r="F974">
        <v>48.547538756999998</v>
      </c>
      <c r="G974">
        <v>1297.5654297000001</v>
      </c>
      <c r="H974">
        <v>1283.3657227000001</v>
      </c>
      <c r="I974">
        <v>1412.0875243999999</v>
      </c>
      <c r="J974">
        <v>1388.5474853999999</v>
      </c>
      <c r="K974">
        <v>0</v>
      </c>
      <c r="L974">
        <v>2750</v>
      </c>
      <c r="M974">
        <v>2750</v>
      </c>
      <c r="N974">
        <v>0</v>
      </c>
    </row>
    <row r="975" spans="1:14" x14ac:dyDescent="0.25">
      <c r="A975">
        <v>550.81962499999997</v>
      </c>
      <c r="B975" s="1">
        <f>DATE(2011,11,2) + TIME(19,40,15)</f>
        <v>40849.819618055553</v>
      </c>
      <c r="C975">
        <v>80</v>
      </c>
      <c r="D975">
        <v>79.563354492000002</v>
      </c>
      <c r="E975">
        <v>50</v>
      </c>
      <c r="F975">
        <v>48.812641143999997</v>
      </c>
      <c r="G975">
        <v>1297.5562743999999</v>
      </c>
      <c r="H975">
        <v>1283.3553466999999</v>
      </c>
      <c r="I975">
        <v>1411.8364257999999</v>
      </c>
      <c r="J975">
        <v>1388.395874</v>
      </c>
      <c r="K975">
        <v>0</v>
      </c>
      <c r="L975">
        <v>2750</v>
      </c>
      <c r="M975">
        <v>2750</v>
      </c>
      <c r="N975">
        <v>0</v>
      </c>
    </row>
    <row r="976" spans="1:14" x14ac:dyDescent="0.25">
      <c r="A976">
        <v>550.98542599999996</v>
      </c>
      <c r="B976" s="1">
        <f>DATE(2011,11,2) + TIME(23,39,0)</f>
        <v>40849.98541666667</v>
      </c>
      <c r="C976">
        <v>80</v>
      </c>
      <c r="D976">
        <v>79.534347534000005</v>
      </c>
      <c r="E976">
        <v>50</v>
      </c>
      <c r="F976">
        <v>49.032070160000004</v>
      </c>
      <c r="G976">
        <v>1297.5469971</v>
      </c>
      <c r="H976">
        <v>1283.3448486</v>
      </c>
      <c r="I976">
        <v>1411.6124268000001</v>
      </c>
      <c r="J976">
        <v>1388.2550048999999</v>
      </c>
      <c r="K976">
        <v>0</v>
      </c>
      <c r="L976">
        <v>2750</v>
      </c>
      <c r="M976">
        <v>2750</v>
      </c>
      <c r="N976">
        <v>0</v>
      </c>
    </row>
    <row r="977" spans="1:14" x14ac:dyDescent="0.25">
      <c r="A977">
        <v>551.15641700000003</v>
      </c>
      <c r="B977" s="1">
        <f>DATE(2011,11,3) + TIME(3,45,14)</f>
        <v>40850.156412037039</v>
      </c>
      <c r="C977">
        <v>80</v>
      </c>
      <c r="D977">
        <v>79.504692078000005</v>
      </c>
      <c r="E977">
        <v>50</v>
      </c>
      <c r="F977">
        <v>49.213935851999999</v>
      </c>
      <c r="G977">
        <v>1297.5375977000001</v>
      </c>
      <c r="H977">
        <v>1283.3341064000001</v>
      </c>
      <c r="I977">
        <v>1411.4100341999999</v>
      </c>
      <c r="J977">
        <v>1388.1224365</v>
      </c>
      <c r="K977">
        <v>0</v>
      </c>
      <c r="L977">
        <v>2750</v>
      </c>
      <c r="M977">
        <v>2750</v>
      </c>
      <c r="N977">
        <v>0</v>
      </c>
    </row>
    <row r="978" spans="1:14" x14ac:dyDescent="0.25">
      <c r="A978">
        <v>551.33400800000004</v>
      </c>
      <c r="B978" s="1">
        <f>DATE(2011,11,3) + TIME(8,0,58)</f>
        <v>40850.334004629629</v>
      </c>
      <c r="C978">
        <v>80</v>
      </c>
      <c r="D978">
        <v>79.474197387999993</v>
      </c>
      <c r="E978">
        <v>50</v>
      </c>
      <c r="F978">
        <v>49.36460495</v>
      </c>
      <c r="G978">
        <v>1297.5279541</v>
      </c>
      <c r="H978">
        <v>1283.3231201000001</v>
      </c>
      <c r="I978">
        <v>1411.2252197</v>
      </c>
      <c r="J978">
        <v>1387.996582</v>
      </c>
      <c r="K978">
        <v>0</v>
      </c>
      <c r="L978">
        <v>2750</v>
      </c>
      <c r="M978">
        <v>2750</v>
      </c>
      <c r="N978">
        <v>0</v>
      </c>
    </row>
    <row r="979" spans="1:14" x14ac:dyDescent="0.25">
      <c r="A979">
        <v>551.51973199999998</v>
      </c>
      <c r="B979" s="1">
        <f>DATE(2011,11,3) + TIME(12,28,24)</f>
        <v>40850.51972222222</v>
      </c>
      <c r="C979">
        <v>80</v>
      </c>
      <c r="D979">
        <v>79.442657471000004</v>
      </c>
      <c r="E979">
        <v>50</v>
      </c>
      <c r="F979">
        <v>49.489154816000003</v>
      </c>
      <c r="G979">
        <v>1297.5179443</v>
      </c>
      <c r="H979">
        <v>1283.3117675999999</v>
      </c>
      <c r="I979">
        <v>1411.0545654</v>
      </c>
      <c r="J979">
        <v>1387.8758545000001</v>
      </c>
      <c r="K979">
        <v>0</v>
      </c>
      <c r="L979">
        <v>2750</v>
      </c>
      <c r="M979">
        <v>2750</v>
      </c>
      <c r="N979">
        <v>0</v>
      </c>
    </row>
    <row r="980" spans="1:14" x14ac:dyDescent="0.25">
      <c r="A980">
        <v>551.71533099999999</v>
      </c>
      <c r="B980" s="1">
        <f>DATE(2011,11,3) + TIME(17,10,4)</f>
        <v>40850.715324074074</v>
      </c>
      <c r="C980">
        <v>80</v>
      </c>
      <c r="D980">
        <v>79.409828185999999</v>
      </c>
      <c r="E980">
        <v>50</v>
      </c>
      <c r="F980">
        <v>49.591720580999997</v>
      </c>
      <c r="G980">
        <v>1297.5075684000001</v>
      </c>
      <c r="H980">
        <v>1283.2999268000001</v>
      </c>
      <c r="I980">
        <v>1410.8955077999999</v>
      </c>
      <c r="J980">
        <v>1387.7591553</v>
      </c>
      <c r="K980">
        <v>0</v>
      </c>
      <c r="L980">
        <v>2750</v>
      </c>
      <c r="M980">
        <v>2750</v>
      </c>
      <c r="N980">
        <v>0</v>
      </c>
    </row>
    <row r="981" spans="1:14" x14ac:dyDescent="0.25">
      <c r="A981">
        <v>551.92284600000005</v>
      </c>
      <c r="B981" s="1">
        <f>DATE(2011,11,3) + TIME(22,8,53)</f>
        <v>40850.922835648147</v>
      </c>
      <c r="C981">
        <v>80</v>
      </c>
      <c r="D981">
        <v>79.375450134000005</v>
      </c>
      <c r="E981">
        <v>50</v>
      </c>
      <c r="F981">
        <v>49.675724029999998</v>
      </c>
      <c r="G981">
        <v>1297.4967041</v>
      </c>
      <c r="H981">
        <v>1283.2875977000001</v>
      </c>
      <c r="I981">
        <v>1410.7454834</v>
      </c>
      <c r="J981">
        <v>1387.6453856999999</v>
      </c>
      <c r="K981">
        <v>0</v>
      </c>
      <c r="L981">
        <v>2750</v>
      </c>
      <c r="M981">
        <v>2750</v>
      </c>
      <c r="N981">
        <v>0</v>
      </c>
    </row>
    <row r="982" spans="1:14" x14ac:dyDescent="0.25">
      <c r="A982">
        <v>552.14473499999997</v>
      </c>
      <c r="B982" s="1">
        <f>DATE(2011,11,4) + TIME(3,28,25)</f>
        <v>40851.144733796296</v>
      </c>
      <c r="C982">
        <v>80</v>
      </c>
      <c r="D982">
        <v>79.339202881000006</v>
      </c>
      <c r="E982">
        <v>50</v>
      </c>
      <c r="F982">
        <v>49.744014739999997</v>
      </c>
      <c r="G982">
        <v>1297.4852295000001</v>
      </c>
      <c r="H982">
        <v>1283.2744141000001</v>
      </c>
      <c r="I982">
        <v>1410.6025391000001</v>
      </c>
      <c r="J982">
        <v>1387.5333252</v>
      </c>
      <c r="K982">
        <v>0</v>
      </c>
      <c r="L982">
        <v>2750</v>
      </c>
      <c r="M982">
        <v>2750</v>
      </c>
      <c r="N982">
        <v>0</v>
      </c>
    </row>
    <row r="983" spans="1:14" x14ac:dyDescent="0.25">
      <c r="A983">
        <v>552.38399500000003</v>
      </c>
      <c r="B983" s="1">
        <f>DATE(2011,11,4) + TIME(9,12,57)</f>
        <v>40851.383993055555</v>
      </c>
      <c r="C983">
        <v>80</v>
      </c>
      <c r="D983">
        <v>79.300704956000004</v>
      </c>
      <c r="E983">
        <v>50</v>
      </c>
      <c r="F983">
        <v>49.799011229999998</v>
      </c>
      <c r="G983">
        <v>1297.4729004000001</v>
      </c>
      <c r="H983">
        <v>1283.2604980000001</v>
      </c>
      <c r="I983">
        <v>1410.4647216999999</v>
      </c>
      <c r="J983">
        <v>1387.4221190999999</v>
      </c>
      <c r="K983">
        <v>0</v>
      </c>
      <c r="L983">
        <v>2750</v>
      </c>
      <c r="M983">
        <v>2750</v>
      </c>
      <c r="N983">
        <v>0</v>
      </c>
    </row>
    <row r="984" spans="1:14" x14ac:dyDescent="0.25">
      <c r="A984">
        <v>552.64227700000004</v>
      </c>
      <c r="B984" s="1">
        <f>DATE(2011,11,4) + TIME(15,24,52)</f>
        <v>40851.642268518517</v>
      </c>
      <c r="C984">
        <v>80</v>
      </c>
      <c r="D984">
        <v>79.259727478000002</v>
      </c>
      <c r="E984">
        <v>50</v>
      </c>
      <c r="F984">
        <v>49.842517852999997</v>
      </c>
      <c r="G984">
        <v>1297.4598389</v>
      </c>
      <c r="H984">
        <v>1283.2454834</v>
      </c>
      <c r="I984">
        <v>1410.3304443</v>
      </c>
      <c r="J984">
        <v>1387.3107910000001</v>
      </c>
      <c r="K984">
        <v>0</v>
      </c>
      <c r="L984">
        <v>2750</v>
      </c>
      <c r="M984">
        <v>2750</v>
      </c>
      <c r="N984">
        <v>0</v>
      </c>
    </row>
    <row r="985" spans="1:14" x14ac:dyDescent="0.25">
      <c r="A985">
        <v>552.92039199999999</v>
      </c>
      <c r="B985" s="1">
        <f>DATE(2011,11,4) + TIME(22,5,21)</f>
        <v>40851.920381944445</v>
      </c>
      <c r="C985">
        <v>80</v>
      </c>
      <c r="D985">
        <v>79.216156006000006</v>
      </c>
      <c r="E985">
        <v>50</v>
      </c>
      <c r="F985">
        <v>49.876201629999997</v>
      </c>
      <c r="G985">
        <v>1297.4455565999999</v>
      </c>
      <c r="H985">
        <v>1283.2293701000001</v>
      </c>
      <c r="I985">
        <v>1410.1988524999999</v>
      </c>
      <c r="J985">
        <v>1387.1990966999999</v>
      </c>
      <c r="K985">
        <v>0</v>
      </c>
      <c r="L985">
        <v>2750</v>
      </c>
      <c r="M985">
        <v>2750</v>
      </c>
      <c r="N985">
        <v>0</v>
      </c>
    </row>
    <row r="986" spans="1:14" x14ac:dyDescent="0.25">
      <c r="A986">
        <v>553.22276099999999</v>
      </c>
      <c r="B986" s="1">
        <f>DATE(2011,11,5) + TIME(5,20,46)</f>
        <v>40852.222754629627</v>
      </c>
      <c r="C986">
        <v>80</v>
      </c>
      <c r="D986">
        <v>79.169479370000005</v>
      </c>
      <c r="E986">
        <v>50</v>
      </c>
      <c r="F986">
        <v>49.901947020999998</v>
      </c>
      <c r="G986">
        <v>1297.4304199000001</v>
      </c>
      <c r="H986">
        <v>1283.2120361</v>
      </c>
      <c r="I986">
        <v>1410.0695800999999</v>
      </c>
      <c r="J986">
        <v>1387.0870361</v>
      </c>
      <c r="K986">
        <v>0</v>
      </c>
      <c r="L986">
        <v>2750</v>
      </c>
      <c r="M986">
        <v>2750</v>
      </c>
      <c r="N986">
        <v>0</v>
      </c>
    </row>
    <row r="987" spans="1:14" x14ac:dyDescent="0.25">
      <c r="A987">
        <v>553.55124599999999</v>
      </c>
      <c r="B987" s="1">
        <f>DATE(2011,11,5) + TIME(13,13,47)</f>
        <v>40852.551238425927</v>
      </c>
      <c r="C987">
        <v>80</v>
      </c>
      <c r="D987">
        <v>79.119438170999999</v>
      </c>
      <c r="E987">
        <v>50</v>
      </c>
      <c r="F987">
        <v>49.921169280999997</v>
      </c>
      <c r="G987">
        <v>1297.4139404</v>
      </c>
      <c r="H987">
        <v>1283.1933594</v>
      </c>
      <c r="I987">
        <v>1409.9406738</v>
      </c>
      <c r="J987">
        <v>1386.9737548999999</v>
      </c>
      <c r="K987">
        <v>0</v>
      </c>
      <c r="L987">
        <v>2750</v>
      </c>
      <c r="M987">
        <v>2750</v>
      </c>
      <c r="N987">
        <v>0</v>
      </c>
    </row>
    <row r="988" spans="1:14" x14ac:dyDescent="0.25">
      <c r="A988">
        <v>553.88261599999998</v>
      </c>
      <c r="B988" s="1">
        <f>DATE(2011,11,5) + TIME(21,10,58)</f>
        <v>40852.882615740738</v>
      </c>
      <c r="C988">
        <v>80</v>
      </c>
      <c r="D988">
        <v>79.068389893000003</v>
      </c>
      <c r="E988">
        <v>50</v>
      </c>
      <c r="F988">
        <v>49.934501648000001</v>
      </c>
      <c r="G988">
        <v>1297.395874</v>
      </c>
      <c r="H988">
        <v>1283.1732178</v>
      </c>
      <c r="I988">
        <v>1409.8123779</v>
      </c>
      <c r="J988">
        <v>1386.8592529</v>
      </c>
      <c r="K988">
        <v>0</v>
      </c>
      <c r="L988">
        <v>2750</v>
      </c>
      <c r="M988">
        <v>2750</v>
      </c>
      <c r="N988">
        <v>0</v>
      </c>
    </row>
    <row r="989" spans="1:14" x14ac:dyDescent="0.25">
      <c r="A989">
        <v>554.220505</v>
      </c>
      <c r="B989" s="1">
        <f>DATE(2011,11,6) + TIME(5,17,31)</f>
        <v>40853.220497685186</v>
      </c>
      <c r="C989">
        <v>80</v>
      </c>
      <c r="D989">
        <v>79.01625061</v>
      </c>
      <c r="E989">
        <v>50</v>
      </c>
      <c r="F989">
        <v>49.943820952999999</v>
      </c>
      <c r="G989">
        <v>1297.3778076000001</v>
      </c>
      <c r="H989">
        <v>1283.152832</v>
      </c>
      <c r="I989">
        <v>1409.6925048999999</v>
      </c>
      <c r="J989">
        <v>1386.7514647999999</v>
      </c>
      <c r="K989">
        <v>0</v>
      </c>
      <c r="L989">
        <v>2750</v>
      </c>
      <c r="M989">
        <v>2750</v>
      </c>
      <c r="N989">
        <v>0</v>
      </c>
    </row>
    <row r="990" spans="1:14" x14ac:dyDescent="0.25">
      <c r="A990">
        <v>554.56838100000004</v>
      </c>
      <c r="B990" s="1">
        <f>DATE(2011,11,6) + TIME(13,38,28)</f>
        <v>40853.568379629629</v>
      </c>
      <c r="C990">
        <v>80</v>
      </c>
      <c r="D990">
        <v>78.962829589999998</v>
      </c>
      <c r="E990">
        <v>50</v>
      </c>
      <c r="F990">
        <v>49.950370788999997</v>
      </c>
      <c r="G990">
        <v>1297.359375</v>
      </c>
      <c r="H990">
        <v>1283.1320800999999</v>
      </c>
      <c r="I990">
        <v>1409.5783690999999</v>
      </c>
      <c r="J990">
        <v>1386.6484375</v>
      </c>
      <c r="K990">
        <v>0</v>
      </c>
      <c r="L990">
        <v>2750</v>
      </c>
      <c r="M990">
        <v>2750</v>
      </c>
      <c r="N990">
        <v>0</v>
      </c>
    </row>
    <row r="991" spans="1:14" x14ac:dyDescent="0.25">
      <c r="A991">
        <v>554.92974900000002</v>
      </c>
      <c r="B991" s="1">
        <f>DATE(2011,11,6) + TIME(22,18,50)</f>
        <v>40853.929745370369</v>
      </c>
      <c r="C991">
        <v>80</v>
      </c>
      <c r="D991">
        <v>78.907814025999997</v>
      </c>
      <c r="E991">
        <v>50</v>
      </c>
      <c r="F991">
        <v>49.954990387000002</v>
      </c>
      <c r="G991">
        <v>1297.3405762</v>
      </c>
      <c r="H991">
        <v>1283.1108397999999</v>
      </c>
      <c r="I991">
        <v>1409.4683838000001</v>
      </c>
      <c r="J991">
        <v>1386.5487060999999</v>
      </c>
      <c r="K991">
        <v>0</v>
      </c>
      <c r="L991">
        <v>2750</v>
      </c>
      <c r="M991">
        <v>2750</v>
      </c>
      <c r="N991">
        <v>0</v>
      </c>
    </row>
    <row r="992" spans="1:14" x14ac:dyDescent="0.25">
      <c r="A992">
        <v>555.30842900000005</v>
      </c>
      <c r="B992" s="1">
        <f>DATE(2011,11,7) + TIME(7,24,8)</f>
        <v>40854.308425925927</v>
      </c>
      <c r="C992">
        <v>80</v>
      </c>
      <c r="D992">
        <v>78.850845336999996</v>
      </c>
      <c r="E992">
        <v>50</v>
      </c>
      <c r="F992">
        <v>49.958248138000002</v>
      </c>
      <c r="G992">
        <v>1297.3211670000001</v>
      </c>
      <c r="H992">
        <v>1283.0887451000001</v>
      </c>
      <c r="I992">
        <v>1409.3609618999999</v>
      </c>
      <c r="J992">
        <v>1386.4511719</v>
      </c>
      <c r="K992">
        <v>0</v>
      </c>
      <c r="L992">
        <v>2750</v>
      </c>
      <c r="M992">
        <v>2750</v>
      </c>
      <c r="N992">
        <v>0</v>
      </c>
    </row>
    <row r="993" spans="1:14" x14ac:dyDescent="0.25">
      <c r="A993">
        <v>555.70232299999998</v>
      </c>
      <c r="B993" s="1">
        <f>DATE(2011,11,7) + TIME(16,51,20)</f>
        <v>40854.702314814815</v>
      </c>
      <c r="C993">
        <v>80</v>
      </c>
      <c r="D993">
        <v>78.792076111</v>
      </c>
      <c r="E993">
        <v>50</v>
      </c>
      <c r="F993">
        <v>49.960525513</v>
      </c>
      <c r="G993">
        <v>1297.3007812000001</v>
      </c>
      <c r="H993">
        <v>1283.0656738</v>
      </c>
      <c r="I993">
        <v>1409.2550048999999</v>
      </c>
      <c r="J993">
        <v>1386.3549805</v>
      </c>
      <c r="K993">
        <v>0</v>
      </c>
      <c r="L993">
        <v>2750</v>
      </c>
      <c r="M993">
        <v>2750</v>
      </c>
      <c r="N993">
        <v>0</v>
      </c>
    </row>
    <row r="994" spans="1:14" x14ac:dyDescent="0.25">
      <c r="A994">
        <v>556.11376299999995</v>
      </c>
      <c r="B994" s="1">
        <f>DATE(2011,11,8) + TIME(2,43,49)</f>
        <v>40855.113761574074</v>
      </c>
      <c r="C994">
        <v>80</v>
      </c>
      <c r="D994">
        <v>78.731300353999998</v>
      </c>
      <c r="E994">
        <v>50</v>
      </c>
      <c r="F994">
        <v>49.962120056000003</v>
      </c>
      <c r="G994">
        <v>1297.2795410000001</v>
      </c>
      <c r="H994">
        <v>1283.041626</v>
      </c>
      <c r="I994">
        <v>1409.1511230000001</v>
      </c>
      <c r="J994">
        <v>1386.2604980000001</v>
      </c>
      <c r="K994">
        <v>0</v>
      </c>
      <c r="L994">
        <v>2750</v>
      </c>
      <c r="M994">
        <v>2750</v>
      </c>
      <c r="N994">
        <v>0</v>
      </c>
    </row>
    <row r="995" spans="1:14" x14ac:dyDescent="0.25">
      <c r="A995">
        <v>556.54685600000005</v>
      </c>
      <c r="B995" s="1">
        <f>DATE(2011,11,8) + TIME(13,7,28)</f>
        <v>40855.546851851854</v>
      </c>
      <c r="C995">
        <v>80</v>
      </c>
      <c r="D995">
        <v>78.668113708000007</v>
      </c>
      <c r="E995">
        <v>50</v>
      </c>
      <c r="F995">
        <v>49.963241576999998</v>
      </c>
      <c r="G995">
        <v>1297.2575684000001</v>
      </c>
      <c r="H995">
        <v>1283.0167236</v>
      </c>
      <c r="I995">
        <v>1409.0485839999999</v>
      </c>
      <c r="J995">
        <v>1386.1672363</v>
      </c>
      <c r="K995">
        <v>0</v>
      </c>
      <c r="L995">
        <v>2750</v>
      </c>
      <c r="M995">
        <v>2750</v>
      </c>
      <c r="N995">
        <v>0</v>
      </c>
    </row>
    <row r="996" spans="1:14" x14ac:dyDescent="0.25">
      <c r="A996">
        <v>557.00641900000005</v>
      </c>
      <c r="B996" s="1">
        <f>DATE(2011,11,9) + TIME(0,9,14)</f>
        <v>40856.006412037037</v>
      </c>
      <c r="C996">
        <v>80</v>
      </c>
      <c r="D996">
        <v>78.602035521999994</v>
      </c>
      <c r="E996">
        <v>50</v>
      </c>
      <c r="F996">
        <v>49.964038848999998</v>
      </c>
      <c r="G996">
        <v>1297.234375</v>
      </c>
      <c r="H996">
        <v>1282.9904785000001</v>
      </c>
      <c r="I996">
        <v>1408.9465332</v>
      </c>
      <c r="J996">
        <v>1386.0745850000001</v>
      </c>
      <c r="K996">
        <v>0</v>
      </c>
      <c r="L996">
        <v>2750</v>
      </c>
      <c r="M996">
        <v>2750</v>
      </c>
      <c r="N996">
        <v>0</v>
      </c>
    </row>
    <row r="997" spans="1:14" x14ac:dyDescent="0.25">
      <c r="A997">
        <v>557.49826399999995</v>
      </c>
      <c r="B997" s="1">
        <f>DATE(2011,11,9) + TIME(11,57,29)</f>
        <v>40856.498252314814</v>
      </c>
      <c r="C997">
        <v>80</v>
      </c>
      <c r="D997">
        <v>78.532432556000003</v>
      </c>
      <c r="E997">
        <v>50</v>
      </c>
      <c r="F997">
        <v>49.964607239000003</v>
      </c>
      <c r="G997">
        <v>1297.2098389</v>
      </c>
      <c r="H997">
        <v>1282.9626464999999</v>
      </c>
      <c r="I997">
        <v>1408.8439940999999</v>
      </c>
      <c r="J997">
        <v>1385.9816894999999</v>
      </c>
      <c r="K997">
        <v>0</v>
      </c>
      <c r="L997">
        <v>2750</v>
      </c>
      <c r="M997">
        <v>2750</v>
      </c>
      <c r="N997">
        <v>0</v>
      </c>
    </row>
    <row r="998" spans="1:14" x14ac:dyDescent="0.25">
      <c r="A998">
        <v>558.01890800000001</v>
      </c>
      <c r="B998" s="1">
        <f>DATE(2011,11,10) + TIME(0,27,13)</f>
        <v>40857.018900462965</v>
      </c>
      <c r="C998">
        <v>80</v>
      </c>
      <c r="D998">
        <v>78.459442139000004</v>
      </c>
      <c r="E998">
        <v>50</v>
      </c>
      <c r="F998">
        <v>49.965011597</v>
      </c>
      <c r="G998">
        <v>1297.1835937999999</v>
      </c>
      <c r="H998">
        <v>1282.9328613</v>
      </c>
      <c r="I998">
        <v>1408.7402344</v>
      </c>
      <c r="J998">
        <v>1385.8876952999999</v>
      </c>
      <c r="K998">
        <v>0</v>
      </c>
      <c r="L998">
        <v>2750</v>
      </c>
      <c r="M998">
        <v>2750</v>
      </c>
      <c r="N998">
        <v>0</v>
      </c>
    </row>
    <row r="999" spans="1:14" x14ac:dyDescent="0.25">
      <c r="A999">
        <v>558.54531999999995</v>
      </c>
      <c r="B999" s="1">
        <f>DATE(2011,11,10) + TIME(13,5,15)</f>
        <v>40857.545312499999</v>
      </c>
      <c r="C999">
        <v>80</v>
      </c>
      <c r="D999">
        <v>78.384902953999998</v>
      </c>
      <c r="E999">
        <v>50</v>
      </c>
      <c r="F999">
        <v>49.965293883999998</v>
      </c>
      <c r="G999">
        <v>1297.1557617000001</v>
      </c>
      <c r="H999">
        <v>1282.9014893000001</v>
      </c>
      <c r="I999">
        <v>1408.6363524999999</v>
      </c>
      <c r="J999">
        <v>1385.7937012</v>
      </c>
      <c r="K999">
        <v>0</v>
      </c>
      <c r="L999">
        <v>2750</v>
      </c>
      <c r="M999">
        <v>2750</v>
      </c>
      <c r="N999">
        <v>0</v>
      </c>
    </row>
    <row r="1000" spans="1:14" x14ac:dyDescent="0.25">
      <c r="A1000">
        <v>559.08283300000005</v>
      </c>
      <c r="B1000" s="1">
        <f>DATE(2011,11,11) + TIME(1,59,16)</f>
        <v>40858.082824074074</v>
      </c>
      <c r="C1000">
        <v>80</v>
      </c>
      <c r="D1000">
        <v>78.308967589999995</v>
      </c>
      <c r="E1000">
        <v>50</v>
      </c>
      <c r="F1000">
        <v>49.965496063000003</v>
      </c>
      <c r="G1000">
        <v>1297.1275635</v>
      </c>
      <c r="H1000">
        <v>1282.869751</v>
      </c>
      <c r="I1000">
        <v>1408.5369873</v>
      </c>
      <c r="J1000">
        <v>1385.7039795000001</v>
      </c>
      <c r="K1000">
        <v>0</v>
      </c>
      <c r="L1000">
        <v>2750</v>
      </c>
      <c r="M1000">
        <v>2750</v>
      </c>
      <c r="N1000">
        <v>0</v>
      </c>
    </row>
    <row r="1001" spans="1:14" x14ac:dyDescent="0.25">
      <c r="A1001">
        <v>559.63667499999997</v>
      </c>
      <c r="B1001" s="1">
        <f>DATE(2011,11,11) + TIME(15,16,48)</f>
        <v>40858.636666666665</v>
      </c>
      <c r="C1001">
        <v>80</v>
      </c>
      <c r="D1001">
        <v>78.231445312000005</v>
      </c>
      <c r="E1001">
        <v>50</v>
      </c>
      <c r="F1001">
        <v>49.965648651000002</v>
      </c>
      <c r="G1001">
        <v>1297.0988769999999</v>
      </c>
      <c r="H1001">
        <v>1282.8372803</v>
      </c>
      <c r="I1001">
        <v>1408.4406738</v>
      </c>
      <c r="J1001">
        <v>1385.6171875</v>
      </c>
      <c r="K1001">
        <v>0</v>
      </c>
      <c r="L1001">
        <v>2750</v>
      </c>
      <c r="M1001">
        <v>2750</v>
      </c>
      <c r="N1001">
        <v>0</v>
      </c>
    </row>
    <row r="1002" spans="1:14" x14ac:dyDescent="0.25">
      <c r="A1002">
        <v>560.21234700000002</v>
      </c>
      <c r="B1002" s="1">
        <f>DATE(2011,11,12) + TIME(5,5,46)</f>
        <v>40859.212337962963</v>
      </c>
      <c r="C1002">
        <v>80</v>
      </c>
      <c r="D1002">
        <v>78.151916503999999</v>
      </c>
      <c r="E1002">
        <v>50</v>
      </c>
      <c r="F1002">
        <v>49.965759276999997</v>
      </c>
      <c r="G1002">
        <v>1297.0693358999999</v>
      </c>
      <c r="H1002">
        <v>1282.8038329999999</v>
      </c>
      <c r="I1002">
        <v>1408.3464355000001</v>
      </c>
      <c r="J1002">
        <v>1385.5322266000001</v>
      </c>
      <c r="K1002">
        <v>0</v>
      </c>
      <c r="L1002">
        <v>2750</v>
      </c>
      <c r="M1002">
        <v>2750</v>
      </c>
      <c r="N1002">
        <v>0</v>
      </c>
    </row>
    <row r="1003" spans="1:14" x14ac:dyDescent="0.25">
      <c r="A1003">
        <v>560.81599000000006</v>
      </c>
      <c r="B1003" s="1">
        <f>DATE(2011,11,12) + TIME(19,35,1)</f>
        <v>40859.815983796296</v>
      </c>
      <c r="C1003">
        <v>80</v>
      </c>
      <c r="D1003">
        <v>78.069816588999998</v>
      </c>
      <c r="E1003">
        <v>50</v>
      </c>
      <c r="F1003">
        <v>49.965847015000001</v>
      </c>
      <c r="G1003">
        <v>1297.0386963000001</v>
      </c>
      <c r="H1003">
        <v>1282.769043</v>
      </c>
      <c r="I1003">
        <v>1408.2531738</v>
      </c>
      <c r="J1003">
        <v>1385.4484863</v>
      </c>
      <c r="K1003">
        <v>0</v>
      </c>
      <c r="L1003">
        <v>2750</v>
      </c>
      <c r="M1003">
        <v>2750</v>
      </c>
      <c r="N1003">
        <v>0</v>
      </c>
    </row>
    <row r="1004" spans="1:14" x14ac:dyDescent="0.25">
      <c r="A1004">
        <v>561.44136300000002</v>
      </c>
      <c r="B1004" s="1">
        <f>DATE(2011,11,13) + TIME(10,35,33)</f>
        <v>40860.441354166665</v>
      </c>
      <c r="C1004">
        <v>80</v>
      </c>
      <c r="D1004">
        <v>77.985412597999996</v>
      </c>
      <c r="E1004">
        <v>50</v>
      </c>
      <c r="F1004">
        <v>49.965915680000002</v>
      </c>
      <c r="G1004">
        <v>1297.0064697</v>
      </c>
      <c r="H1004">
        <v>1282.7325439000001</v>
      </c>
      <c r="I1004">
        <v>1408.1601562000001</v>
      </c>
      <c r="J1004">
        <v>1385.3648682</v>
      </c>
      <c r="K1004">
        <v>0</v>
      </c>
      <c r="L1004">
        <v>2750</v>
      </c>
      <c r="M1004">
        <v>2750</v>
      </c>
      <c r="N1004">
        <v>0</v>
      </c>
    </row>
    <row r="1005" spans="1:14" x14ac:dyDescent="0.25">
      <c r="A1005">
        <v>562.08984299999997</v>
      </c>
      <c r="B1005" s="1">
        <f>DATE(2011,11,14) + TIME(2,9,22)</f>
        <v>40861.089837962965</v>
      </c>
      <c r="C1005">
        <v>80</v>
      </c>
      <c r="D1005">
        <v>77.898681640999996</v>
      </c>
      <c r="E1005">
        <v>50</v>
      </c>
      <c r="F1005">
        <v>49.965972899999997</v>
      </c>
      <c r="G1005">
        <v>1296.9730225000001</v>
      </c>
      <c r="H1005">
        <v>1282.6945800999999</v>
      </c>
      <c r="I1005">
        <v>1408.0683594</v>
      </c>
      <c r="J1005">
        <v>1385.2825928</v>
      </c>
      <c r="K1005">
        <v>0</v>
      </c>
      <c r="L1005">
        <v>2750</v>
      </c>
      <c r="M1005">
        <v>2750</v>
      </c>
      <c r="N1005">
        <v>0</v>
      </c>
    </row>
    <row r="1006" spans="1:14" x14ac:dyDescent="0.25">
      <c r="A1006">
        <v>562.76773900000001</v>
      </c>
      <c r="B1006" s="1">
        <f>DATE(2011,11,14) + TIME(18,25,32)</f>
        <v>40861.767731481479</v>
      </c>
      <c r="C1006">
        <v>80</v>
      </c>
      <c r="D1006">
        <v>77.809234618999994</v>
      </c>
      <c r="E1006">
        <v>50</v>
      </c>
      <c r="F1006">
        <v>49.966018677000001</v>
      </c>
      <c r="G1006">
        <v>1296.9383545000001</v>
      </c>
      <c r="H1006">
        <v>1282.6552733999999</v>
      </c>
      <c r="I1006">
        <v>1407.9775391000001</v>
      </c>
      <c r="J1006">
        <v>1385.2014160000001</v>
      </c>
      <c r="K1006">
        <v>0</v>
      </c>
      <c r="L1006">
        <v>2750</v>
      </c>
      <c r="M1006">
        <v>2750</v>
      </c>
      <c r="N1006">
        <v>0</v>
      </c>
    </row>
    <row r="1007" spans="1:14" x14ac:dyDescent="0.25">
      <c r="A1007">
        <v>563.47875699999997</v>
      </c>
      <c r="B1007" s="1">
        <f>DATE(2011,11,15) + TIME(11,29,24)</f>
        <v>40862.478750000002</v>
      </c>
      <c r="C1007">
        <v>80</v>
      </c>
      <c r="D1007">
        <v>77.716690063000001</v>
      </c>
      <c r="E1007">
        <v>50</v>
      </c>
      <c r="F1007">
        <v>49.966056823999999</v>
      </c>
      <c r="G1007">
        <v>1296.9020995999999</v>
      </c>
      <c r="H1007">
        <v>1282.6140137</v>
      </c>
      <c r="I1007">
        <v>1407.887207</v>
      </c>
      <c r="J1007">
        <v>1385.1204834</v>
      </c>
      <c r="K1007">
        <v>0</v>
      </c>
      <c r="L1007">
        <v>2750</v>
      </c>
      <c r="M1007">
        <v>2750</v>
      </c>
      <c r="N1007">
        <v>0</v>
      </c>
    </row>
    <row r="1008" spans="1:14" x14ac:dyDescent="0.25">
      <c r="A1008">
        <v>564.201595</v>
      </c>
      <c r="B1008" s="1">
        <f>DATE(2011,11,16) + TIME(4,50,17)</f>
        <v>40863.201585648145</v>
      </c>
      <c r="C1008">
        <v>80</v>
      </c>
      <c r="D1008">
        <v>77.622299193999993</v>
      </c>
      <c r="E1008">
        <v>50</v>
      </c>
      <c r="F1008">
        <v>49.966091155999997</v>
      </c>
      <c r="G1008">
        <v>1296.8638916</v>
      </c>
      <c r="H1008">
        <v>1282.5708007999999</v>
      </c>
      <c r="I1008">
        <v>1407.7966309000001</v>
      </c>
      <c r="J1008">
        <v>1385.0396728999999</v>
      </c>
      <c r="K1008">
        <v>0</v>
      </c>
      <c r="L1008">
        <v>2750</v>
      </c>
      <c r="M1008">
        <v>2750</v>
      </c>
      <c r="N1008">
        <v>0</v>
      </c>
    </row>
    <row r="1009" spans="1:14" x14ac:dyDescent="0.25">
      <c r="A1009">
        <v>564.94379600000002</v>
      </c>
      <c r="B1009" s="1">
        <f>DATE(2011,11,16) + TIME(22,39,3)</f>
        <v>40863.943784722222</v>
      </c>
      <c r="C1009">
        <v>80</v>
      </c>
      <c r="D1009">
        <v>77.526206970000004</v>
      </c>
      <c r="E1009">
        <v>50</v>
      </c>
      <c r="F1009">
        <v>49.966117859000001</v>
      </c>
      <c r="G1009">
        <v>1296.8249512</v>
      </c>
      <c r="H1009">
        <v>1282.5264893000001</v>
      </c>
      <c r="I1009">
        <v>1407.7088623</v>
      </c>
      <c r="J1009">
        <v>1384.9613036999999</v>
      </c>
      <c r="K1009">
        <v>0</v>
      </c>
      <c r="L1009">
        <v>2750</v>
      </c>
      <c r="M1009">
        <v>2750</v>
      </c>
      <c r="N1009">
        <v>0</v>
      </c>
    </row>
    <row r="1010" spans="1:14" x14ac:dyDescent="0.25">
      <c r="A1010">
        <v>565.71307400000001</v>
      </c>
      <c r="B1010" s="1">
        <f>DATE(2011,11,17) + TIME(17,6,49)</f>
        <v>40864.713067129633</v>
      </c>
      <c r="C1010">
        <v>80</v>
      </c>
      <c r="D1010">
        <v>77.428016662999994</v>
      </c>
      <c r="E1010">
        <v>50</v>
      </c>
      <c r="F1010">
        <v>49.966148376</v>
      </c>
      <c r="G1010">
        <v>1296.7849120999999</v>
      </c>
      <c r="H1010">
        <v>1282.480957</v>
      </c>
      <c r="I1010">
        <v>1407.6226807</v>
      </c>
      <c r="J1010">
        <v>1384.8845214999999</v>
      </c>
      <c r="K1010">
        <v>0</v>
      </c>
      <c r="L1010">
        <v>2750</v>
      </c>
      <c r="M1010">
        <v>2750</v>
      </c>
      <c r="N1010">
        <v>0</v>
      </c>
    </row>
    <row r="1011" spans="1:14" x14ac:dyDescent="0.25">
      <c r="A1011">
        <v>566.51801699999999</v>
      </c>
      <c r="B1011" s="1">
        <f>DATE(2011,11,18) + TIME(12,25,56)</f>
        <v>40865.518009259256</v>
      </c>
      <c r="C1011">
        <v>80</v>
      </c>
      <c r="D1011">
        <v>77.327064514</v>
      </c>
      <c r="E1011">
        <v>50</v>
      </c>
      <c r="F1011">
        <v>49.966175079000003</v>
      </c>
      <c r="G1011">
        <v>1296.7434082</v>
      </c>
      <c r="H1011">
        <v>1282.4334716999999</v>
      </c>
      <c r="I1011">
        <v>1407.5373535000001</v>
      </c>
      <c r="J1011">
        <v>1384.8084716999999</v>
      </c>
      <c r="K1011">
        <v>0</v>
      </c>
      <c r="L1011">
        <v>2750</v>
      </c>
      <c r="M1011">
        <v>2750</v>
      </c>
      <c r="N1011">
        <v>0</v>
      </c>
    </row>
    <row r="1012" spans="1:14" x14ac:dyDescent="0.25">
      <c r="A1012">
        <v>567.36607100000003</v>
      </c>
      <c r="B1012" s="1">
        <f>DATE(2011,11,19) + TIME(8,47,8)</f>
        <v>40866.366064814814</v>
      </c>
      <c r="C1012">
        <v>80</v>
      </c>
      <c r="D1012">
        <v>77.222602843999994</v>
      </c>
      <c r="E1012">
        <v>50</v>
      </c>
      <c r="F1012">
        <v>49.966201781999999</v>
      </c>
      <c r="G1012">
        <v>1296.699707</v>
      </c>
      <c r="H1012">
        <v>1282.3836670000001</v>
      </c>
      <c r="I1012">
        <v>1407.4517822</v>
      </c>
      <c r="J1012">
        <v>1384.7324219</v>
      </c>
      <c r="K1012">
        <v>0</v>
      </c>
      <c r="L1012">
        <v>2750</v>
      </c>
      <c r="M1012">
        <v>2750</v>
      </c>
      <c r="N1012">
        <v>0</v>
      </c>
    </row>
    <row r="1013" spans="1:14" x14ac:dyDescent="0.25">
      <c r="A1013">
        <v>568.23273400000005</v>
      </c>
      <c r="B1013" s="1">
        <f>DATE(2011,11,20) + TIME(5,35,8)</f>
        <v>40867.232731481483</v>
      </c>
      <c r="C1013">
        <v>80</v>
      </c>
      <c r="D1013">
        <v>77.115653992000006</v>
      </c>
      <c r="E1013">
        <v>50</v>
      </c>
      <c r="F1013">
        <v>49.966224670000003</v>
      </c>
      <c r="G1013">
        <v>1296.6534423999999</v>
      </c>
      <c r="H1013">
        <v>1282.3310547000001</v>
      </c>
      <c r="I1013">
        <v>1407.3656006000001</v>
      </c>
      <c r="J1013">
        <v>1384.6557617000001</v>
      </c>
      <c r="K1013">
        <v>0</v>
      </c>
      <c r="L1013">
        <v>2750</v>
      </c>
      <c r="M1013">
        <v>2750</v>
      </c>
      <c r="N1013">
        <v>0</v>
      </c>
    </row>
    <row r="1014" spans="1:14" x14ac:dyDescent="0.25">
      <c r="A1014">
        <v>569.12611000000004</v>
      </c>
      <c r="B1014" s="1">
        <f>DATE(2011,11,21) + TIME(3,1,35)</f>
        <v>40868.126099537039</v>
      </c>
      <c r="C1014">
        <v>80</v>
      </c>
      <c r="D1014">
        <v>77.006500243999994</v>
      </c>
      <c r="E1014">
        <v>50</v>
      </c>
      <c r="F1014">
        <v>49.966251372999999</v>
      </c>
      <c r="G1014">
        <v>1296.605957</v>
      </c>
      <c r="H1014">
        <v>1282.2768555</v>
      </c>
      <c r="I1014">
        <v>1407.28125</v>
      </c>
      <c r="J1014">
        <v>1384.5808105000001</v>
      </c>
      <c r="K1014">
        <v>0</v>
      </c>
      <c r="L1014">
        <v>2750</v>
      </c>
      <c r="M1014">
        <v>2750</v>
      </c>
      <c r="N1014">
        <v>0</v>
      </c>
    </row>
    <row r="1015" spans="1:14" x14ac:dyDescent="0.25">
      <c r="A1015">
        <v>570.05454199999997</v>
      </c>
      <c r="B1015" s="1">
        <f>DATE(2011,11,22) + TIME(1,18,32)</f>
        <v>40869.054537037038</v>
      </c>
      <c r="C1015">
        <v>80</v>
      </c>
      <c r="D1015">
        <v>76.894805907999995</v>
      </c>
      <c r="E1015">
        <v>50</v>
      </c>
      <c r="F1015">
        <v>49.966278076000002</v>
      </c>
      <c r="G1015">
        <v>1296.5568848</v>
      </c>
      <c r="H1015">
        <v>1282.2204589999999</v>
      </c>
      <c r="I1015">
        <v>1407.1981201000001</v>
      </c>
      <c r="J1015">
        <v>1384.5069579999999</v>
      </c>
      <c r="K1015">
        <v>0</v>
      </c>
      <c r="L1015">
        <v>2750</v>
      </c>
      <c r="M1015">
        <v>2750</v>
      </c>
      <c r="N1015">
        <v>0</v>
      </c>
    </row>
    <row r="1016" spans="1:14" x14ac:dyDescent="0.25">
      <c r="A1016">
        <v>571.01143300000001</v>
      </c>
      <c r="B1016" s="1">
        <f>DATE(2011,11,23) + TIME(0,16,27)</f>
        <v>40870.011423611111</v>
      </c>
      <c r="C1016">
        <v>80</v>
      </c>
      <c r="D1016">
        <v>76.780708313000005</v>
      </c>
      <c r="E1016">
        <v>50</v>
      </c>
      <c r="F1016">
        <v>49.966304778999998</v>
      </c>
      <c r="G1016">
        <v>1296.5054932</v>
      </c>
      <c r="H1016">
        <v>1282.1616211</v>
      </c>
      <c r="I1016">
        <v>1407.1151123</v>
      </c>
      <c r="J1016">
        <v>1384.4334716999999</v>
      </c>
      <c r="K1016">
        <v>0</v>
      </c>
      <c r="L1016">
        <v>2750</v>
      </c>
      <c r="M1016">
        <v>2750</v>
      </c>
      <c r="N1016">
        <v>0</v>
      </c>
    </row>
    <row r="1017" spans="1:14" x14ac:dyDescent="0.25">
      <c r="A1017">
        <v>571.98827500000004</v>
      </c>
      <c r="B1017" s="1">
        <f>DATE(2011,11,23) + TIME(23,43,6)</f>
        <v>40870.988263888888</v>
      </c>
      <c r="C1017">
        <v>80</v>
      </c>
      <c r="D1017">
        <v>76.664833068999997</v>
      </c>
      <c r="E1017">
        <v>50</v>
      </c>
      <c r="F1017">
        <v>49.966335297000001</v>
      </c>
      <c r="G1017">
        <v>1296.4521483999999</v>
      </c>
      <c r="H1017">
        <v>1282.1004639</v>
      </c>
      <c r="I1017">
        <v>1407.0332031</v>
      </c>
      <c r="J1017">
        <v>1384.3608397999999</v>
      </c>
      <c r="K1017">
        <v>0</v>
      </c>
      <c r="L1017">
        <v>2750</v>
      </c>
      <c r="M1017">
        <v>2750</v>
      </c>
      <c r="N1017">
        <v>0</v>
      </c>
    </row>
    <row r="1018" spans="1:14" x14ac:dyDescent="0.25">
      <c r="A1018">
        <v>572.99331700000005</v>
      </c>
      <c r="B1018" s="1">
        <f>DATE(2011,11,24) + TIME(23,50,22)</f>
        <v>40871.993310185186</v>
      </c>
      <c r="C1018">
        <v>80</v>
      </c>
      <c r="D1018">
        <v>76.547225952000005</v>
      </c>
      <c r="E1018">
        <v>50</v>
      </c>
      <c r="F1018">
        <v>49.966361999999997</v>
      </c>
      <c r="G1018">
        <v>1296.3973389</v>
      </c>
      <c r="H1018">
        <v>1282.0374756000001</v>
      </c>
      <c r="I1018">
        <v>1406.9530029</v>
      </c>
      <c r="J1018">
        <v>1384.2896728999999</v>
      </c>
      <c r="K1018">
        <v>0</v>
      </c>
      <c r="L1018">
        <v>2750</v>
      </c>
      <c r="M1018">
        <v>2750</v>
      </c>
      <c r="N1018">
        <v>0</v>
      </c>
    </row>
    <row r="1019" spans="1:14" x14ac:dyDescent="0.25">
      <c r="A1019">
        <v>574.03685599999994</v>
      </c>
      <c r="B1019" s="1">
        <f>DATE(2011,11,26) + TIME(0,53,4)</f>
        <v>40873.036851851852</v>
      </c>
      <c r="C1019">
        <v>80</v>
      </c>
      <c r="D1019">
        <v>76.427299500000004</v>
      </c>
      <c r="E1019">
        <v>50</v>
      </c>
      <c r="F1019">
        <v>49.966392517000003</v>
      </c>
      <c r="G1019">
        <v>1296.3405762</v>
      </c>
      <c r="H1019">
        <v>1281.9719238</v>
      </c>
      <c r="I1019">
        <v>1406.8736572</v>
      </c>
      <c r="J1019">
        <v>1384.2194824000001</v>
      </c>
      <c r="K1019">
        <v>0</v>
      </c>
      <c r="L1019">
        <v>2750</v>
      </c>
      <c r="M1019">
        <v>2750</v>
      </c>
      <c r="N1019">
        <v>0</v>
      </c>
    </row>
    <row r="1020" spans="1:14" x14ac:dyDescent="0.25">
      <c r="A1020">
        <v>575.13054</v>
      </c>
      <c r="B1020" s="1">
        <f>DATE(2011,11,27) + TIME(3,7,58)</f>
        <v>40874.130532407406</v>
      </c>
      <c r="C1020">
        <v>80</v>
      </c>
      <c r="D1020">
        <v>76.304161071999999</v>
      </c>
      <c r="E1020">
        <v>50</v>
      </c>
      <c r="F1020">
        <v>49.966426849000001</v>
      </c>
      <c r="G1020">
        <v>1296.28125</v>
      </c>
      <c r="H1020">
        <v>1281.9033202999999</v>
      </c>
      <c r="I1020">
        <v>1406.7945557</v>
      </c>
      <c r="J1020">
        <v>1384.1494141000001</v>
      </c>
      <c r="K1020">
        <v>0</v>
      </c>
      <c r="L1020">
        <v>2750</v>
      </c>
      <c r="M1020">
        <v>2750</v>
      </c>
      <c r="N1020">
        <v>0</v>
      </c>
    </row>
    <row r="1021" spans="1:14" x14ac:dyDescent="0.25">
      <c r="A1021">
        <v>576.27194999999995</v>
      </c>
      <c r="B1021" s="1">
        <f>DATE(2011,11,28) + TIME(6,31,36)</f>
        <v>40875.271944444445</v>
      </c>
      <c r="C1021">
        <v>80</v>
      </c>
      <c r="D1021">
        <v>76.177375792999996</v>
      </c>
      <c r="E1021">
        <v>50</v>
      </c>
      <c r="F1021">
        <v>49.966461182000003</v>
      </c>
      <c r="G1021">
        <v>1296.2183838000001</v>
      </c>
      <c r="H1021">
        <v>1281.8305664</v>
      </c>
      <c r="I1021">
        <v>1406.7149658000001</v>
      </c>
      <c r="J1021">
        <v>1384.0789795000001</v>
      </c>
      <c r="K1021">
        <v>0</v>
      </c>
      <c r="L1021">
        <v>2750</v>
      </c>
      <c r="M1021">
        <v>2750</v>
      </c>
      <c r="N1021">
        <v>0</v>
      </c>
    </row>
    <row r="1022" spans="1:14" x14ac:dyDescent="0.25">
      <c r="A1022">
        <v>577.42899</v>
      </c>
      <c r="B1022" s="1">
        <f>DATE(2011,11,29) + TIME(10,17,44)</f>
        <v>40876.428981481484</v>
      </c>
      <c r="C1022">
        <v>80</v>
      </c>
      <c r="D1022">
        <v>76.048294067</v>
      </c>
      <c r="E1022">
        <v>50</v>
      </c>
      <c r="F1022">
        <v>49.966495514000002</v>
      </c>
      <c r="G1022">
        <v>1296.1520995999999</v>
      </c>
      <c r="H1022">
        <v>1281.7539062000001</v>
      </c>
      <c r="I1022">
        <v>1406.6350098</v>
      </c>
      <c r="J1022">
        <v>1384.0083007999999</v>
      </c>
      <c r="K1022">
        <v>0</v>
      </c>
      <c r="L1022">
        <v>2750</v>
      </c>
      <c r="M1022">
        <v>2750</v>
      </c>
      <c r="N1022">
        <v>0</v>
      </c>
    </row>
    <row r="1023" spans="1:14" x14ac:dyDescent="0.25">
      <c r="A1023">
        <v>578.60098900000003</v>
      </c>
      <c r="B1023" s="1">
        <f>DATE(2011,11,30) + TIME(14,25,25)</f>
        <v>40877.600983796299</v>
      </c>
      <c r="C1023">
        <v>80</v>
      </c>
      <c r="D1023">
        <v>75.918289185000006</v>
      </c>
      <c r="E1023">
        <v>50</v>
      </c>
      <c r="F1023">
        <v>49.966529846</v>
      </c>
      <c r="G1023">
        <v>1296.0842285000001</v>
      </c>
      <c r="H1023">
        <v>1281.6749268000001</v>
      </c>
      <c r="I1023">
        <v>1406.5571289</v>
      </c>
      <c r="J1023">
        <v>1383.9393310999999</v>
      </c>
      <c r="K1023">
        <v>0</v>
      </c>
      <c r="L1023">
        <v>2750</v>
      </c>
      <c r="M1023">
        <v>2750</v>
      </c>
      <c r="N1023">
        <v>0</v>
      </c>
    </row>
    <row r="1024" spans="1:14" x14ac:dyDescent="0.25">
      <c r="A1024">
        <v>579</v>
      </c>
      <c r="B1024" s="1">
        <f>DATE(2011,12,1) + TIME(0,0,0)</f>
        <v>40878</v>
      </c>
      <c r="C1024">
        <v>80</v>
      </c>
      <c r="D1024">
        <v>75.844512938999998</v>
      </c>
      <c r="E1024">
        <v>50</v>
      </c>
      <c r="F1024">
        <v>49.966533661</v>
      </c>
      <c r="G1024">
        <v>1296.0123291</v>
      </c>
      <c r="H1024">
        <v>1281.5981445</v>
      </c>
      <c r="I1024">
        <v>1406.4808350000001</v>
      </c>
      <c r="J1024">
        <v>1383.8718262</v>
      </c>
      <c r="K1024">
        <v>0</v>
      </c>
      <c r="L1024">
        <v>2750</v>
      </c>
      <c r="M1024">
        <v>2750</v>
      </c>
      <c r="N1024">
        <v>0</v>
      </c>
    </row>
    <row r="1025" spans="1:14" x14ac:dyDescent="0.25">
      <c r="A1025">
        <v>580.19880599999999</v>
      </c>
      <c r="B1025" s="1">
        <f>DATE(2011,12,2) + TIME(4,46,16)</f>
        <v>40879.198796296296</v>
      </c>
      <c r="C1025">
        <v>80</v>
      </c>
      <c r="D1025">
        <v>75.732185364000003</v>
      </c>
      <c r="E1025">
        <v>50</v>
      </c>
      <c r="F1025">
        <v>49.966579437</v>
      </c>
      <c r="G1025">
        <v>1295.9904785000001</v>
      </c>
      <c r="H1025">
        <v>1281.5637207</v>
      </c>
      <c r="I1025">
        <v>1406.4560547000001</v>
      </c>
      <c r="J1025">
        <v>1383.8499756000001</v>
      </c>
      <c r="K1025">
        <v>0</v>
      </c>
      <c r="L1025">
        <v>2750</v>
      </c>
      <c r="M1025">
        <v>2750</v>
      </c>
      <c r="N1025">
        <v>0</v>
      </c>
    </row>
    <row r="1026" spans="1:14" x14ac:dyDescent="0.25">
      <c r="A1026">
        <v>581.45372399999997</v>
      </c>
      <c r="B1026" s="1">
        <f>DATE(2011,12,3) + TIME(10,53,21)</f>
        <v>40880.453715277778</v>
      </c>
      <c r="C1026">
        <v>80</v>
      </c>
      <c r="D1026">
        <v>75.606689453000001</v>
      </c>
      <c r="E1026">
        <v>50</v>
      </c>
      <c r="F1026">
        <v>49.966617583999998</v>
      </c>
      <c r="G1026">
        <v>1295.9185791</v>
      </c>
      <c r="H1026">
        <v>1281.4803466999999</v>
      </c>
      <c r="I1026">
        <v>1406.3823242000001</v>
      </c>
      <c r="J1026">
        <v>1383.7847899999999</v>
      </c>
      <c r="K1026">
        <v>0</v>
      </c>
      <c r="L1026">
        <v>2750</v>
      </c>
      <c r="M1026">
        <v>2750</v>
      </c>
      <c r="N1026">
        <v>0</v>
      </c>
    </row>
    <row r="1027" spans="1:14" x14ac:dyDescent="0.25">
      <c r="A1027">
        <v>582.76570700000002</v>
      </c>
      <c r="B1027" s="1">
        <f>DATE(2011,12,4) + TIME(18,22,37)</f>
        <v>40881.765706018516</v>
      </c>
      <c r="C1027">
        <v>80</v>
      </c>
      <c r="D1027">
        <v>75.473365783999995</v>
      </c>
      <c r="E1027">
        <v>50</v>
      </c>
      <c r="F1027">
        <v>49.966655731000003</v>
      </c>
      <c r="G1027">
        <v>1295.8421631000001</v>
      </c>
      <c r="H1027">
        <v>1281.3908690999999</v>
      </c>
      <c r="I1027">
        <v>1406.3077393000001</v>
      </c>
      <c r="J1027">
        <v>1383.7188721</v>
      </c>
      <c r="K1027">
        <v>0</v>
      </c>
      <c r="L1027">
        <v>2750</v>
      </c>
      <c r="M1027">
        <v>2750</v>
      </c>
      <c r="N1027">
        <v>0</v>
      </c>
    </row>
    <row r="1028" spans="1:14" x14ac:dyDescent="0.25">
      <c r="A1028">
        <v>584.14462000000003</v>
      </c>
      <c r="B1028" s="1">
        <f>DATE(2011,12,6) + TIME(3,28,15)</f>
        <v>40883.144618055558</v>
      </c>
      <c r="C1028">
        <v>80</v>
      </c>
      <c r="D1028">
        <v>75.334121703999998</v>
      </c>
      <c r="E1028">
        <v>50</v>
      </c>
      <c r="F1028">
        <v>49.966701508</v>
      </c>
      <c r="G1028">
        <v>1295.7611084</v>
      </c>
      <c r="H1028">
        <v>1281.2954102000001</v>
      </c>
      <c r="I1028">
        <v>1406.2326660000001</v>
      </c>
      <c r="J1028">
        <v>1383.6524658000001</v>
      </c>
      <c r="K1028">
        <v>0</v>
      </c>
      <c r="L1028">
        <v>2750</v>
      </c>
      <c r="M1028">
        <v>2750</v>
      </c>
      <c r="N1028">
        <v>0</v>
      </c>
    </row>
    <row r="1029" spans="1:14" x14ac:dyDescent="0.25">
      <c r="A1029">
        <v>585.54456400000004</v>
      </c>
      <c r="B1029" s="1">
        <f>DATE(2011,12,7) + TIME(13,4,10)</f>
        <v>40884.544560185182</v>
      </c>
      <c r="C1029">
        <v>80</v>
      </c>
      <c r="D1029">
        <v>75.191154479999994</v>
      </c>
      <c r="E1029">
        <v>50</v>
      </c>
      <c r="F1029">
        <v>49.966743469000001</v>
      </c>
      <c r="G1029">
        <v>1295.6745605000001</v>
      </c>
      <c r="H1029">
        <v>1281.1932373</v>
      </c>
      <c r="I1029">
        <v>1406.1564940999999</v>
      </c>
      <c r="J1029">
        <v>1383.5850829999999</v>
      </c>
      <c r="K1029">
        <v>0</v>
      </c>
      <c r="L1029">
        <v>2750</v>
      </c>
      <c r="M1029">
        <v>2750</v>
      </c>
      <c r="N1029">
        <v>0</v>
      </c>
    </row>
    <row r="1030" spans="1:14" x14ac:dyDescent="0.25">
      <c r="A1030">
        <v>586.96109100000001</v>
      </c>
      <c r="B1030" s="1">
        <f>DATE(2011,12,8) + TIME(23,3,58)</f>
        <v>40885.961087962962</v>
      </c>
      <c r="C1030">
        <v>80</v>
      </c>
      <c r="D1030">
        <v>75.046966553000004</v>
      </c>
      <c r="E1030">
        <v>50</v>
      </c>
      <c r="F1030">
        <v>49.966789245999998</v>
      </c>
      <c r="G1030">
        <v>1295.5852050999999</v>
      </c>
      <c r="H1030">
        <v>1281.0874022999999</v>
      </c>
      <c r="I1030">
        <v>1406.0819091999999</v>
      </c>
      <c r="J1030">
        <v>1383.5191649999999</v>
      </c>
      <c r="K1030">
        <v>0</v>
      </c>
      <c r="L1030">
        <v>2750</v>
      </c>
      <c r="M1030">
        <v>2750</v>
      </c>
      <c r="N1030">
        <v>0</v>
      </c>
    </row>
    <row r="1031" spans="1:14" x14ac:dyDescent="0.25">
      <c r="A1031">
        <v>588.40905299999997</v>
      </c>
      <c r="B1031" s="1">
        <f>DATE(2011,12,10) + TIME(9,49,2)</f>
        <v>40887.409050925926</v>
      </c>
      <c r="C1031">
        <v>80</v>
      </c>
      <c r="D1031">
        <v>74.902000427000004</v>
      </c>
      <c r="E1031">
        <v>50</v>
      </c>
      <c r="F1031">
        <v>49.966835021999998</v>
      </c>
      <c r="G1031">
        <v>1295.4934082</v>
      </c>
      <c r="H1031">
        <v>1280.9777832</v>
      </c>
      <c r="I1031">
        <v>1406.0091553</v>
      </c>
      <c r="J1031">
        <v>1383.4548339999999</v>
      </c>
      <c r="K1031">
        <v>0</v>
      </c>
      <c r="L1031">
        <v>2750</v>
      </c>
      <c r="M1031">
        <v>2750</v>
      </c>
      <c r="N1031">
        <v>0</v>
      </c>
    </row>
    <row r="1032" spans="1:14" x14ac:dyDescent="0.25">
      <c r="A1032">
        <v>589.90393100000006</v>
      </c>
      <c r="B1032" s="1">
        <f>DATE(2011,12,11) + TIME(21,41,39)</f>
        <v>40888.903923611113</v>
      </c>
      <c r="C1032">
        <v>80</v>
      </c>
      <c r="D1032">
        <v>74.755500792999996</v>
      </c>
      <c r="E1032">
        <v>50</v>
      </c>
      <c r="F1032">
        <v>49.966880797999998</v>
      </c>
      <c r="G1032">
        <v>1295.3980713000001</v>
      </c>
      <c r="H1032">
        <v>1280.8635254000001</v>
      </c>
      <c r="I1032">
        <v>1405.9373779</v>
      </c>
      <c r="J1032">
        <v>1383.3913574000001</v>
      </c>
      <c r="K1032">
        <v>0</v>
      </c>
      <c r="L1032">
        <v>2750</v>
      </c>
      <c r="M1032">
        <v>2750</v>
      </c>
      <c r="N1032">
        <v>0</v>
      </c>
    </row>
    <row r="1033" spans="1:14" x14ac:dyDescent="0.25">
      <c r="A1033">
        <v>591.44452899999999</v>
      </c>
      <c r="B1033" s="1">
        <f>DATE(2011,12,13) + TIME(10,40,7)</f>
        <v>40890.444525462961</v>
      </c>
      <c r="C1033">
        <v>80</v>
      </c>
      <c r="D1033">
        <v>74.606819153000004</v>
      </c>
      <c r="E1033">
        <v>50</v>
      </c>
      <c r="F1033">
        <v>49.966930388999998</v>
      </c>
      <c r="G1033">
        <v>1295.2978516000001</v>
      </c>
      <c r="H1033">
        <v>1280.7429199000001</v>
      </c>
      <c r="I1033">
        <v>1405.8658447</v>
      </c>
      <c r="J1033">
        <v>1383.3280029</v>
      </c>
      <c r="K1033">
        <v>0</v>
      </c>
      <c r="L1033">
        <v>2750</v>
      </c>
      <c r="M1033">
        <v>2750</v>
      </c>
      <c r="N1033">
        <v>0</v>
      </c>
    </row>
    <row r="1034" spans="1:14" x14ac:dyDescent="0.25">
      <c r="A1034">
        <v>593.04308100000003</v>
      </c>
      <c r="B1034" s="1">
        <f>DATE(2011,12,15) + TIME(1,2,2)</f>
        <v>40892.043078703704</v>
      </c>
      <c r="C1034">
        <v>80</v>
      </c>
      <c r="D1034">
        <v>74.455444335999999</v>
      </c>
      <c r="E1034">
        <v>50</v>
      </c>
      <c r="F1034">
        <v>49.966983794999997</v>
      </c>
      <c r="G1034">
        <v>1295.1926269999999</v>
      </c>
      <c r="H1034">
        <v>1280.6158447</v>
      </c>
      <c r="I1034">
        <v>1405.7945557</v>
      </c>
      <c r="J1034">
        <v>1383.2648925999999</v>
      </c>
      <c r="K1034">
        <v>0</v>
      </c>
      <c r="L1034">
        <v>2750</v>
      </c>
      <c r="M1034">
        <v>2750</v>
      </c>
      <c r="N1034">
        <v>0</v>
      </c>
    </row>
    <row r="1035" spans="1:14" x14ac:dyDescent="0.25">
      <c r="A1035">
        <v>594.67440899999997</v>
      </c>
      <c r="B1035" s="1">
        <f>DATE(2011,12,16) + TIME(16,11,8)</f>
        <v>40893.674398148149</v>
      </c>
      <c r="C1035">
        <v>80</v>
      </c>
      <c r="D1035">
        <v>74.301643372000001</v>
      </c>
      <c r="E1035">
        <v>50</v>
      </c>
      <c r="F1035">
        <v>49.967033385999997</v>
      </c>
      <c r="G1035">
        <v>1295.0812988</v>
      </c>
      <c r="H1035">
        <v>1280.4810791</v>
      </c>
      <c r="I1035">
        <v>1405.7230225000001</v>
      </c>
      <c r="J1035">
        <v>1383.2015381000001</v>
      </c>
      <c r="K1035">
        <v>0</v>
      </c>
      <c r="L1035">
        <v>2750</v>
      </c>
      <c r="M1035">
        <v>2750</v>
      </c>
      <c r="N1035">
        <v>0</v>
      </c>
    </row>
    <row r="1036" spans="1:14" x14ac:dyDescent="0.25">
      <c r="A1036">
        <v>596.328395</v>
      </c>
      <c r="B1036" s="1">
        <f>DATE(2011,12,18) + TIME(7,52,53)</f>
        <v>40895.3283912037</v>
      </c>
      <c r="C1036">
        <v>80</v>
      </c>
      <c r="D1036">
        <v>74.146690368999998</v>
      </c>
      <c r="E1036">
        <v>50</v>
      </c>
      <c r="F1036">
        <v>49.967086792000003</v>
      </c>
      <c r="G1036">
        <v>1294.965332</v>
      </c>
      <c r="H1036">
        <v>1280.3398437999999</v>
      </c>
      <c r="I1036">
        <v>1405.6524658000001</v>
      </c>
      <c r="J1036">
        <v>1383.1390381000001</v>
      </c>
      <c r="K1036">
        <v>0</v>
      </c>
      <c r="L1036">
        <v>2750</v>
      </c>
      <c r="M1036">
        <v>2750</v>
      </c>
      <c r="N1036">
        <v>0</v>
      </c>
    </row>
    <row r="1037" spans="1:14" x14ac:dyDescent="0.25">
      <c r="A1037">
        <v>598.021389</v>
      </c>
      <c r="B1037" s="1">
        <f>DATE(2011,12,20) + TIME(0,30,48)</f>
        <v>40897.02138888889</v>
      </c>
      <c r="C1037">
        <v>80</v>
      </c>
      <c r="D1037">
        <v>73.990890503000003</v>
      </c>
      <c r="E1037">
        <v>50</v>
      </c>
      <c r="F1037">
        <v>49.967144011999999</v>
      </c>
      <c r="G1037">
        <v>1294.8453368999999</v>
      </c>
      <c r="H1037">
        <v>1280.1928711</v>
      </c>
      <c r="I1037">
        <v>1405.5832519999999</v>
      </c>
      <c r="J1037">
        <v>1383.0776367000001</v>
      </c>
      <c r="K1037">
        <v>0</v>
      </c>
      <c r="L1037">
        <v>2750</v>
      </c>
      <c r="M1037">
        <v>2750</v>
      </c>
      <c r="N1037">
        <v>0</v>
      </c>
    </row>
    <row r="1038" spans="1:14" x14ac:dyDescent="0.25">
      <c r="A1038">
        <v>599.76420499999995</v>
      </c>
      <c r="B1038" s="1">
        <f>DATE(2011,12,21) + TIME(18,20,27)</f>
        <v>40898.764201388891</v>
      </c>
      <c r="C1038">
        <v>80</v>
      </c>
      <c r="D1038">
        <v>73.833496093999997</v>
      </c>
      <c r="E1038">
        <v>50</v>
      </c>
      <c r="F1038">
        <v>49.967201232999997</v>
      </c>
      <c r="G1038">
        <v>1294.7198486</v>
      </c>
      <c r="H1038">
        <v>1280.0385742000001</v>
      </c>
      <c r="I1038">
        <v>1405.5146483999999</v>
      </c>
      <c r="J1038">
        <v>1383.0168457</v>
      </c>
      <c r="K1038">
        <v>0</v>
      </c>
      <c r="L1038">
        <v>2750</v>
      </c>
      <c r="M1038">
        <v>2750</v>
      </c>
      <c r="N1038">
        <v>0</v>
      </c>
    </row>
    <row r="1039" spans="1:14" x14ac:dyDescent="0.25">
      <c r="A1039">
        <v>601.56008799999995</v>
      </c>
      <c r="B1039" s="1">
        <f>DATE(2011,12,23) + TIME(13,26,31)</f>
        <v>40900.560081018521</v>
      </c>
      <c r="C1039">
        <v>80</v>
      </c>
      <c r="D1039">
        <v>73.673820496000005</v>
      </c>
      <c r="E1039">
        <v>50</v>
      </c>
      <c r="F1039">
        <v>49.967258452999999</v>
      </c>
      <c r="G1039">
        <v>1294.5877685999999</v>
      </c>
      <c r="H1039">
        <v>1279.8754882999999</v>
      </c>
      <c r="I1039">
        <v>1405.4462891000001</v>
      </c>
      <c r="J1039">
        <v>1382.9562988</v>
      </c>
      <c r="K1039">
        <v>0</v>
      </c>
      <c r="L1039">
        <v>2750</v>
      </c>
      <c r="M1039">
        <v>2750</v>
      </c>
      <c r="N1039">
        <v>0</v>
      </c>
    </row>
    <row r="1040" spans="1:14" x14ac:dyDescent="0.25">
      <c r="A1040">
        <v>603.40828499999998</v>
      </c>
      <c r="B1040" s="1">
        <f>DATE(2011,12,25) + TIME(9,47,55)</f>
        <v>40902.408275462964</v>
      </c>
      <c r="C1040">
        <v>80</v>
      </c>
      <c r="D1040">
        <v>73.511611938000001</v>
      </c>
      <c r="E1040">
        <v>50</v>
      </c>
      <c r="F1040">
        <v>49.967315673999998</v>
      </c>
      <c r="G1040">
        <v>1294.4487305</v>
      </c>
      <c r="H1040">
        <v>1279.7028809000001</v>
      </c>
      <c r="I1040">
        <v>1405.3780518000001</v>
      </c>
      <c r="J1040">
        <v>1382.8956298999999</v>
      </c>
      <c r="K1040">
        <v>0</v>
      </c>
      <c r="L1040">
        <v>2750</v>
      </c>
      <c r="M1040">
        <v>2750</v>
      </c>
      <c r="N1040">
        <v>0</v>
      </c>
    </row>
    <row r="1041" spans="1:14" x14ac:dyDescent="0.25">
      <c r="A1041">
        <v>605.27259900000001</v>
      </c>
      <c r="B1041" s="1">
        <f>DATE(2011,12,27) + TIME(6,32,32)</f>
        <v>40904.272592592592</v>
      </c>
      <c r="C1041">
        <v>80</v>
      </c>
      <c r="D1041">
        <v>73.347740173000005</v>
      </c>
      <c r="E1041">
        <v>50</v>
      </c>
      <c r="F1041">
        <v>49.967376709</v>
      </c>
      <c r="G1041">
        <v>1294.3022461</v>
      </c>
      <c r="H1041">
        <v>1279.5203856999999</v>
      </c>
      <c r="I1041">
        <v>1405.3099365</v>
      </c>
      <c r="J1041">
        <v>1382.8352050999999</v>
      </c>
      <c r="K1041">
        <v>0</v>
      </c>
      <c r="L1041">
        <v>2750</v>
      </c>
      <c r="M1041">
        <v>2750</v>
      </c>
      <c r="N1041">
        <v>0</v>
      </c>
    </row>
    <row r="1042" spans="1:14" x14ac:dyDescent="0.25">
      <c r="A1042">
        <v>607.17133100000001</v>
      </c>
      <c r="B1042" s="1">
        <f>DATE(2011,12,29) + TIME(4,6,42)</f>
        <v>40906.171319444446</v>
      </c>
      <c r="C1042">
        <v>80</v>
      </c>
      <c r="D1042">
        <v>73.183319092000005</v>
      </c>
      <c r="E1042">
        <v>50</v>
      </c>
      <c r="F1042">
        <v>49.967437744000001</v>
      </c>
      <c r="G1042">
        <v>1294.1507568</v>
      </c>
      <c r="H1042">
        <v>1279.3304443</v>
      </c>
      <c r="I1042">
        <v>1405.2434082</v>
      </c>
      <c r="J1042">
        <v>1382.7761230000001</v>
      </c>
      <c r="K1042">
        <v>0</v>
      </c>
      <c r="L1042">
        <v>2750</v>
      </c>
      <c r="M1042">
        <v>2750</v>
      </c>
      <c r="N1042">
        <v>0</v>
      </c>
    </row>
    <row r="1043" spans="1:14" x14ac:dyDescent="0.25">
      <c r="A1043">
        <v>609.11561900000004</v>
      </c>
      <c r="B1043" s="1">
        <f>DATE(2011,12,31) + TIME(2,46,29)</f>
        <v>40908.115613425929</v>
      </c>
      <c r="C1043">
        <v>80</v>
      </c>
      <c r="D1043">
        <v>73.017692565999994</v>
      </c>
      <c r="E1043">
        <v>50</v>
      </c>
      <c r="F1043">
        <v>49.967502594000003</v>
      </c>
      <c r="G1043">
        <v>1293.9927978999999</v>
      </c>
      <c r="H1043">
        <v>1279.1315918</v>
      </c>
      <c r="I1043">
        <v>1405.1777344</v>
      </c>
      <c r="J1043">
        <v>1382.7176514</v>
      </c>
      <c r="K1043">
        <v>0</v>
      </c>
      <c r="L1043">
        <v>2750</v>
      </c>
      <c r="M1043">
        <v>2750</v>
      </c>
      <c r="N1043">
        <v>0</v>
      </c>
    </row>
    <row r="1044" spans="1:14" x14ac:dyDescent="0.25">
      <c r="A1044">
        <v>610</v>
      </c>
      <c r="B1044" s="1">
        <f>DATE(2012,1,1) + TIME(0,0,0)</f>
        <v>40909</v>
      </c>
      <c r="C1044">
        <v>80</v>
      </c>
      <c r="D1044">
        <v>72.893241881999998</v>
      </c>
      <c r="E1044">
        <v>50</v>
      </c>
      <c r="F1044">
        <v>49.967525481999999</v>
      </c>
      <c r="G1044">
        <v>1293.8286132999999</v>
      </c>
      <c r="H1044">
        <v>1278.9317627</v>
      </c>
      <c r="I1044">
        <v>1405.1116943</v>
      </c>
      <c r="J1044">
        <v>1382.6588135</v>
      </c>
      <c r="K1044">
        <v>0</v>
      </c>
      <c r="L1044">
        <v>2750</v>
      </c>
      <c r="M1044">
        <v>2750</v>
      </c>
      <c r="N1044">
        <v>0</v>
      </c>
    </row>
    <row r="1045" spans="1:14" x14ac:dyDescent="0.25">
      <c r="A1045">
        <v>611.98592900000006</v>
      </c>
      <c r="B1045" s="1">
        <f>DATE(2012,1,2) + TIME(23,39,44)</f>
        <v>40910.985925925925</v>
      </c>
      <c r="C1045">
        <v>80</v>
      </c>
      <c r="D1045">
        <v>72.761413574000002</v>
      </c>
      <c r="E1045">
        <v>50</v>
      </c>
      <c r="F1045">
        <v>49.967594147</v>
      </c>
      <c r="G1045">
        <v>1293.7460937999999</v>
      </c>
      <c r="H1045">
        <v>1278.8153076000001</v>
      </c>
      <c r="I1045">
        <v>1405.083374</v>
      </c>
      <c r="J1045">
        <v>1382.6335449000001</v>
      </c>
      <c r="K1045">
        <v>0</v>
      </c>
      <c r="L1045">
        <v>2750</v>
      </c>
      <c r="M1045">
        <v>2750</v>
      </c>
      <c r="N1045">
        <v>0</v>
      </c>
    </row>
    <row r="1046" spans="1:14" x14ac:dyDescent="0.25">
      <c r="A1046">
        <v>614.06736000000001</v>
      </c>
      <c r="B1046" s="1">
        <f>DATE(2012,1,5) + TIME(1,36,59)</f>
        <v>40913.067349537036</v>
      </c>
      <c r="C1046">
        <v>80</v>
      </c>
      <c r="D1046">
        <v>72.601417541999993</v>
      </c>
      <c r="E1046">
        <v>50</v>
      </c>
      <c r="F1046">
        <v>49.967662810999997</v>
      </c>
      <c r="G1046">
        <v>1293.5737305</v>
      </c>
      <c r="H1046">
        <v>1278.5981445</v>
      </c>
      <c r="I1046">
        <v>1405.0195312000001</v>
      </c>
      <c r="J1046">
        <v>1382.5767822</v>
      </c>
      <c r="K1046">
        <v>0</v>
      </c>
      <c r="L1046">
        <v>2750</v>
      </c>
      <c r="M1046">
        <v>2750</v>
      </c>
      <c r="N1046">
        <v>0</v>
      </c>
    </row>
    <row r="1047" spans="1:14" x14ac:dyDescent="0.25">
      <c r="A1047">
        <v>616.16988600000002</v>
      </c>
      <c r="B1047" s="1">
        <f>DATE(2012,1,7) + TIME(4,4,38)</f>
        <v>40915.16988425926</v>
      </c>
      <c r="C1047">
        <v>80</v>
      </c>
      <c r="D1047">
        <v>72.430404663000004</v>
      </c>
      <c r="E1047">
        <v>50</v>
      </c>
      <c r="F1047">
        <v>49.967731475999997</v>
      </c>
      <c r="G1047">
        <v>1293.3863524999999</v>
      </c>
      <c r="H1047">
        <v>1278.359375</v>
      </c>
      <c r="I1047">
        <v>1404.9544678</v>
      </c>
      <c r="J1047">
        <v>1382.5186768000001</v>
      </c>
      <c r="K1047">
        <v>0</v>
      </c>
      <c r="L1047">
        <v>2750</v>
      </c>
      <c r="M1047">
        <v>2750</v>
      </c>
      <c r="N1047">
        <v>0</v>
      </c>
    </row>
    <row r="1048" spans="1:14" x14ac:dyDescent="0.25">
      <c r="A1048">
        <v>618.29433100000006</v>
      </c>
      <c r="B1048" s="1">
        <f>DATE(2012,1,9) + TIME(7,3,50)</f>
        <v>40917.294328703705</v>
      </c>
      <c r="C1048">
        <v>80</v>
      </c>
      <c r="D1048">
        <v>72.256149292000003</v>
      </c>
      <c r="E1048">
        <v>50</v>
      </c>
      <c r="F1048">
        <v>49.967800140000001</v>
      </c>
      <c r="G1048">
        <v>1293.1914062000001</v>
      </c>
      <c r="H1048">
        <v>1278.1088867000001</v>
      </c>
      <c r="I1048">
        <v>1404.890625</v>
      </c>
      <c r="J1048">
        <v>1382.4616699000001</v>
      </c>
      <c r="K1048">
        <v>0</v>
      </c>
      <c r="L1048">
        <v>2750</v>
      </c>
      <c r="M1048">
        <v>2750</v>
      </c>
      <c r="N1048">
        <v>0</v>
      </c>
    </row>
    <row r="1049" spans="1:14" x14ac:dyDescent="0.25">
      <c r="A1049">
        <v>620.44759799999997</v>
      </c>
      <c r="B1049" s="1">
        <f>DATE(2012,1,11) + TIME(10,44,32)</f>
        <v>40919.447592592594</v>
      </c>
      <c r="C1049">
        <v>80</v>
      </c>
      <c r="D1049">
        <v>72.080398560000006</v>
      </c>
      <c r="E1049">
        <v>50</v>
      </c>
      <c r="F1049">
        <v>49.967868805000002</v>
      </c>
      <c r="G1049">
        <v>1292.9891356999999</v>
      </c>
      <c r="H1049">
        <v>1277.8475341999999</v>
      </c>
      <c r="I1049">
        <v>1404.8278809000001</v>
      </c>
      <c r="J1049">
        <v>1382.4056396000001</v>
      </c>
      <c r="K1049">
        <v>0</v>
      </c>
      <c r="L1049">
        <v>2750</v>
      </c>
      <c r="M1049">
        <v>2750</v>
      </c>
      <c r="N1049">
        <v>0</v>
      </c>
    </row>
    <row r="1050" spans="1:14" x14ac:dyDescent="0.25">
      <c r="A1050">
        <v>622.62635299999999</v>
      </c>
      <c r="B1050" s="1">
        <f>DATE(2012,1,13) + TIME(15,1,56)</f>
        <v>40921.626342592594</v>
      </c>
      <c r="C1050">
        <v>80</v>
      </c>
      <c r="D1050">
        <v>71.903274535999998</v>
      </c>
      <c r="E1050">
        <v>50</v>
      </c>
      <c r="F1050">
        <v>49.967937468999999</v>
      </c>
      <c r="G1050">
        <v>1292.7788086</v>
      </c>
      <c r="H1050">
        <v>1277.574707</v>
      </c>
      <c r="I1050">
        <v>1404.7661132999999</v>
      </c>
      <c r="J1050">
        <v>1382.3504639</v>
      </c>
      <c r="K1050">
        <v>0</v>
      </c>
      <c r="L1050">
        <v>2750</v>
      </c>
      <c r="M1050">
        <v>2750</v>
      </c>
      <c r="N1050">
        <v>0</v>
      </c>
    </row>
    <row r="1051" spans="1:14" x14ac:dyDescent="0.25">
      <c r="A1051">
        <v>624.82885299999998</v>
      </c>
      <c r="B1051" s="1">
        <f>DATE(2012,1,15) + TIME(19,53,32)</f>
        <v>40923.828842592593</v>
      </c>
      <c r="C1051">
        <v>80</v>
      </c>
      <c r="D1051">
        <v>71.724792480000005</v>
      </c>
      <c r="E1051">
        <v>50</v>
      </c>
      <c r="F1051">
        <v>49.968009948999999</v>
      </c>
      <c r="G1051">
        <v>1292.5606689000001</v>
      </c>
      <c r="H1051">
        <v>1277.2901611</v>
      </c>
      <c r="I1051">
        <v>1404.7052002</v>
      </c>
      <c r="J1051">
        <v>1382.2960204999999</v>
      </c>
      <c r="K1051">
        <v>0</v>
      </c>
      <c r="L1051">
        <v>2750</v>
      </c>
      <c r="M1051">
        <v>2750</v>
      </c>
      <c r="N1051">
        <v>0</v>
      </c>
    </row>
    <row r="1052" spans="1:14" x14ac:dyDescent="0.25">
      <c r="A1052">
        <v>627.05911600000002</v>
      </c>
      <c r="B1052" s="1">
        <f>DATE(2012,1,18) + TIME(1,25,7)</f>
        <v>40926.059108796297</v>
      </c>
      <c r="C1052">
        <v>80</v>
      </c>
      <c r="D1052">
        <v>71.544754028</v>
      </c>
      <c r="E1052">
        <v>50</v>
      </c>
      <c r="F1052">
        <v>49.968078613000003</v>
      </c>
      <c r="G1052">
        <v>1292.3344727000001</v>
      </c>
      <c r="H1052">
        <v>1276.9940185999999</v>
      </c>
      <c r="I1052">
        <v>1404.6452637</v>
      </c>
      <c r="J1052">
        <v>1382.2423096</v>
      </c>
      <c r="K1052">
        <v>0</v>
      </c>
      <c r="L1052">
        <v>2750</v>
      </c>
      <c r="M1052">
        <v>2750</v>
      </c>
      <c r="N1052">
        <v>0</v>
      </c>
    </row>
    <row r="1053" spans="1:14" x14ac:dyDescent="0.25">
      <c r="A1053">
        <v>629.30991100000006</v>
      </c>
      <c r="B1053" s="1">
        <f>DATE(2012,1,20) + TIME(7,26,16)</f>
        <v>40928.309907407405</v>
      </c>
      <c r="C1053">
        <v>80</v>
      </c>
      <c r="D1053">
        <v>71.362876892000003</v>
      </c>
      <c r="E1053">
        <v>50</v>
      </c>
      <c r="F1053">
        <v>49.968151093000003</v>
      </c>
      <c r="G1053">
        <v>1292.0998535000001</v>
      </c>
      <c r="H1053">
        <v>1276.6853027</v>
      </c>
      <c r="I1053">
        <v>1404.5860596</v>
      </c>
      <c r="J1053">
        <v>1382.1893310999999</v>
      </c>
      <c r="K1053">
        <v>0</v>
      </c>
      <c r="L1053">
        <v>2750</v>
      </c>
      <c r="M1053">
        <v>2750</v>
      </c>
      <c r="N1053">
        <v>0</v>
      </c>
    </row>
    <row r="1054" spans="1:14" x14ac:dyDescent="0.25">
      <c r="A1054">
        <v>631.57867599999997</v>
      </c>
      <c r="B1054" s="1">
        <f>DATE(2012,1,22) + TIME(13,53,17)</f>
        <v>40930.578668981485</v>
      </c>
      <c r="C1054">
        <v>80</v>
      </c>
      <c r="D1054">
        <v>71.179183960000003</v>
      </c>
      <c r="E1054">
        <v>50</v>
      </c>
      <c r="F1054">
        <v>49.968223571999999</v>
      </c>
      <c r="G1054">
        <v>1291.8571777</v>
      </c>
      <c r="H1054">
        <v>1276.3647461</v>
      </c>
      <c r="I1054">
        <v>1404.5279541</v>
      </c>
      <c r="J1054">
        <v>1382.1370850000001</v>
      </c>
      <c r="K1054">
        <v>0</v>
      </c>
      <c r="L1054">
        <v>2750</v>
      </c>
      <c r="M1054">
        <v>2750</v>
      </c>
      <c r="N1054">
        <v>0</v>
      </c>
    </row>
    <row r="1055" spans="1:14" x14ac:dyDescent="0.25">
      <c r="A1055">
        <v>633.869822</v>
      </c>
      <c r="B1055" s="1">
        <f>DATE(2012,1,24) + TIME(20,52,32)</f>
        <v>40932.869814814818</v>
      </c>
      <c r="C1055">
        <v>80</v>
      </c>
      <c r="D1055">
        <v>70.993446349999999</v>
      </c>
      <c r="E1055">
        <v>50</v>
      </c>
      <c r="F1055">
        <v>49.968296051000003</v>
      </c>
      <c r="G1055">
        <v>1291.6066894999999</v>
      </c>
      <c r="H1055">
        <v>1276.0323486</v>
      </c>
      <c r="I1055">
        <v>1404.4707031</v>
      </c>
      <c r="J1055">
        <v>1382.0856934000001</v>
      </c>
      <c r="K1055">
        <v>0</v>
      </c>
      <c r="L1055">
        <v>2750</v>
      </c>
      <c r="M1055">
        <v>2750</v>
      </c>
      <c r="N1055">
        <v>0</v>
      </c>
    </row>
    <row r="1056" spans="1:14" x14ac:dyDescent="0.25">
      <c r="A1056">
        <v>636.18757500000004</v>
      </c>
      <c r="B1056" s="1">
        <f>DATE(2012,1,27) + TIME(4,30,6)</f>
        <v>40935.187569444446</v>
      </c>
      <c r="C1056">
        <v>80</v>
      </c>
      <c r="D1056">
        <v>70.805061339999995</v>
      </c>
      <c r="E1056">
        <v>50</v>
      </c>
      <c r="F1056">
        <v>49.968368529999999</v>
      </c>
      <c r="G1056">
        <v>1291.3476562000001</v>
      </c>
      <c r="H1056">
        <v>1275.6872559000001</v>
      </c>
      <c r="I1056">
        <v>1404.4141846</v>
      </c>
      <c r="J1056">
        <v>1382.0349120999999</v>
      </c>
      <c r="K1056">
        <v>0</v>
      </c>
      <c r="L1056">
        <v>2750</v>
      </c>
      <c r="M1056">
        <v>2750</v>
      </c>
      <c r="N1056">
        <v>0</v>
      </c>
    </row>
    <row r="1057" spans="1:14" x14ac:dyDescent="0.25">
      <c r="A1057">
        <v>638.52870099999996</v>
      </c>
      <c r="B1057" s="1">
        <f>DATE(2012,1,29) + TIME(12,41,19)</f>
        <v>40937.528692129628</v>
      </c>
      <c r="C1057">
        <v>80</v>
      </c>
      <c r="D1057">
        <v>70.613471985000004</v>
      </c>
      <c r="E1057">
        <v>50</v>
      </c>
      <c r="F1057">
        <v>49.968444824000002</v>
      </c>
      <c r="G1057">
        <v>1291.0795897999999</v>
      </c>
      <c r="H1057">
        <v>1275.3287353999999</v>
      </c>
      <c r="I1057">
        <v>1404.3583983999999</v>
      </c>
      <c r="J1057">
        <v>1381.9847411999999</v>
      </c>
      <c r="K1057">
        <v>0</v>
      </c>
      <c r="L1057">
        <v>2750</v>
      </c>
      <c r="M1057">
        <v>2750</v>
      </c>
      <c r="N1057">
        <v>0</v>
      </c>
    </row>
    <row r="1058" spans="1:14" x14ac:dyDescent="0.25">
      <c r="A1058">
        <v>639.76435000000004</v>
      </c>
      <c r="B1058" s="1">
        <f>DATE(2012,1,30) + TIME(18,20,39)</f>
        <v>40938.764340277776</v>
      </c>
      <c r="C1058">
        <v>80</v>
      </c>
      <c r="D1058">
        <v>70.453239440999994</v>
      </c>
      <c r="E1058">
        <v>50</v>
      </c>
      <c r="F1058">
        <v>49.968479156000001</v>
      </c>
      <c r="G1058">
        <v>1290.8077393000001</v>
      </c>
      <c r="H1058">
        <v>1274.9724120999999</v>
      </c>
      <c r="I1058">
        <v>1404.3026123</v>
      </c>
      <c r="J1058">
        <v>1381.9345702999999</v>
      </c>
      <c r="K1058">
        <v>0</v>
      </c>
      <c r="L1058">
        <v>2750</v>
      </c>
      <c r="M1058">
        <v>2750</v>
      </c>
      <c r="N1058">
        <v>0</v>
      </c>
    </row>
    <row r="1059" spans="1:14" x14ac:dyDescent="0.25">
      <c r="A1059">
        <v>641</v>
      </c>
      <c r="B1059" s="1">
        <f>DATE(2012,2,1) + TIME(0,0,0)</f>
        <v>40940</v>
      </c>
      <c r="C1059">
        <v>80</v>
      </c>
      <c r="D1059">
        <v>70.327789307000003</v>
      </c>
      <c r="E1059">
        <v>50</v>
      </c>
      <c r="F1059">
        <v>49.968517302999999</v>
      </c>
      <c r="G1059">
        <v>1290.6475829999999</v>
      </c>
      <c r="H1059">
        <v>1274.7491454999999</v>
      </c>
      <c r="I1059">
        <v>1404.2740478999999</v>
      </c>
      <c r="J1059">
        <v>1381.9086914</v>
      </c>
      <c r="K1059">
        <v>0</v>
      </c>
      <c r="L1059">
        <v>2750</v>
      </c>
      <c r="M1059">
        <v>2750</v>
      </c>
      <c r="N1059">
        <v>0</v>
      </c>
    </row>
    <row r="1060" spans="1:14" x14ac:dyDescent="0.25">
      <c r="A1060">
        <v>642.77939000000003</v>
      </c>
      <c r="B1060" s="1">
        <f>DATE(2012,2,2) + TIME(18,42,19)</f>
        <v>40941.779386574075</v>
      </c>
      <c r="C1060">
        <v>80</v>
      </c>
      <c r="D1060">
        <v>70.200393676999994</v>
      </c>
      <c r="E1060">
        <v>50</v>
      </c>
      <c r="F1060">
        <v>49.968574523999997</v>
      </c>
      <c r="G1060">
        <v>1290.4903564000001</v>
      </c>
      <c r="H1060">
        <v>1274.5301514</v>
      </c>
      <c r="I1060">
        <v>1404.2460937999999</v>
      </c>
      <c r="J1060">
        <v>1381.8835449000001</v>
      </c>
      <c r="K1060">
        <v>0</v>
      </c>
      <c r="L1060">
        <v>2750</v>
      </c>
      <c r="M1060">
        <v>2750</v>
      </c>
      <c r="N1060">
        <v>0</v>
      </c>
    </row>
    <row r="1061" spans="1:14" x14ac:dyDescent="0.25">
      <c r="A1061">
        <v>645.16771400000005</v>
      </c>
      <c r="B1061" s="1">
        <f>DATE(2012,2,5) + TIME(4,1,30)</f>
        <v>40944.167708333334</v>
      </c>
      <c r="C1061">
        <v>80</v>
      </c>
      <c r="D1061">
        <v>70.043518066000004</v>
      </c>
      <c r="E1061">
        <v>50</v>
      </c>
      <c r="F1061">
        <v>49.968650818</v>
      </c>
      <c r="G1061">
        <v>1290.2728271000001</v>
      </c>
      <c r="H1061">
        <v>1274.2351074000001</v>
      </c>
      <c r="I1061">
        <v>1404.2062988</v>
      </c>
      <c r="J1061">
        <v>1381.8476562000001</v>
      </c>
      <c r="K1061">
        <v>0</v>
      </c>
      <c r="L1061">
        <v>2750</v>
      </c>
      <c r="M1061">
        <v>2750</v>
      </c>
      <c r="N1061">
        <v>0</v>
      </c>
    </row>
    <row r="1062" spans="1:14" x14ac:dyDescent="0.25">
      <c r="A1062">
        <v>647.59164699999997</v>
      </c>
      <c r="B1062" s="1">
        <f>DATE(2012,2,7) + TIME(14,11,58)</f>
        <v>40946.591643518521</v>
      </c>
      <c r="C1062">
        <v>80</v>
      </c>
      <c r="D1062">
        <v>69.847778320000003</v>
      </c>
      <c r="E1062">
        <v>50</v>
      </c>
      <c r="F1062">
        <v>49.968727112000003</v>
      </c>
      <c r="G1062">
        <v>1289.9803466999999</v>
      </c>
      <c r="H1062">
        <v>1273.8422852000001</v>
      </c>
      <c r="I1062">
        <v>1404.1533202999999</v>
      </c>
      <c r="J1062">
        <v>1381.7998047000001</v>
      </c>
      <c r="K1062">
        <v>0</v>
      </c>
      <c r="L1062">
        <v>2750</v>
      </c>
      <c r="M1062">
        <v>2750</v>
      </c>
      <c r="N1062">
        <v>0</v>
      </c>
    </row>
    <row r="1063" spans="1:14" x14ac:dyDescent="0.25">
      <c r="A1063">
        <v>650.056917</v>
      </c>
      <c r="B1063" s="1">
        <f>DATE(2012,2,10) + TIME(1,21,57)</f>
        <v>40949.056909722225</v>
      </c>
      <c r="C1063">
        <v>80</v>
      </c>
      <c r="D1063">
        <v>69.637619018999999</v>
      </c>
      <c r="E1063">
        <v>50</v>
      </c>
      <c r="F1063">
        <v>49.968803405999999</v>
      </c>
      <c r="G1063">
        <v>1289.6713867000001</v>
      </c>
      <c r="H1063">
        <v>1273.4222411999999</v>
      </c>
      <c r="I1063">
        <v>1404.1005858999999</v>
      </c>
      <c r="J1063">
        <v>1381.7521973</v>
      </c>
      <c r="K1063">
        <v>0</v>
      </c>
      <c r="L1063">
        <v>2750</v>
      </c>
      <c r="M1063">
        <v>2750</v>
      </c>
      <c r="N1063">
        <v>0</v>
      </c>
    </row>
    <row r="1064" spans="1:14" x14ac:dyDescent="0.25">
      <c r="A1064">
        <v>652.54127100000005</v>
      </c>
      <c r="B1064" s="1">
        <f>DATE(2012,2,12) + TIME(12,59,25)</f>
        <v>40951.541261574072</v>
      </c>
      <c r="C1064">
        <v>80</v>
      </c>
      <c r="D1064">
        <v>69.41859436</v>
      </c>
      <c r="E1064">
        <v>50</v>
      </c>
      <c r="F1064">
        <v>49.968875885000003</v>
      </c>
      <c r="G1064">
        <v>1289.3494873</v>
      </c>
      <c r="H1064">
        <v>1272.9824219</v>
      </c>
      <c r="I1064">
        <v>1404.0479736</v>
      </c>
      <c r="J1064">
        <v>1381.7047118999999</v>
      </c>
      <c r="K1064">
        <v>0</v>
      </c>
      <c r="L1064">
        <v>2750</v>
      </c>
      <c r="M1064">
        <v>2750</v>
      </c>
      <c r="N1064">
        <v>0</v>
      </c>
    </row>
    <row r="1065" spans="1:14" x14ac:dyDescent="0.25">
      <c r="A1065">
        <v>655.05198199999995</v>
      </c>
      <c r="B1065" s="1">
        <f>DATE(2012,2,15) + TIME(1,14,51)</f>
        <v>40954.051979166667</v>
      </c>
      <c r="C1065">
        <v>80</v>
      </c>
      <c r="D1065">
        <v>69.192405700999998</v>
      </c>
      <c r="E1065">
        <v>50</v>
      </c>
      <c r="F1065">
        <v>49.968955993999998</v>
      </c>
      <c r="G1065">
        <v>1289.0181885</v>
      </c>
      <c r="H1065">
        <v>1272.5275879000001</v>
      </c>
      <c r="I1065">
        <v>1403.9959716999999</v>
      </c>
      <c r="J1065">
        <v>1381.6575928</v>
      </c>
      <c r="K1065">
        <v>0</v>
      </c>
      <c r="L1065">
        <v>2750</v>
      </c>
      <c r="M1065">
        <v>2750</v>
      </c>
      <c r="N1065">
        <v>0</v>
      </c>
    </row>
    <row r="1066" spans="1:14" x14ac:dyDescent="0.25">
      <c r="A1066">
        <v>657.58939399999997</v>
      </c>
      <c r="B1066" s="1">
        <f>DATE(2012,2,17) + TIME(14,8,43)</f>
        <v>40956.589386574073</v>
      </c>
      <c r="C1066">
        <v>80</v>
      </c>
      <c r="D1066">
        <v>68.958602905000006</v>
      </c>
      <c r="E1066">
        <v>50</v>
      </c>
      <c r="F1066">
        <v>49.969032288000001</v>
      </c>
      <c r="G1066">
        <v>1288.6768798999999</v>
      </c>
      <c r="H1066">
        <v>1272.057251</v>
      </c>
      <c r="I1066">
        <v>1403.9444579999999</v>
      </c>
      <c r="J1066">
        <v>1381.6109618999999</v>
      </c>
      <c r="K1066">
        <v>0</v>
      </c>
      <c r="L1066">
        <v>2750</v>
      </c>
      <c r="M1066">
        <v>2750</v>
      </c>
      <c r="N1066">
        <v>0</v>
      </c>
    </row>
    <row r="1067" spans="1:14" x14ac:dyDescent="0.25">
      <c r="A1067">
        <v>660.15493100000003</v>
      </c>
      <c r="B1067" s="1">
        <f>DATE(2012,2,20) + TIME(3,43,5)</f>
        <v>40959.154918981483</v>
      </c>
      <c r="C1067">
        <v>80</v>
      </c>
      <c r="D1067">
        <v>68.716491699000002</v>
      </c>
      <c r="E1067">
        <v>50</v>
      </c>
      <c r="F1067">
        <v>49.969108581999997</v>
      </c>
      <c r="G1067">
        <v>1288.3256836</v>
      </c>
      <c r="H1067">
        <v>1271.5714111</v>
      </c>
      <c r="I1067">
        <v>1403.8931885</v>
      </c>
      <c r="J1067">
        <v>1381.5644531</v>
      </c>
      <c r="K1067">
        <v>0</v>
      </c>
      <c r="L1067">
        <v>2750</v>
      </c>
      <c r="M1067">
        <v>2750</v>
      </c>
      <c r="N1067">
        <v>0</v>
      </c>
    </row>
    <row r="1068" spans="1:14" x14ac:dyDescent="0.25">
      <c r="A1068">
        <v>662.75354500000003</v>
      </c>
      <c r="B1068" s="1">
        <f>DATE(2012,2,22) + TIME(18,5,6)</f>
        <v>40961.753541666665</v>
      </c>
      <c r="C1068">
        <v>80</v>
      </c>
      <c r="D1068">
        <v>68.465179442999997</v>
      </c>
      <c r="E1068">
        <v>50</v>
      </c>
      <c r="F1068">
        <v>49.969184875000003</v>
      </c>
      <c r="G1068">
        <v>1287.9642334</v>
      </c>
      <c r="H1068">
        <v>1271.0695800999999</v>
      </c>
      <c r="I1068">
        <v>1403.8421631000001</v>
      </c>
      <c r="J1068">
        <v>1381.5181885</v>
      </c>
      <c r="K1068">
        <v>0</v>
      </c>
      <c r="L1068">
        <v>2750</v>
      </c>
      <c r="M1068">
        <v>2750</v>
      </c>
      <c r="N1068">
        <v>0</v>
      </c>
    </row>
    <row r="1069" spans="1:14" x14ac:dyDescent="0.25">
      <c r="A1069">
        <v>665.37782000000004</v>
      </c>
      <c r="B1069" s="1">
        <f>DATE(2012,2,25) + TIME(9,4,3)</f>
        <v>40964.377812500003</v>
      </c>
      <c r="C1069">
        <v>80</v>
      </c>
      <c r="D1069">
        <v>68.20375061</v>
      </c>
      <c r="E1069">
        <v>50</v>
      </c>
      <c r="F1069">
        <v>49.969264983999999</v>
      </c>
      <c r="G1069">
        <v>1287.5920410000001</v>
      </c>
      <c r="H1069">
        <v>1270.5510254000001</v>
      </c>
      <c r="I1069">
        <v>1403.7913818</v>
      </c>
      <c r="J1069">
        <v>1381.4720459</v>
      </c>
      <c r="K1069">
        <v>0</v>
      </c>
      <c r="L1069">
        <v>2750</v>
      </c>
      <c r="M1069">
        <v>2750</v>
      </c>
      <c r="N1069">
        <v>0</v>
      </c>
    </row>
    <row r="1070" spans="1:14" x14ac:dyDescent="0.25">
      <c r="A1070">
        <v>668.02701400000001</v>
      </c>
      <c r="B1070" s="1">
        <f>DATE(2012,2,28) + TIME(0,38,53)</f>
        <v>40967.027002314811</v>
      </c>
      <c r="C1070">
        <v>80</v>
      </c>
      <c r="D1070">
        <v>67.931831360000004</v>
      </c>
      <c r="E1070">
        <v>50</v>
      </c>
      <c r="F1070">
        <v>49.969345093000001</v>
      </c>
      <c r="G1070">
        <v>1287.2098389</v>
      </c>
      <c r="H1070">
        <v>1270.0167236</v>
      </c>
      <c r="I1070">
        <v>1403.7408447</v>
      </c>
      <c r="J1070">
        <v>1381.4260254000001</v>
      </c>
      <c r="K1070">
        <v>0</v>
      </c>
      <c r="L1070">
        <v>2750</v>
      </c>
      <c r="M1070">
        <v>2750</v>
      </c>
      <c r="N1070">
        <v>0</v>
      </c>
    </row>
    <row r="1071" spans="1:14" x14ac:dyDescent="0.25">
      <c r="A1071">
        <v>670</v>
      </c>
      <c r="B1071" s="1">
        <f>DATE(2012,3,1) + TIME(0,0,0)</f>
        <v>40969</v>
      </c>
      <c r="C1071">
        <v>80</v>
      </c>
      <c r="D1071">
        <v>67.668304442999997</v>
      </c>
      <c r="E1071">
        <v>50</v>
      </c>
      <c r="F1071">
        <v>49.969398499</v>
      </c>
      <c r="G1071">
        <v>1286.8214111</v>
      </c>
      <c r="H1071">
        <v>1269.4772949000001</v>
      </c>
      <c r="I1071">
        <v>1403.6900635</v>
      </c>
      <c r="J1071">
        <v>1381.3798827999999</v>
      </c>
      <c r="K1071">
        <v>0</v>
      </c>
      <c r="L1071">
        <v>2750</v>
      </c>
      <c r="M1071">
        <v>2750</v>
      </c>
      <c r="N1071">
        <v>0</v>
      </c>
    </row>
    <row r="1072" spans="1:14" x14ac:dyDescent="0.25">
      <c r="A1072">
        <v>672.67668300000003</v>
      </c>
      <c r="B1072" s="1">
        <f>DATE(2012,3,3) + TIME(16,14,25)</f>
        <v>40971.676678240743</v>
      </c>
      <c r="C1072">
        <v>80</v>
      </c>
      <c r="D1072">
        <v>67.420043945000003</v>
      </c>
      <c r="E1072">
        <v>50</v>
      </c>
      <c r="F1072">
        <v>49.969482421999999</v>
      </c>
      <c r="G1072">
        <v>1286.5126952999999</v>
      </c>
      <c r="H1072">
        <v>1269.0311279</v>
      </c>
      <c r="I1072">
        <v>1403.6534423999999</v>
      </c>
      <c r="J1072">
        <v>1381.3464355000001</v>
      </c>
      <c r="K1072">
        <v>0</v>
      </c>
      <c r="L1072">
        <v>2750</v>
      </c>
      <c r="M1072">
        <v>2750</v>
      </c>
      <c r="N1072">
        <v>0</v>
      </c>
    </row>
    <row r="1073" spans="1:14" x14ac:dyDescent="0.25">
      <c r="A1073">
        <v>675.41289700000004</v>
      </c>
      <c r="B1073" s="1">
        <f>DATE(2012,3,6) + TIME(9,54,34)</f>
        <v>40974.412893518522</v>
      </c>
      <c r="C1073">
        <v>80</v>
      </c>
      <c r="D1073">
        <v>67.125709533999995</v>
      </c>
      <c r="E1073">
        <v>50</v>
      </c>
      <c r="F1073">
        <v>49.969558716000002</v>
      </c>
      <c r="G1073">
        <v>1286.1142577999999</v>
      </c>
      <c r="H1073">
        <v>1268.4720459</v>
      </c>
      <c r="I1073">
        <v>1403.6037598</v>
      </c>
      <c r="J1073">
        <v>1381.3011475000001</v>
      </c>
      <c r="K1073">
        <v>0</v>
      </c>
      <c r="L1073">
        <v>2750</v>
      </c>
      <c r="M1073">
        <v>2750</v>
      </c>
      <c r="N1073">
        <v>0</v>
      </c>
    </row>
    <row r="1074" spans="1:14" x14ac:dyDescent="0.25">
      <c r="A1074">
        <v>678.16907200000003</v>
      </c>
      <c r="B1074" s="1">
        <f>DATE(2012,3,9) + TIME(4,3,27)</f>
        <v>40977.169062499997</v>
      </c>
      <c r="C1074">
        <v>80</v>
      </c>
      <c r="D1074">
        <v>66.808776855000005</v>
      </c>
      <c r="E1074">
        <v>50</v>
      </c>
      <c r="F1074">
        <v>49.969638824</v>
      </c>
      <c r="G1074">
        <v>1285.6959228999999</v>
      </c>
      <c r="H1074">
        <v>1267.8801269999999</v>
      </c>
      <c r="I1074">
        <v>1403.5535889</v>
      </c>
      <c r="J1074">
        <v>1381.2553711</v>
      </c>
      <c r="K1074">
        <v>0</v>
      </c>
      <c r="L1074">
        <v>2750</v>
      </c>
      <c r="M1074">
        <v>2750</v>
      </c>
      <c r="N1074">
        <v>0</v>
      </c>
    </row>
    <row r="1075" spans="1:14" x14ac:dyDescent="0.25">
      <c r="A1075">
        <v>680.94973000000005</v>
      </c>
      <c r="B1075" s="1">
        <f>DATE(2012,3,11) + TIME(22,47,36)</f>
        <v>40979.94972222222</v>
      </c>
      <c r="C1075">
        <v>80</v>
      </c>
      <c r="D1075">
        <v>66.476379394999995</v>
      </c>
      <c r="E1075">
        <v>50</v>
      </c>
      <c r="F1075">
        <v>49.969718933000003</v>
      </c>
      <c r="G1075">
        <v>1285.2675781</v>
      </c>
      <c r="H1075">
        <v>1267.2705077999999</v>
      </c>
      <c r="I1075">
        <v>1403.5035399999999</v>
      </c>
      <c r="J1075">
        <v>1381.2097168</v>
      </c>
      <c r="K1075">
        <v>0</v>
      </c>
      <c r="L1075">
        <v>2750</v>
      </c>
      <c r="M1075">
        <v>2750</v>
      </c>
      <c r="N1075">
        <v>0</v>
      </c>
    </row>
    <row r="1076" spans="1:14" x14ac:dyDescent="0.25">
      <c r="A1076">
        <v>683.76037699999995</v>
      </c>
      <c r="B1076" s="1">
        <f>DATE(2012,3,14) + TIME(18,14,56)</f>
        <v>40982.760370370372</v>
      </c>
      <c r="C1076">
        <v>80</v>
      </c>
      <c r="D1076">
        <v>66.128952025999993</v>
      </c>
      <c r="E1076">
        <v>50</v>
      </c>
      <c r="F1076">
        <v>49.969802856000001</v>
      </c>
      <c r="G1076">
        <v>1284.8302002</v>
      </c>
      <c r="H1076">
        <v>1266.6452637</v>
      </c>
      <c r="I1076">
        <v>1403.4537353999999</v>
      </c>
      <c r="J1076">
        <v>1381.1640625</v>
      </c>
      <c r="K1076">
        <v>0</v>
      </c>
      <c r="L1076">
        <v>2750</v>
      </c>
      <c r="M1076">
        <v>2750</v>
      </c>
      <c r="N1076">
        <v>0</v>
      </c>
    </row>
    <row r="1077" spans="1:14" x14ac:dyDescent="0.25">
      <c r="A1077">
        <v>686.606495</v>
      </c>
      <c r="B1077" s="1">
        <f>DATE(2012,3,17) + TIME(14,33,21)</f>
        <v>40985.606493055559</v>
      </c>
      <c r="C1077">
        <v>80</v>
      </c>
      <c r="D1077">
        <v>65.765518188000001</v>
      </c>
      <c r="E1077">
        <v>50</v>
      </c>
      <c r="F1077">
        <v>49.969882964999996</v>
      </c>
      <c r="G1077">
        <v>1284.3833007999999</v>
      </c>
      <c r="H1077">
        <v>1266.0042725000001</v>
      </c>
      <c r="I1077">
        <v>1403.4038086</v>
      </c>
      <c r="J1077">
        <v>1381.1182861</v>
      </c>
      <c r="K1077">
        <v>0</v>
      </c>
      <c r="L1077">
        <v>2750</v>
      </c>
      <c r="M1077">
        <v>2750</v>
      </c>
      <c r="N1077">
        <v>0</v>
      </c>
    </row>
    <row r="1078" spans="1:14" x14ac:dyDescent="0.25">
      <c r="A1078">
        <v>689.49366499999996</v>
      </c>
      <c r="B1078" s="1">
        <f>DATE(2012,3,20) + TIME(11,50,52)</f>
        <v>40988.493657407409</v>
      </c>
      <c r="C1078">
        <v>80</v>
      </c>
      <c r="D1078">
        <v>65.384757996000005</v>
      </c>
      <c r="E1078">
        <v>50</v>
      </c>
      <c r="F1078">
        <v>49.969963073999999</v>
      </c>
      <c r="G1078">
        <v>1283.9266356999999</v>
      </c>
      <c r="H1078">
        <v>1265.3464355000001</v>
      </c>
      <c r="I1078">
        <v>1403.3536377</v>
      </c>
      <c r="J1078">
        <v>1381.0723877</v>
      </c>
      <c r="K1078">
        <v>0</v>
      </c>
      <c r="L1078">
        <v>2750</v>
      </c>
      <c r="M1078">
        <v>2750</v>
      </c>
      <c r="N1078">
        <v>0</v>
      </c>
    </row>
    <row r="1079" spans="1:14" x14ac:dyDescent="0.25">
      <c r="A1079">
        <v>692.41865499999994</v>
      </c>
      <c r="B1079" s="1">
        <f>DATE(2012,3,23) + TIME(10,2,51)</f>
        <v>40991.418645833335</v>
      </c>
      <c r="C1079">
        <v>80</v>
      </c>
      <c r="D1079">
        <v>64.985389709000003</v>
      </c>
      <c r="E1079">
        <v>50</v>
      </c>
      <c r="F1079">
        <v>49.970046996999997</v>
      </c>
      <c r="G1079">
        <v>1283.4594727000001</v>
      </c>
      <c r="H1079">
        <v>1264.6710204999999</v>
      </c>
      <c r="I1079">
        <v>1403.3032227000001</v>
      </c>
      <c r="J1079">
        <v>1381.026001</v>
      </c>
      <c r="K1079">
        <v>0</v>
      </c>
      <c r="L1079">
        <v>2750</v>
      </c>
      <c r="M1079">
        <v>2750</v>
      </c>
      <c r="N1079">
        <v>0</v>
      </c>
    </row>
    <row r="1080" spans="1:14" x14ac:dyDescent="0.25">
      <c r="A1080">
        <v>695.37900500000001</v>
      </c>
      <c r="B1080" s="1">
        <f>DATE(2012,3,26) + TIME(9,5,46)</f>
        <v>40994.379004629627</v>
      </c>
      <c r="C1080">
        <v>80</v>
      </c>
      <c r="D1080">
        <v>64.567413329999994</v>
      </c>
      <c r="E1080">
        <v>50</v>
      </c>
      <c r="F1080">
        <v>49.970127106</v>
      </c>
      <c r="G1080">
        <v>1282.9826660000001</v>
      </c>
      <c r="H1080">
        <v>1263.9788818</v>
      </c>
      <c r="I1080">
        <v>1403.2525635</v>
      </c>
      <c r="J1080">
        <v>1380.9793701000001</v>
      </c>
      <c r="K1080">
        <v>0</v>
      </c>
      <c r="L1080">
        <v>2750</v>
      </c>
      <c r="M1080">
        <v>2750</v>
      </c>
      <c r="N1080">
        <v>0</v>
      </c>
    </row>
    <row r="1081" spans="1:14" x14ac:dyDescent="0.25">
      <c r="A1081">
        <v>698.37843599999997</v>
      </c>
      <c r="B1081" s="1">
        <f>DATE(2012,3,29) + TIME(9,4,56)</f>
        <v>40997.378425925926</v>
      </c>
      <c r="C1081">
        <v>80</v>
      </c>
      <c r="D1081">
        <v>64.130348205999994</v>
      </c>
      <c r="E1081">
        <v>50</v>
      </c>
      <c r="F1081">
        <v>49.970211028999998</v>
      </c>
      <c r="G1081">
        <v>1282.4969481999999</v>
      </c>
      <c r="H1081">
        <v>1263.270874</v>
      </c>
      <c r="I1081">
        <v>1403.2015381000001</v>
      </c>
      <c r="J1081">
        <v>1380.9324951000001</v>
      </c>
      <c r="K1081">
        <v>0</v>
      </c>
      <c r="L1081">
        <v>2750</v>
      </c>
      <c r="M1081">
        <v>2750</v>
      </c>
      <c r="N1081">
        <v>0</v>
      </c>
    </row>
    <row r="1082" spans="1:14" x14ac:dyDescent="0.25">
      <c r="A1082">
        <v>701</v>
      </c>
      <c r="B1082" s="1">
        <f>DATE(2012,4,1) + TIME(0,0,0)</f>
        <v>41000</v>
      </c>
      <c r="C1082">
        <v>80</v>
      </c>
      <c r="D1082">
        <v>63.686222076</v>
      </c>
      <c r="E1082">
        <v>50</v>
      </c>
      <c r="F1082">
        <v>49.970283508000001</v>
      </c>
      <c r="G1082">
        <v>1282.0039062000001</v>
      </c>
      <c r="H1082">
        <v>1262.5535889</v>
      </c>
      <c r="I1082">
        <v>1403.1500243999999</v>
      </c>
      <c r="J1082">
        <v>1380.8850098</v>
      </c>
      <c r="K1082">
        <v>0</v>
      </c>
      <c r="L1082">
        <v>2750</v>
      </c>
      <c r="M1082">
        <v>2750</v>
      </c>
      <c r="N1082">
        <v>0</v>
      </c>
    </row>
    <row r="1083" spans="1:14" x14ac:dyDescent="0.25">
      <c r="A1083">
        <v>704.04015000000004</v>
      </c>
      <c r="B1083" s="1">
        <f>DATE(2012,4,4) + TIME(0,57,48)</f>
        <v>41003.040138888886</v>
      </c>
      <c r="C1083">
        <v>80</v>
      </c>
      <c r="D1083">
        <v>63.253887177000003</v>
      </c>
      <c r="E1083">
        <v>50</v>
      </c>
      <c r="F1083">
        <v>49.970367432000003</v>
      </c>
      <c r="G1083">
        <v>1281.5622559000001</v>
      </c>
      <c r="H1083">
        <v>1261.8964844</v>
      </c>
      <c r="I1083">
        <v>1403.1054687999999</v>
      </c>
      <c r="J1083">
        <v>1380.8438721</v>
      </c>
      <c r="K1083">
        <v>0</v>
      </c>
      <c r="L1083">
        <v>2750</v>
      </c>
      <c r="M1083">
        <v>2750</v>
      </c>
      <c r="N1083">
        <v>0</v>
      </c>
    </row>
    <row r="1084" spans="1:14" x14ac:dyDescent="0.25">
      <c r="A1084">
        <v>707.16050499999994</v>
      </c>
      <c r="B1084" s="1">
        <f>DATE(2012,4,7) + TIME(3,51,7)</f>
        <v>41006.160497685189</v>
      </c>
      <c r="C1084">
        <v>80</v>
      </c>
      <c r="D1084">
        <v>62.770469665999997</v>
      </c>
      <c r="E1084">
        <v>50</v>
      </c>
      <c r="F1084">
        <v>49.970451355000002</v>
      </c>
      <c r="G1084">
        <v>1281.0622559000001</v>
      </c>
      <c r="H1084">
        <v>1261.1617432</v>
      </c>
      <c r="I1084">
        <v>1403.0538329999999</v>
      </c>
      <c r="J1084">
        <v>1380.7961425999999</v>
      </c>
      <c r="K1084">
        <v>0</v>
      </c>
      <c r="L1084">
        <v>2750</v>
      </c>
      <c r="M1084">
        <v>2750</v>
      </c>
      <c r="N1084">
        <v>0</v>
      </c>
    </row>
    <row r="1085" spans="1:14" x14ac:dyDescent="0.25">
      <c r="A1085">
        <v>710.33452199999999</v>
      </c>
      <c r="B1085" s="1">
        <f>DATE(2012,4,10) + TIME(8,1,42)</f>
        <v>41009.334513888891</v>
      </c>
      <c r="C1085">
        <v>80</v>
      </c>
      <c r="D1085">
        <v>62.256511688000003</v>
      </c>
      <c r="E1085">
        <v>50</v>
      </c>
      <c r="F1085">
        <v>49.970539092999999</v>
      </c>
      <c r="G1085">
        <v>1280.5451660000001</v>
      </c>
      <c r="H1085">
        <v>1260.3964844</v>
      </c>
      <c r="I1085">
        <v>1403.0009766000001</v>
      </c>
      <c r="J1085">
        <v>1380.7473144999999</v>
      </c>
      <c r="K1085">
        <v>0</v>
      </c>
      <c r="L1085">
        <v>2750</v>
      </c>
      <c r="M1085">
        <v>2750</v>
      </c>
      <c r="N1085">
        <v>0</v>
      </c>
    </row>
    <row r="1086" spans="1:14" x14ac:dyDescent="0.25">
      <c r="A1086">
        <v>713.54906900000003</v>
      </c>
      <c r="B1086" s="1">
        <f>DATE(2012,4,13) + TIME(13,10,39)</f>
        <v>41012.549062500002</v>
      </c>
      <c r="C1086">
        <v>80</v>
      </c>
      <c r="D1086">
        <v>61.719276428000001</v>
      </c>
      <c r="E1086">
        <v>50</v>
      </c>
      <c r="F1086">
        <v>49.970623015999998</v>
      </c>
      <c r="G1086">
        <v>1280.0179443</v>
      </c>
      <c r="H1086">
        <v>1259.6125488</v>
      </c>
      <c r="I1086">
        <v>1402.9473877</v>
      </c>
      <c r="J1086">
        <v>1380.6976318</v>
      </c>
      <c r="K1086">
        <v>0</v>
      </c>
      <c r="L1086">
        <v>2750</v>
      </c>
      <c r="M1086">
        <v>2750</v>
      </c>
      <c r="N1086">
        <v>0</v>
      </c>
    </row>
    <row r="1087" spans="1:14" x14ac:dyDescent="0.25">
      <c r="A1087">
        <v>716.81096500000001</v>
      </c>
      <c r="B1087" s="1">
        <f>DATE(2012,4,16) + TIME(19,27,47)</f>
        <v>41015.810960648145</v>
      </c>
      <c r="C1087">
        <v>80</v>
      </c>
      <c r="D1087">
        <v>61.161468505999999</v>
      </c>
      <c r="E1087">
        <v>50</v>
      </c>
      <c r="F1087">
        <v>49.970710754000002</v>
      </c>
      <c r="G1087">
        <v>1279.484375</v>
      </c>
      <c r="H1087">
        <v>1258.8154297000001</v>
      </c>
      <c r="I1087">
        <v>1402.8933105000001</v>
      </c>
      <c r="J1087">
        <v>1380.6474608999999</v>
      </c>
      <c r="K1087">
        <v>0</v>
      </c>
      <c r="L1087">
        <v>2750</v>
      </c>
      <c r="M1087">
        <v>2750</v>
      </c>
      <c r="N1087">
        <v>0</v>
      </c>
    </row>
    <row r="1088" spans="1:14" x14ac:dyDescent="0.25">
      <c r="A1088">
        <v>720.12758899999994</v>
      </c>
      <c r="B1088" s="1">
        <f>DATE(2012,4,20) + TIME(3,3,43)</f>
        <v>41019.127581018518</v>
      </c>
      <c r="C1088">
        <v>80</v>
      </c>
      <c r="D1088">
        <v>60.583560943999998</v>
      </c>
      <c r="E1088">
        <v>50</v>
      </c>
      <c r="F1088">
        <v>49.970798492</v>
      </c>
      <c r="G1088">
        <v>1278.9444579999999</v>
      </c>
      <c r="H1088">
        <v>1258.0051269999999</v>
      </c>
      <c r="I1088">
        <v>1402.838501</v>
      </c>
      <c r="J1088">
        <v>1380.5964355000001</v>
      </c>
      <c r="K1088">
        <v>0</v>
      </c>
      <c r="L1088">
        <v>2750</v>
      </c>
      <c r="M1088">
        <v>2750</v>
      </c>
      <c r="N1088">
        <v>0</v>
      </c>
    </row>
    <row r="1089" spans="1:14" x14ac:dyDescent="0.25">
      <c r="A1089">
        <v>723.49276399999997</v>
      </c>
      <c r="B1089" s="1">
        <f>DATE(2012,4,23) + TIME(11,49,34)</f>
        <v>41022.492754629631</v>
      </c>
      <c r="C1089">
        <v>80</v>
      </c>
      <c r="D1089">
        <v>59.985252379999999</v>
      </c>
      <c r="E1089">
        <v>50</v>
      </c>
      <c r="F1089">
        <v>49.970886229999998</v>
      </c>
      <c r="G1089">
        <v>1278.3979492000001</v>
      </c>
      <c r="H1089">
        <v>1257.1817627</v>
      </c>
      <c r="I1089">
        <v>1402.7828368999999</v>
      </c>
      <c r="J1089">
        <v>1380.5446777</v>
      </c>
      <c r="K1089">
        <v>0</v>
      </c>
      <c r="L1089">
        <v>2750</v>
      </c>
      <c r="M1089">
        <v>2750</v>
      </c>
      <c r="N1089">
        <v>0</v>
      </c>
    </row>
    <row r="1090" spans="1:14" x14ac:dyDescent="0.25">
      <c r="A1090">
        <v>726.90508799999998</v>
      </c>
      <c r="B1090" s="1">
        <f>DATE(2012,4,26) + TIME(21,43,19)</f>
        <v>41025.905081018522</v>
      </c>
      <c r="C1090">
        <v>80</v>
      </c>
      <c r="D1090">
        <v>59.366420746000003</v>
      </c>
      <c r="E1090">
        <v>50</v>
      </c>
      <c r="F1090">
        <v>49.970973968999999</v>
      </c>
      <c r="G1090">
        <v>1277.8470459</v>
      </c>
      <c r="H1090">
        <v>1256.3475341999999</v>
      </c>
      <c r="I1090">
        <v>1402.7264404</v>
      </c>
      <c r="J1090">
        <v>1380.4920654</v>
      </c>
      <c r="K1090">
        <v>0</v>
      </c>
      <c r="L1090">
        <v>2750</v>
      </c>
      <c r="M1090">
        <v>2750</v>
      </c>
      <c r="N1090">
        <v>0</v>
      </c>
    </row>
    <row r="1091" spans="1:14" x14ac:dyDescent="0.25">
      <c r="A1091">
        <v>730.37345500000004</v>
      </c>
      <c r="B1091" s="1">
        <f>DATE(2012,4,30) + TIME(8,57,46)</f>
        <v>41029.373449074075</v>
      </c>
      <c r="C1091">
        <v>80</v>
      </c>
      <c r="D1091">
        <v>58.729618072999997</v>
      </c>
      <c r="E1091">
        <v>50</v>
      </c>
      <c r="F1091">
        <v>49.971061706999997</v>
      </c>
      <c r="G1091">
        <v>1277.2927245999999</v>
      </c>
      <c r="H1091">
        <v>1255.5045166</v>
      </c>
      <c r="I1091">
        <v>1402.6691894999999</v>
      </c>
      <c r="J1091">
        <v>1380.4385986</v>
      </c>
      <c r="K1091">
        <v>0</v>
      </c>
      <c r="L1091">
        <v>2750</v>
      </c>
      <c r="M1091">
        <v>2750</v>
      </c>
      <c r="N1091">
        <v>0</v>
      </c>
    </row>
    <row r="1092" spans="1:14" x14ac:dyDescent="0.25">
      <c r="A1092">
        <v>731</v>
      </c>
      <c r="B1092" s="1">
        <f>DATE(2012,5,1) + TIME(0,0,0)</f>
        <v>41030</v>
      </c>
      <c r="C1092">
        <v>80</v>
      </c>
      <c r="D1092">
        <v>58.345977783000002</v>
      </c>
      <c r="E1092">
        <v>50</v>
      </c>
      <c r="F1092">
        <v>49.971073150999999</v>
      </c>
      <c r="G1092">
        <v>1276.7537841999999</v>
      </c>
      <c r="H1092">
        <v>1254.7789307</v>
      </c>
      <c r="I1092">
        <v>1402.6105957</v>
      </c>
      <c r="J1092">
        <v>1380.3837891000001</v>
      </c>
      <c r="K1092">
        <v>0</v>
      </c>
      <c r="L1092">
        <v>2750</v>
      </c>
      <c r="M1092">
        <v>2750</v>
      </c>
      <c r="N1092">
        <v>0</v>
      </c>
    </row>
    <row r="1093" spans="1:14" x14ac:dyDescent="0.25">
      <c r="A1093">
        <v>731.000001</v>
      </c>
      <c r="B1093" s="1">
        <f>DATE(2012,5,1) + TIME(0,0,0)</f>
        <v>41030</v>
      </c>
      <c r="C1093">
        <v>80</v>
      </c>
      <c r="D1093">
        <v>58.346164702999999</v>
      </c>
      <c r="E1093">
        <v>50</v>
      </c>
      <c r="F1093">
        <v>49.970947266000003</v>
      </c>
      <c r="G1093">
        <v>1300.4530029</v>
      </c>
      <c r="H1093">
        <v>1277.911499</v>
      </c>
      <c r="I1093">
        <v>1379.3818358999999</v>
      </c>
      <c r="J1093">
        <v>1357.6757812000001</v>
      </c>
      <c r="K1093">
        <v>2750</v>
      </c>
      <c r="L1093">
        <v>0</v>
      </c>
      <c r="M1093">
        <v>0</v>
      </c>
      <c r="N1093">
        <v>2750</v>
      </c>
    </row>
    <row r="1094" spans="1:14" x14ac:dyDescent="0.25">
      <c r="A1094">
        <v>731.00000399999999</v>
      </c>
      <c r="B1094" s="1">
        <f>DATE(2012,5,1) + TIME(0,0,0)</f>
        <v>41030</v>
      </c>
      <c r="C1094">
        <v>80</v>
      </c>
      <c r="D1094">
        <v>58.346660614000001</v>
      </c>
      <c r="E1094">
        <v>50</v>
      </c>
      <c r="F1094">
        <v>49.970611572000003</v>
      </c>
      <c r="G1094">
        <v>1303.1892089999999</v>
      </c>
      <c r="H1094">
        <v>1280.9364014</v>
      </c>
      <c r="I1094">
        <v>1376.7093506000001</v>
      </c>
      <c r="J1094">
        <v>1355.0024414</v>
      </c>
      <c r="K1094">
        <v>2750</v>
      </c>
      <c r="L1094">
        <v>0</v>
      </c>
      <c r="M1094">
        <v>0</v>
      </c>
      <c r="N1094">
        <v>2750</v>
      </c>
    </row>
    <row r="1095" spans="1:14" x14ac:dyDescent="0.25">
      <c r="A1095">
        <v>731.00001299999997</v>
      </c>
      <c r="B1095" s="1">
        <f>DATE(2012,5,1) + TIME(0,0,1)</f>
        <v>41030.000011574077</v>
      </c>
      <c r="C1095">
        <v>80</v>
      </c>
      <c r="D1095">
        <v>58.347816467000001</v>
      </c>
      <c r="E1095">
        <v>50</v>
      </c>
      <c r="F1095">
        <v>49.969856262</v>
      </c>
      <c r="G1095">
        <v>1309.307251</v>
      </c>
      <c r="H1095">
        <v>1287.4624022999999</v>
      </c>
      <c r="I1095">
        <v>1370.7141113</v>
      </c>
      <c r="J1095">
        <v>1349.0059814000001</v>
      </c>
      <c r="K1095">
        <v>2750</v>
      </c>
      <c r="L1095">
        <v>0</v>
      </c>
      <c r="M1095">
        <v>0</v>
      </c>
      <c r="N1095">
        <v>2750</v>
      </c>
    </row>
    <row r="1096" spans="1:14" x14ac:dyDescent="0.25">
      <c r="A1096">
        <v>731.00004000000001</v>
      </c>
      <c r="B1096" s="1">
        <f>DATE(2012,5,1) + TIME(0,0,3)</f>
        <v>41030.000034722223</v>
      </c>
      <c r="C1096">
        <v>80</v>
      </c>
      <c r="D1096">
        <v>58.350086212000001</v>
      </c>
      <c r="E1096">
        <v>50</v>
      </c>
      <c r="F1096">
        <v>49.968589782999999</v>
      </c>
      <c r="G1096">
        <v>1319.5256348</v>
      </c>
      <c r="H1096">
        <v>1297.8779297000001</v>
      </c>
      <c r="I1096">
        <v>1360.6948242000001</v>
      </c>
      <c r="J1096">
        <v>1338.9876709</v>
      </c>
      <c r="K1096">
        <v>2750</v>
      </c>
      <c r="L1096">
        <v>0</v>
      </c>
      <c r="M1096">
        <v>0</v>
      </c>
      <c r="N1096">
        <v>2750</v>
      </c>
    </row>
    <row r="1097" spans="1:14" x14ac:dyDescent="0.25">
      <c r="A1097">
        <v>731.00012100000004</v>
      </c>
      <c r="B1097" s="1">
        <f>DATE(2012,5,1) + TIME(0,0,10)</f>
        <v>41030.000115740739</v>
      </c>
      <c r="C1097">
        <v>80</v>
      </c>
      <c r="D1097">
        <v>58.354446410999998</v>
      </c>
      <c r="E1097">
        <v>50</v>
      </c>
      <c r="F1097">
        <v>49.967041016000003</v>
      </c>
      <c r="G1097">
        <v>1332.0714111</v>
      </c>
      <c r="H1097">
        <v>1310.315918</v>
      </c>
      <c r="I1097">
        <v>1348.4632568</v>
      </c>
      <c r="J1097">
        <v>1326.7624512</v>
      </c>
      <c r="K1097">
        <v>2750</v>
      </c>
      <c r="L1097">
        <v>0</v>
      </c>
      <c r="M1097">
        <v>0</v>
      </c>
      <c r="N1097">
        <v>2750</v>
      </c>
    </row>
    <row r="1098" spans="1:14" x14ac:dyDescent="0.25">
      <c r="A1098">
        <v>731.00036399999999</v>
      </c>
      <c r="B1098" s="1">
        <f>DATE(2012,5,1) + TIME(0,0,31)</f>
        <v>41030.000358796293</v>
      </c>
      <c r="C1098">
        <v>80</v>
      </c>
      <c r="D1098">
        <v>58.364406586000001</v>
      </c>
      <c r="E1098">
        <v>50</v>
      </c>
      <c r="F1098">
        <v>49.965419769</v>
      </c>
      <c r="G1098">
        <v>1345.1616211</v>
      </c>
      <c r="H1098">
        <v>1323.2403564000001</v>
      </c>
      <c r="I1098">
        <v>1335.8702393000001</v>
      </c>
      <c r="J1098">
        <v>1314.1816406</v>
      </c>
      <c r="K1098">
        <v>2750</v>
      </c>
      <c r="L1098">
        <v>0</v>
      </c>
      <c r="M1098">
        <v>0</v>
      </c>
      <c r="N1098">
        <v>2750</v>
      </c>
    </row>
    <row r="1099" spans="1:14" x14ac:dyDescent="0.25">
      <c r="A1099">
        <v>731.00109299999997</v>
      </c>
      <c r="B1099" s="1">
        <f>DATE(2012,5,1) + TIME(0,1,34)</f>
        <v>41030.001087962963</v>
      </c>
      <c r="C1099">
        <v>80</v>
      </c>
      <c r="D1099">
        <v>58.391124724999997</v>
      </c>
      <c r="E1099">
        <v>50</v>
      </c>
      <c r="F1099">
        <v>49.963726043999998</v>
      </c>
      <c r="G1099">
        <v>1358.6242675999999</v>
      </c>
      <c r="H1099">
        <v>1336.53125</v>
      </c>
      <c r="I1099">
        <v>1323.2832031</v>
      </c>
      <c r="J1099">
        <v>1301.6105957</v>
      </c>
      <c r="K1099">
        <v>2750</v>
      </c>
      <c r="L1099">
        <v>0</v>
      </c>
      <c r="M1099">
        <v>0</v>
      </c>
      <c r="N1099">
        <v>2750</v>
      </c>
    </row>
    <row r="1100" spans="1:14" x14ac:dyDescent="0.25">
      <c r="A1100">
        <v>731.00328000000002</v>
      </c>
      <c r="B1100" s="1">
        <f>DATE(2012,5,1) + TIME(0,4,43)</f>
        <v>41030.003275462965</v>
      </c>
      <c r="C1100">
        <v>80</v>
      </c>
      <c r="D1100">
        <v>58.468353270999998</v>
      </c>
      <c r="E1100">
        <v>50</v>
      </c>
      <c r="F1100">
        <v>49.961799622000001</v>
      </c>
      <c r="G1100">
        <v>1372.8956298999999</v>
      </c>
      <c r="H1100">
        <v>1350.6170654</v>
      </c>
      <c r="I1100">
        <v>1310.5545654</v>
      </c>
      <c r="J1100">
        <v>1288.8758545000001</v>
      </c>
      <c r="K1100">
        <v>2750</v>
      </c>
      <c r="L1100">
        <v>0</v>
      </c>
      <c r="M1100">
        <v>0</v>
      </c>
      <c r="N1100">
        <v>2750</v>
      </c>
    </row>
    <row r="1101" spans="1:14" x14ac:dyDescent="0.25">
      <c r="A1101">
        <v>731.00984100000005</v>
      </c>
      <c r="B1101" s="1">
        <f>DATE(2012,5,1) + TIME(0,14,10)</f>
        <v>41030.009837962964</v>
      </c>
      <c r="C1101">
        <v>80</v>
      </c>
      <c r="D1101">
        <v>58.696041106999999</v>
      </c>
      <c r="E1101">
        <v>50</v>
      </c>
      <c r="F1101">
        <v>49.959217072000001</v>
      </c>
      <c r="G1101">
        <v>1387.4549560999999</v>
      </c>
      <c r="H1101">
        <v>1365.0510254000001</v>
      </c>
      <c r="I1101">
        <v>1297.8265381000001</v>
      </c>
      <c r="J1101">
        <v>1276.0981445</v>
      </c>
      <c r="K1101">
        <v>2750</v>
      </c>
      <c r="L1101">
        <v>0</v>
      </c>
      <c r="M1101">
        <v>0</v>
      </c>
      <c r="N1101">
        <v>2750</v>
      </c>
    </row>
    <row r="1102" spans="1:14" x14ac:dyDescent="0.25">
      <c r="A1102">
        <v>731.02952400000004</v>
      </c>
      <c r="B1102" s="1">
        <f>DATE(2012,5,1) + TIME(0,42,30)</f>
        <v>41030.029513888891</v>
      </c>
      <c r="C1102">
        <v>80</v>
      </c>
      <c r="D1102">
        <v>59.357570647999999</v>
      </c>
      <c r="E1102">
        <v>50</v>
      </c>
      <c r="F1102">
        <v>49.955020904999998</v>
      </c>
      <c r="G1102">
        <v>1399.3168945</v>
      </c>
      <c r="H1102">
        <v>1377.0142822</v>
      </c>
      <c r="I1102">
        <v>1287.4315185999999</v>
      </c>
      <c r="J1102">
        <v>1265.6546631000001</v>
      </c>
      <c r="K1102">
        <v>2750</v>
      </c>
      <c r="L1102">
        <v>0</v>
      </c>
      <c r="M1102">
        <v>0</v>
      </c>
      <c r="N1102">
        <v>2750</v>
      </c>
    </row>
    <row r="1103" spans="1:14" x14ac:dyDescent="0.25">
      <c r="A1103">
        <v>731.05140500000005</v>
      </c>
      <c r="B1103" s="1">
        <f>DATE(2012,5,1) + TIME(1,14,1)</f>
        <v>41030.051400462966</v>
      </c>
      <c r="C1103">
        <v>80</v>
      </c>
      <c r="D1103">
        <v>60.068145752</v>
      </c>
      <c r="E1103">
        <v>50</v>
      </c>
      <c r="F1103">
        <v>49.951351166000002</v>
      </c>
      <c r="G1103">
        <v>1403.8129882999999</v>
      </c>
      <c r="H1103">
        <v>1381.7020264</v>
      </c>
      <c r="I1103">
        <v>1283.7115478999999</v>
      </c>
      <c r="J1103">
        <v>1261.9187012</v>
      </c>
      <c r="K1103">
        <v>2750</v>
      </c>
      <c r="L1103">
        <v>0</v>
      </c>
      <c r="M1103">
        <v>0</v>
      </c>
      <c r="N1103">
        <v>2750</v>
      </c>
    </row>
    <row r="1104" spans="1:14" x14ac:dyDescent="0.25">
      <c r="A1104">
        <v>731.07378200000005</v>
      </c>
      <c r="B1104" s="1">
        <f>DATE(2012,5,1) + TIME(1,46,14)</f>
        <v>41030.073773148149</v>
      </c>
      <c r="C1104">
        <v>80</v>
      </c>
      <c r="D1104">
        <v>60.769313812</v>
      </c>
      <c r="E1104">
        <v>50</v>
      </c>
      <c r="F1104">
        <v>49.947937011999997</v>
      </c>
      <c r="G1104">
        <v>1405.5460204999999</v>
      </c>
      <c r="H1104">
        <v>1383.6434326000001</v>
      </c>
      <c r="I1104">
        <v>1282.4462891000001</v>
      </c>
      <c r="J1104">
        <v>1260.6479492000001</v>
      </c>
      <c r="K1104">
        <v>2750</v>
      </c>
      <c r="L1104">
        <v>0</v>
      </c>
      <c r="M1104">
        <v>0</v>
      </c>
      <c r="N1104">
        <v>2750</v>
      </c>
    </row>
    <row r="1105" spans="1:14" x14ac:dyDescent="0.25">
      <c r="A1105">
        <v>731.09661800000003</v>
      </c>
      <c r="B1105" s="1">
        <f>DATE(2012,5,1) + TIME(2,19,7)</f>
        <v>41030.096608796295</v>
      </c>
      <c r="C1105">
        <v>80</v>
      </c>
      <c r="D1105">
        <v>61.459598540999998</v>
      </c>
      <c r="E1105">
        <v>50</v>
      </c>
      <c r="F1105">
        <v>49.944595337000003</v>
      </c>
      <c r="G1105">
        <v>1406.1821289</v>
      </c>
      <c r="H1105">
        <v>1384.4881591999999</v>
      </c>
      <c r="I1105">
        <v>1282.0578613</v>
      </c>
      <c r="J1105">
        <v>1260.2573242000001</v>
      </c>
      <c r="K1105">
        <v>2750</v>
      </c>
      <c r="L1105">
        <v>0</v>
      </c>
      <c r="M1105">
        <v>0</v>
      </c>
      <c r="N1105">
        <v>2750</v>
      </c>
    </row>
    <row r="1106" spans="1:14" x14ac:dyDescent="0.25">
      <c r="A1106">
        <v>731.11991499999999</v>
      </c>
      <c r="B1106" s="1">
        <f>DATE(2012,5,1) + TIME(2,52,40)</f>
        <v>41030.11990740741</v>
      </c>
      <c r="C1106">
        <v>80</v>
      </c>
      <c r="D1106">
        <v>62.138473511000001</v>
      </c>
      <c r="E1106">
        <v>50</v>
      </c>
      <c r="F1106">
        <v>49.941253662000001</v>
      </c>
      <c r="G1106">
        <v>1406.3381348</v>
      </c>
      <c r="H1106">
        <v>1384.8479004000001</v>
      </c>
      <c r="I1106">
        <v>1281.9782714999999</v>
      </c>
      <c r="J1106">
        <v>1260.1766356999999</v>
      </c>
      <c r="K1106">
        <v>2750</v>
      </c>
      <c r="L1106">
        <v>0</v>
      </c>
      <c r="M1106">
        <v>0</v>
      </c>
      <c r="N1106">
        <v>2750</v>
      </c>
    </row>
    <row r="1107" spans="1:14" x14ac:dyDescent="0.25">
      <c r="A1107">
        <v>731.14368999999999</v>
      </c>
      <c r="B1107" s="1">
        <f>DATE(2012,5,1) + TIME(3,26,54)</f>
        <v>41030.143680555557</v>
      </c>
      <c r="C1107">
        <v>80</v>
      </c>
      <c r="D1107">
        <v>62.805786132999998</v>
      </c>
      <c r="E1107">
        <v>50</v>
      </c>
      <c r="F1107">
        <v>49.937885283999996</v>
      </c>
      <c r="G1107">
        <v>1406.2714844</v>
      </c>
      <c r="H1107">
        <v>1384.9788818</v>
      </c>
      <c r="I1107">
        <v>1281.9958495999999</v>
      </c>
      <c r="J1107">
        <v>1260.1936035000001</v>
      </c>
      <c r="K1107">
        <v>2750</v>
      </c>
      <c r="L1107">
        <v>0</v>
      </c>
      <c r="M1107">
        <v>0</v>
      </c>
      <c r="N1107">
        <v>2750</v>
      </c>
    </row>
    <row r="1108" spans="1:14" x14ac:dyDescent="0.25">
      <c r="A1108">
        <v>731.16796399999998</v>
      </c>
      <c r="B1108" s="1">
        <f>DATE(2012,5,1) + TIME(4,1,52)</f>
        <v>41030.167962962965</v>
      </c>
      <c r="C1108">
        <v>80</v>
      </c>
      <c r="D1108">
        <v>63.461532593000001</v>
      </c>
      <c r="E1108">
        <v>50</v>
      </c>
      <c r="F1108">
        <v>49.934482574</v>
      </c>
      <c r="G1108">
        <v>1406.0985106999999</v>
      </c>
      <c r="H1108">
        <v>1384.9968262</v>
      </c>
      <c r="I1108">
        <v>1282.0344238</v>
      </c>
      <c r="J1108">
        <v>1260.2316894999999</v>
      </c>
      <c r="K1108">
        <v>2750</v>
      </c>
      <c r="L1108">
        <v>0</v>
      </c>
      <c r="M1108">
        <v>0</v>
      </c>
      <c r="N1108">
        <v>2750</v>
      </c>
    </row>
    <row r="1109" spans="1:14" x14ac:dyDescent="0.25">
      <c r="A1109">
        <v>731.19276300000001</v>
      </c>
      <c r="B1109" s="1">
        <f>DATE(2012,5,1) + TIME(4,37,34)</f>
        <v>41030.192754629628</v>
      </c>
      <c r="C1109">
        <v>80</v>
      </c>
      <c r="D1109">
        <v>64.105743407999995</v>
      </c>
      <c r="E1109">
        <v>50</v>
      </c>
      <c r="F1109">
        <v>49.931037903000004</v>
      </c>
      <c r="G1109">
        <v>1405.8745117000001</v>
      </c>
      <c r="H1109">
        <v>1384.9572754000001</v>
      </c>
      <c r="I1109">
        <v>1282.0694579999999</v>
      </c>
      <c r="J1109">
        <v>1260.2663574000001</v>
      </c>
      <c r="K1109">
        <v>2750</v>
      </c>
      <c r="L1109">
        <v>0</v>
      </c>
      <c r="M1109">
        <v>0</v>
      </c>
      <c r="N1109">
        <v>2750</v>
      </c>
    </row>
    <row r="1110" spans="1:14" x14ac:dyDescent="0.25">
      <c r="A1110">
        <v>731.21810800000003</v>
      </c>
      <c r="B1110" s="1">
        <f>DATE(2012,5,1) + TIME(5,14,4)</f>
        <v>41030.218101851853</v>
      </c>
      <c r="C1110">
        <v>80</v>
      </c>
      <c r="D1110">
        <v>64.738334656000006</v>
      </c>
      <c r="E1110">
        <v>50</v>
      </c>
      <c r="F1110">
        <v>49.927551270000002</v>
      </c>
      <c r="G1110">
        <v>1405.6270752</v>
      </c>
      <c r="H1110">
        <v>1384.8876952999999</v>
      </c>
      <c r="I1110">
        <v>1282.0954589999999</v>
      </c>
      <c r="J1110">
        <v>1260.2919922000001</v>
      </c>
      <c r="K1110">
        <v>2750</v>
      </c>
      <c r="L1110">
        <v>0</v>
      </c>
      <c r="M1110">
        <v>0</v>
      </c>
      <c r="N1110">
        <v>2750</v>
      </c>
    </row>
    <row r="1111" spans="1:14" x14ac:dyDescent="0.25">
      <c r="A1111">
        <v>731.24403400000006</v>
      </c>
      <c r="B1111" s="1">
        <f>DATE(2012,5,1) + TIME(5,51,24)</f>
        <v>41030.244027777779</v>
      </c>
      <c r="C1111">
        <v>80</v>
      </c>
      <c r="D1111">
        <v>65.359550475999995</v>
      </c>
      <c r="E1111">
        <v>50</v>
      </c>
      <c r="F1111">
        <v>49.924015044999997</v>
      </c>
      <c r="G1111">
        <v>1405.3703613</v>
      </c>
      <c r="H1111">
        <v>1384.8026123</v>
      </c>
      <c r="I1111">
        <v>1282.1130370999999</v>
      </c>
      <c r="J1111">
        <v>1260.3093262</v>
      </c>
      <c r="K1111">
        <v>2750</v>
      </c>
      <c r="L1111">
        <v>0</v>
      </c>
      <c r="M1111">
        <v>0</v>
      </c>
      <c r="N1111">
        <v>2750</v>
      </c>
    </row>
    <row r="1112" spans="1:14" x14ac:dyDescent="0.25">
      <c r="A1112">
        <v>731.27057300000001</v>
      </c>
      <c r="B1112" s="1">
        <f>DATE(2012,5,1) + TIME(6,29,37)</f>
        <v>41030.270567129628</v>
      </c>
      <c r="C1112">
        <v>80</v>
      </c>
      <c r="D1112">
        <v>65.969413756999998</v>
      </c>
      <c r="E1112">
        <v>50</v>
      </c>
      <c r="F1112">
        <v>49.920425414999997</v>
      </c>
      <c r="G1112">
        <v>1405.1119385</v>
      </c>
      <c r="H1112">
        <v>1384.7098389</v>
      </c>
      <c r="I1112">
        <v>1282.1243896000001</v>
      </c>
      <c r="J1112">
        <v>1260.3203125</v>
      </c>
      <c r="K1112">
        <v>2750</v>
      </c>
      <c r="L1112">
        <v>0</v>
      </c>
      <c r="M1112">
        <v>0</v>
      </c>
      <c r="N1112">
        <v>2750</v>
      </c>
    </row>
    <row r="1113" spans="1:14" x14ac:dyDescent="0.25">
      <c r="A1113">
        <v>731.29776200000003</v>
      </c>
      <c r="B1113" s="1">
        <f>DATE(2012,5,1) + TIME(7,8,46)</f>
        <v>41030.297754629632</v>
      </c>
      <c r="C1113">
        <v>80</v>
      </c>
      <c r="D1113">
        <v>66.567909240999995</v>
      </c>
      <c r="E1113">
        <v>50</v>
      </c>
      <c r="F1113">
        <v>49.916782378999997</v>
      </c>
      <c r="G1113">
        <v>1404.855957</v>
      </c>
      <c r="H1113">
        <v>1384.6137695</v>
      </c>
      <c r="I1113">
        <v>1282.1313477000001</v>
      </c>
      <c r="J1113">
        <v>1260.3269043</v>
      </c>
      <c r="K1113">
        <v>2750</v>
      </c>
      <c r="L1113">
        <v>0</v>
      </c>
      <c r="M1113">
        <v>0</v>
      </c>
      <c r="N1113">
        <v>2750</v>
      </c>
    </row>
    <row r="1114" spans="1:14" x14ac:dyDescent="0.25">
      <c r="A1114">
        <v>731.32563800000003</v>
      </c>
      <c r="B1114" s="1">
        <f>DATE(2012,5,1) + TIME(7,48,55)</f>
        <v>41030.325636574074</v>
      </c>
      <c r="C1114">
        <v>80</v>
      </c>
      <c r="D1114">
        <v>67.155044556000007</v>
      </c>
      <c r="E1114">
        <v>50</v>
      </c>
      <c r="F1114">
        <v>49.913085938000002</v>
      </c>
      <c r="G1114">
        <v>1404.6044922000001</v>
      </c>
      <c r="H1114">
        <v>1384.5166016000001</v>
      </c>
      <c r="I1114">
        <v>1282.1356201000001</v>
      </c>
      <c r="J1114">
        <v>1260.3306885</v>
      </c>
      <c r="K1114">
        <v>2750</v>
      </c>
      <c r="L1114">
        <v>0</v>
      </c>
      <c r="M1114">
        <v>0</v>
      </c>
      <c r="N1114">
        <v>2750</v>
      </c>
    </row>
    <row r="1115" spans="1:14" x14ac:dyDescent="0.25">
      <c r="A1115">
        <v>731.354241</v>
      </c>
      <c r="B1115" s="1">
        <f>DATE(2012,5,1) + TIME(8,30,6)</f>
        <v>41030.35423611111</v>
      </c>
      <c r="C1115">
        <v>80</v>
      </c>
      <c r="D1115">
        <v>67.730827332000004</v>
      </c>
      <c r="E1115">
        <v>50</v>
      </c>
      <c r="F1115">
        <v>49.909324646000002</v>
      </c>
      <c r="G1115">
        <v>1404.3587646000001</v>
      </c>
      <c r="H1115">
        <v>1384.4196777</v>
      </c>
      <c r="I1115">
        <v>1282.1379394999999</v>
      </c>
      <c r="J1115">
        <v>1260.3327637</v>
      </c>
      <c r="K1115">
        <v>2750</v>
      </c>
      <c r="L1115">
        <v>0</v>
      </c>
      <c r="M1115">
        <v>0</v>
      </c>
      <c r="N1115">
        <v>2750</v>
      </c>
    </row>
    <row r="1116" spans="1:14" x14ac:dyDescent="0.25">
      <c r="A1116">
        <v>731.38361599999996</v>
      </c>
      <c r="B1116" s="1">
        <f>DATE(2012,5,1) + TIME(9,12,24)</f>
        <v>41030.383611111109</v>
      </c>
      <c r="C1116">
        <v>80</v>
      </c>
      <c r="D1116">
        <v>68.295272827000005</v>
      </c>
      <c r="E1116">
        <v>50</v>
      </c>
      <c r="F1116">
        <v>49.905498504999997</v>
      </c>
      <c r="G1116">
        <v>1404.1191406</v>
      </c>
      <c r="H1116">
        <v>1384.3238524999999</v>
      </c>
      <c r="I1116">
        <v>1282.1392822</v>
      </c>
      <c r="J1116">
        <v>1260.3337402</v>
      </c>
      <c r="K1116">
        <v>2750</v>
      </c>
      <c r="L1116">
        <v>0</v>
      </c>
      <c r="M1116">
        <v>0</v>
      </c>
      <c r="N1116">
        <v>2750</v>
      </c>
    </row>
    <row r="1117" spans="1:14" x14ac:dyDescent="0.25">
      <c r="A1117">
        <v>731.41381100000001</v>
      </c>
      <c r="B1117" s="1">
        <f>DATE(2012,5,1) + TIME(9,55,53)</f>
        <v>41030.413807870369</v>
      </c>
      <c r="C1117">
        <v>80</v>
      </c>
      <c r="D1117">
        <v>68.848350525000001</v>
      </c>
      <c r="E1117">
        <v>50</v>
      </c>
      <c r="F1117">
        <v>49.901603698999999</v>
      </c>
      <c r="G1117">
        <v>1403.8858643000001</v>
      </c>
      <c r="H1117">
        <v>1384.2294922000001</v>
      </c>
      <c r="I1117">
        <v>1282.1398925999999</v>
      </c>
      <c r="J1117">
        <v>1260.3339844</v>
      </c>
      <c r="K1117">
        <v>2750</v>
      </c>
      <c r="L1117">
        <v>0</v>
      </c>
      <c r="M1117">
        <v>0</v>
      </c>
      <c r="N1117">
        <v>2750</v>
      </c>
    </row>
    <row r="1118" spans="1:14" x14ac:dyDescent="0.25">
      <c r="A1118">
        <v>731.44487900000001</v>
      </c>
      <c r="B1118" s="1">
        <f>DATE(2012,5,1) + TIME(10,40,37)</f>
        <v>41030.444872685184</v>
      </c>
      <c r="C1118">
        <v>80</v>
      </c>
      <c r="D1118">
        <v>69.390052795000003</v>
      </c>
      <c r="E1118">
        <v>50</v>
      </c>
      <c r="F1118">
        <v>49.897632598999998</v>
      </c>
      <c r="G1118">
        <v>1403.6589355000001</v>
      </c>
      <c r="H1118">
        <v>1384.1367187999999</v>
      </c>
      <c r="I1118">
        <v>1282.1401367000001</v>
      </c>
      <c r="J1118">
        <v>1260.3337402</v>
      </c>
      <c r="K1118">
        <v>2750</v>
      </c>
      <c r="L1118">
        <v>0</v>
      </c>
      <c r="M1118">
        <v>0</v>
      </c>
      <c r="N1118">
        <v>2750</v>
      </c>
    </row>
    <row r="1119" spans="1:14" x14ac:dyDescent="0.25">
      <c r="A1119">
        <v>731.47687599999995</v>
      </c>
      <c r="B1119" s="1">
        <f>DATE(2012,5,1) + TIME(11,26,42)</f>
        <v>41030.476875</v>
      </c>
      <c r="C1119">
        <v>80</v>
      </c>
      <c r="D1119">
        <v>69.920341492000006</v>
      </c>
      <c r="E1119">
        <v>50</v>
      </c>
      <c r="F1119">
        <v>49.893585205000001</v>
      </c>
      <c r="G1119">
        <v>1403.4382324000001</v>
      </c>
      <c r="H1119">
        <v>1384.0454102000001</v>
      </c>
      <c r="I1119">
        <v>1282.1401367000001</v>
      </c>
      <c r="J1119">
        <v>1260.3332519999999</v>
      </c>
      <c r="K1119">
        <v>2750</v>
      </c>
      <c r="L1119">
        <v>0</v>
      </c>
      <c r="M1119">
        <v>0</v>
      </c>
      <c r="N1119">
        <v>2750</v>
      </c>
    </row>
    <row r="1120" spans="1:14" x14ac:dyDescent="0.25">
      <c r="A1120">
        <v>731.50987599999996</v>
      </c>
      <c r="B1120" s="1">
        <f>DATE(2012,5,1) + TIME(12,14,13)</f>
        <v>41030.509872685187</v>
      </c>
      <c r="C1120">
        <v>80</v>
      </c>
      <c r="D1120">
        <v>70.438995360999996</v>
      </c>
      <c r="E1120">
        <v>50</v>
      </c>
      <c r="F1120">
        <v>49.889450072999999</v>
      </c>
      <c r="G1120">
        <v>1403.2233887</v>
      </c>
      <c r="H1120">
        <v>1383.9555664</v>
      </c>
      <c r="I1120">
        <v>1282.1398925999999</v>
      </c>
      <c r="J1120">
        <v>1260.3326416</v>
      </c>
      <c r="K1120">
        <v>2750</v>
      </c>
      <c r="L1120">
        <v>0</v>
      </c>
      <c r="M1120">
        <v>0</v>
      </c>
      <c r="N1120">
        <v>2750</v>
      </c>
    </row>
    <row r="1121" spans="1:14" x14ac:dyDescent="0.25">
      <c r="A1121">
        <v>731.54394300000001</v>
      </c>
      <c r="B1121" s="1">
        <f>DATE(2012,5,1) + TIME(13,3,16)</f>
        <v>41030.543935185182</v>
      </c>
      <c r="C1121">
        <v>80</v>
      </c>
      <c r="D1121">
        <v>70.946151732999994</v>
      </c>
      <c r="E1121">
        <v>50</v>
      </c>
      <c r="F1121">
        <v>49.885219573999997</v>
      </c>
      <c r="G1121">
        <v>1403.0141602000001</v>
      </c>
      <c r="H1121">
        <v>1383.8671875</v>
      </c>
      <c r="I1121">
        <v>1282.1395264</v>
      </c>
      <c r="J1121">
        <v>1260.3317870999999</v>
      </c>
      <c r="K1121">
        <v>2750</v>
      </c>
      <c r="L1121">
        <v>0</v>
      </c>
      <c r="M1121">
        <v>0</v>
      </c>
      <c r="N1121">
        <v>2750</v>
      </c>
    </row>
    <row r="1122" spans="1:14" x14ac:dyDescent="0.25">
      <c r="A1122">
        <v>731.57914900000003</v>
      </c>
      <c r="B1122" s="1">
        <f>DATE(2012,5,1) + TIME(13,53,58)</f>
        <v>41030.579143518517</v>
      </c>
      <c r="C1122">
        <v>80</v>
      </c>
      <c r="D1122">
        <v>71.441719054999993</v>
      </c>
      <c r="E1122">
        <v>50</v>
      </c>
      <c r="F1122">
        <v>49.880893706999998</v>
      </c>
      <c r="G1122">
        <v>1402.8104248</v>
      </c>
      <c r="H1122">
        <v>1383.7800293</v>
      </c>
      <c r="I1122">
        <v>1282.1390381000001</v>
      </c>
      <c r="J1122">
        <v>1260.3309326000001</v>
      </c>
      <c r="K1122">
        <v>2750</v>
      </c>
      <c r="L1122">
        <v>0</v>
      </c>
      <c r="M1122">
        <v>0</v>
      </c>
      <c r="N1122">
        <v>2750</v>
      </c>
    </row>
    <row r="1123" spans="1:14" x14ac:dyDescent="0.25">
      <c r="A1123">
        <v>731.61557800000003</v>
      </c>
      <c r="B1123" s="1">
        <f>DATE(2012,5,1) + TIME(14,46,25)</f>
        <v>41030.615567129629</v>
      </c>
      <c r="C1123">
        <v>80</v>
      </c>
      <c r="D1123">
        <v>71.925613403</v>
      </c>
      <c r="E1123">
        <v>50</v>
      </c>
      <c r="F1123">
        <v>49.876457213999998</v>
      </c>
      <c r="G1123">
        <v>1402.6119385</v>
      </c>
      <c r="H1123">
        <v>1383.6940918</v>
      </c>
      <c r="I1123">
        <v>1282.1384277</v>
      </c>
      <c r="J1123">
        <v>1260.3299560999999</v>
      </c>
      <c r="K1123">
        <v>2750</v>
      </c>
      <c r="L1123">
        <v>0</v>
      </c>
      <c r="M1123">
        <v>0</v>
      </c>
      <c r="N1123">
        <v>2750</v>
      </c>
    </row>
    <row r="1124" spans="1:14" x14ac:dyDescent="0.25">
      <c r="A1124">
        <v>731.653322</v>
      </c>
      <c r="B1124" s="1">
        <f>DATE(2012,5,1) + TIME(15,40,47)</f>
        <v>41030.653321759259</v>
      </c>
      <c r="C1124">
        <v>80</v>
      </c>
      <c r="D1124">
        <v>72.397750853999995</v>
      </c>
      <c r="E1124">
        <v>50</v>
      </c>
      <c r="F1124">
        <v>49.871910094999997</v>
      </c>
      <c r="G1124">
        <v>1402.4183350000001</v>
      </c>
      <c r="H1124">
        <v>1383.6092529</v>
      </c>
      <c r="I1124">
        <v>1282.1379394999999</v>
      </c>
      <c r="J1124">
        <v>1260.3288574000001</v>
      </c>
      <c r="K1124">
        <v>2750</v>
      </c>
      <c r="L1124">
        <v>0</v>
      </c>
      <c r="M1124">
        <v>0</v>
      </c>
      <c r="N1124">
        <v>2750</v>
      </c>
    </row>
    <row r="1125" spans="1:14" x14ac:dyDescent="0.25">
      <c r="A1125">
        <v>731.69248500000003</v>
      </c>
      <c r="B1125" s="1">
        <f>DATE(2012,5,1) + TIME(16,37,10)</f>
        <v>41030.692476851851</v>
      </c>
      <c r="C1125">
        <v>80</v>
      </c>
      <c r="D1125">
        <v>72.858032226999995</v>
      </c>
      <c r="E1125">
        <v>50</v>
      </c>
      <c r="F1125">
        <v>49.867237091</v>
      </c>
      <c r="G1125">
        <v>1402.2292480000001</v>
      </c>
      <c r="H1125">
        <v>1383.5252685999999</v>
      </c>
      <c r="I1125">
        <v>1282.137207</v>
      </c>
      <c r="J1125">
        <v>1260.3277588000001</v>
      </c>
      <c r="K1125">
        <v>2750</v>
      </c>
      <c r="L1125">
        <v>0</v>
      </c>
      <c r="M1125">
        <v>0</v>
      </c>
      <c r="N1125">
        <v>2750</v>
      </c>
    </row>
    <row r="1126" spans="1:14" x14ac:dyDescent="0.25">
      <c r="A1126">
        <v>731.73318200000006</v>
      </c>
      <c r="B1126" s="1">
        <f>DATE(2012,5,1) + TIME(17,35,46)</f>
        <v>41030.733171296299</v>
      </c>
      <c r="C1126">
        <v>80</v>
      </c>
      <c r="D1126">
        <v>73.306343079000001</v>
      </c>
      <c r="E1126">
        <v>50</v>
      </c>
      <c r="F1126">
        <v>49.862430572999997</v>
      </c>
      <c r="G1126">
        <v>1402.0446777</v>
      </c>
      <c r="H1126">
        <v>1383.4420166</v>
      </c>
      <c r="I1126">
        <v>1282.1364745999999</v>
      </c>
      <c r="J1126">
        <v>1260.3265381000001</v>
      </c>
      <c r="K1126">
        <v>2750</v>
      </c>
      <c r="L1126">
        <v>0</v>
      </c>
      <c r="M1126">
        <v>0</v>
      </c>
      <c r="N1126">
        <v>2750</v>
      </c>
    </row>
    <row r="1127" spans="1:14" x14ac:dyDescent="0.25">
      <c r="A1127">
        <v>731.77554299999997</v>
      </c>
      <c r="B1127" s="1">
        <f>DATE(2012,5,1) + TIME(18,36,46)</f>
        <v>41030.77553240741</v>
      </c>
      <c r="C1127">
        <v>80</v>
      </c>
      <c r="D1127">
        <v>73.742553710999999</v>
      </c>
      <c r="E1127">
        <v>50</v>
      </c>
      <c r="F1127">
        <v>49.857475280999999</v>
      </c>
      <c r="G1127">
        <v>1401.8641356999999</v>
      </c>
      <c r="H1127">
        <v>1383.359375</v>
      </c>
      <c r="I1127">
        <v>1282.1357422000001</v>
      </c>
      <c r="J1127">
        <v>1260.3253173999999</v>
      </c>
      <c r="K1127">
        <v>2750</v>
      </c>
      <c r="L1127">
        <v>0</v>
      </c>
      <c r="M1127">
        <v>0</v>
      </c>
      <c r="N1127">
        <v>2750</v>
      </c>
    </row>
    <row r="1128" spans="1:14" x14ac:dyDescent="0.25">
      <c r="A1128">
        <v>731.81971399999998</v>
      </c>
      <c r="B1128" s="1">
        <f>DATE(2012,5,1) + TIME(19,40,23)</f>
        <v>41030.819710648146</v>
      </c>
      <c r="C1128">
        <v>80</v>
      </c>
      <c r="D1128">
        <v>74.166534424000005</v>
      </c>
      <c r="E1128">
        <v>50</v>
      </c>
      <c r="F1128">
        <v>49.852363586000003</v>
      </c>
      <c r="G1128">
        <v>1401.6875</v>
      </c>
      <c r="H1128">
        <v>1383.2772216999999</v>
      </c>
      <c r="I1128">
        <v>1282.1348877</v>
      </c>
      <c r="J1128">
        <v>1260.3239745999999</v>
      </c>
      <c r="K1128">
        <v>2750</v>
      </c>
      <c r="L1128">
        <v>0</v>
      </c>
      <c r="M1128">
        <v>0</v>
      </c>
      <c r="N1128">
        <v>2750</v>
      </c>
    </row>
    <row r="1129" spans="1:14" x14ac:dyDescent="0.25">
      <c r="A1129">
        <v>731.865861</v>
      </c>
      <c r="B1129" s="1">
        <f>DATE(2012,5,1) + TIME(20,46,50)</f>
        <v>41030.865856481483</v>
      </c>
      <c r="C1129">
        <v>80</v>
      </c>
      <c r="D1129">
        <v>74.578117371000005</v>
      </c>
      <c r="E1129">
        <v>50</v>
      </c>
      <c r="F1129">
        <v>49.847076416</v>
      </c>
      <c r="G1129">
        <v>1401.5145264</v>
      </c>
      <c r="H1129">
        <v>1383.1953125</v>
      </c>
      <c r="I1129">
        <v>1282.1340332</v>
      </c>
      <c r="J1129">
        <v>1260.3226318</v>
      </c>
      <c r="K1129">
        <v>2750</v>
      </c>
      <c r="L1129">
        <v>0</v>
      </c>
      <c r="M1129">
        <v>0</v>
      </c>
      <c r="N1129">
        <v>2750</v>
      </c>
    </row>
    <row r="1130" spans="1:14" x14ac:dyDescent="0.25">
      <c r="A1130">
        <v>731.91418099999999</v>
      </c>
      <c r="B1130" s="1">
        <f>DATE(2012,5,1) + TIME(21,56,25)</f>
        <v>41030.914178240739</v>
      </c>
      <c r="C1130">
        <v>80</v>
      </c>
      <c r="D1130">
        <v>74.977218628000003</v>
      </c>
      <c r="E1130">
        <v>50</v>
      </c>
      <c r="F1130">
        <v>49.841598511000001</v>
      </c>
      <c r="G1130">
        <v>1401.3447266000001</v>
      </c>
      <c r="H1130">
        <v>1383.1134033000001</v>
      </c>
      <c r="I1130">
        <v>1282.1330565999999</v>
      </c>
      <c r="J1130">
        <v>1260.3211670000001</v>
      </c>
      <c r="K1130">
        <v>2750</v>
      </c>
      <c r="L1130">
        <v>0</v>
      </c>
      <c r="M1130">
        <v>0</v>
      </c>
      <c r="N1130">
        <v>2750</v>
      </c>
    </row>
    <row r="1131" spans="1:14" x14ac:dyDescent="0.25">
      <c r="A1131">
        <v>731.96491000000003</v>
      </c>
      <c r="B1131" s="1">
        <f>DATE(2012,5,1) + TIME(23,9,28)</f>
        <v>41030.964907407404</v>
      </c>
      <c r="C1131">
        <v>80</v>
      </c>
      <c r="D1131">
        <v>75.363502502000003</v>
      </c>
      <c r="E1131">
        <v>50</v>
      </c>
      <c r="F1131">
        <v>49.835910796999997</v>
      </c>
      <c r="G1131">
        <v>1401.1778564000001</v>
      </c>
      <c r="H1131">
        <v>1383.0313721</v>
      </c>
      <c r="I1131">
        <v>1282.1320800999999</v>
      </c>
      <c r="J1131">
        <v>1260.3195800999999</v>
      </c>
      <c r="K1131">
        <v>2750</v>
      </c>
      <c r="L1131">
        <v>0</v>
      </c>
      <c r="M1131">
        <v>0</v>
      </c>
      <c r="N1131">
        <v>2750</v>
      </c>
    </row>
    <row r="1132" spans="1:14" x14ac:dyDescent="0.25">
      <c r="A1132">
        <v>732.01827500000002</v>
      </c>
      <c r="B1132" s="1">
        <f>DATE(2012,5,2) + TIME(0,26,18)</f>
        <v>41031.018263888887</v>
      </c>
      <c r="C1132">
        <v>80</v>
      </c>
      <c r="D1132">
        <v>75.736824036000002</v>
      </c>
      <c r="E1132">
        <v>50</v>
      </c>
      <c r="F1132">
        <v>49.829990387000002</v>
      </c>
      <c r="G1132">
        <v>1401.0139160000001</v>
      </c>
      <c r="H1132">
        <v>1382.9492187999999</v>
      </c>
      <c r="I1132">
        <v>1282.1309814000001</v>
      </c>
      <c r="J1132">
        <v>1260.3178711</v>
      </c>
      <c r="K1132">
        <v>2750</v>
      </c>
      <c r="L1132">
        <v>0</v>
      </c>
      <c r="M1132">
        <v>0</v>
      </c>
      <c r="N1132">
        <v>2750</v>
      </c>
    </row>
    <row r="1133" spans="1:14" x14ac:dyDescent="0.25">
      <c r="A1133">
        <v>732.07456500000001</v>
      </c>
      <c r="B1133" s="1">
        <f>DATE(2012,5,2) + TIME(1,47,22)</f>
        <v>41031.074560185189</v>
      </c>
      <c r="C1133">
        <v>80</v>
      </c>
      <c r="D1133">
        <v>76.096977233999993</v>
      </c>
      <c r="E1133">
        <v>50</v>
      </c>
      <c r="F1133">
        <v>49.823814392000003</v>
      </c>
      <c r="G1133">
        <v>1400.8524170000001</v>
      </c>
      <c r="H1133">
        <v>1382.8664550999999</v>
      </c>
      <c r="I1133">
        <v>1282.1298827999999</v>
      </c>
      <c r="J1133">
        <v>1260.3161620999999</v>
      </c>
      <c r="K1133">
        <v>2750</v>
      </c>
      <c r="L1133">
        <v>0</v>
      </c>
      <c r="M1133">
        <v>0</v>
      </c>
      <c r="N1133">
        <v>2750</v>
      </c>
    </row>
    <row r="1134" spans="1:14" x14ac:dyDescent="0.25">
      <c r="A1134">
        <v>732.13411900000006</v>
      </c>
      <c r="B1134" s="1">
        <f>DATE(2012,5,2) + TIME(3,13,7)</f>
        <v>41031.134108796294</v>
      </c>
      <c r="C1134">
        <v>80</v>
      </c>
      <c r="D1134">
        <v>76.443733214999995</v>
      </c>
      <c r="E1134">
        <v>50</v>
      </c>
      <c r="F1134">
        <v>49.817352294999999</v>
      </c>
      <c r="G1134">
        <v>1400.6929932</v>
      </c>
      <c r="H1134">
        <v>1382.7830810999999</v>
      </c>
      <c r="I1134">
        <v>1282.1286620999999</v>
      </c>
      <c r="J1134">
        <v>1260.3143310999999</v>
      </c>
      <c r="K1134">
        <v>2750</v>
      </c>
      <c r="L1134">
        <v>0</v>
      </c>
      <c r="M1134">
        <v>0</v>
      </c>
      <c r="N1134">
        <v>2750</v>
      </c>
    </row>
    <row r="1135" spans="1:14" x14ac:dyDescent="0.25">
      <c r="A1135">
        <v>732.19733799999995</v>
      </c>
      <c r="B1135" s="1">
        <f>DATE(2012,5,2) + TIME(4,44,10)</f>
        <v>41031.197337962964</v>
      </c>
      <c r="C1135">
        <v>80</v>
      </c>
      <c r="D1135">
        <v>76.776832580999994</v>
      </c>
      <c r="E1135">
        <v>50</v>
      </c>
      <c r="F1135">
        <v>49.810573578000003</v>
      </c>
      <c r="G1135">
        <v>1400.5355225000001</v>
      </c>
      <c r="H1135">
        <v>1382.6987305</v>
      </c>
      <c r="I1135">
        <v>1282.1273193</v>
      </c>
      <c r="J1135">
        <v>1260.3123779</v>
      </c>
      <c r="K1135">
        <v>2750</v>
      </c>
      <c r="L1135">
        <v>0</v>
      </c>
      <c r="M1135">
        <v>0</v>
      </c>
      <c r="N1135">
        <v>2750</v>
      </c>
    </row>
    <row r="1136" spans="1:14" x14ac:dyDescent="0.25">
      <c r="A1136">
        <v>732.26468199999999</v>
      </c>
      <c r="B1136" s="1">
        <f>DATE(2012,5,2) + TIME(6,21,8)</f>
        <v>41031.264675925922</v>
      </c>
      <c r="C1136">
        <v>80</v>
      </c>
      <c r="D1136">
        <v>77.095939635999997</v>
      </c>
      <c r="E1136">
        <v>50</v>
      </c>
      <c r="F1136">
        <v>49.803432465</v>
      </c>
      <c r="G1136">
        <v>1400.3796387</v>
      </c>
      <c r="H1136">
        <v>1382.6132812000001</v>
      </c>
      <c r="I1136">
        <v>1282.1259766000001</v>
      </c>
      <c r="J1136">
        <v>1260.3103027</v>
      </c>
      <c r="K1136">
        <v>2750</v>
      </c>
      <c r="L1136">
        <v>0</v>
      </c>
      <c r="M1136">
        <v>0</v>
      </c>
      <c r="N1136">
        <v>2750</v>
      </c>
    </row>
    <row r="1137" spans="1:14" x14ac:dyDescent="0.25">
      <c r="A1137">
        <v>732.33673499999998</v>
      </c>
      <c r="B1137" s="1">
        <f>DATE(2012,5,2) + TIME(8,4,53)</f>
        <v>41031.336724537039</v>
      </c>
      <c r="C1137">
        <v>80</v>
      </c>
      <c r="D1137">
        <v>77.400810242000006</v>
      </c>
      <c r="E1137">
        <v>50</v>
      </c>
      <c r="F1137">
        <v>49.795886993000003</v>
      </c>
      <c r="G1137">
        <v>1400.2249756000001</v>
      </c>
      <c r="H1137">
        <v>1382.5262451000001</v>
      </c>
      <c r="I1137">
        <v>1282.1245117000001</v>
      </c>
      <c r="J1137">
        <v>1260.3081055</v>
      </c>
      <c r="K1137">
        <v>2750</v>
      </c>
      <c r="L1137">
        <v>0</v>
      </c>
      <c r="M1137">
        <v>0</v>
      </c>
      <c r="N1137">
        <v>2750</v>
      </c>
    </row>
    <row r="1138" spans="1:14" x14ac:dyDescent="0.25">
      <c r="A1138">
        <v>732.41419399999995</v>
      </c>
      <c r="B1138" s="1">
        <f>DATE(2012,5,2) + TIME(9,56,26)</f>
        <v>41031.414189814815</v>
      </c>
      <c r="C1138">
        <v>80</v>
      </c>
      <c r="D1138">
        <v>77.691131592000005</v>
      </c>
      <c r="E1138">
        <v>50</v>
      </c>
      <c r="F1138">
        <v>49.787879943999997</v>
      </c>
      <c r="G1138">
        <v>1400.0710449000001</v>
      </c>
      <c r="H1138">
        <v>1382.4375</v>
      </c>
      <c r="I1138">
        <v>1282.1229248</v>
      </c>
      <c r="J1138">
        <v>1260.3057861</v>
      </c>
      <c r="K1138">
        <v>2750</v>
      </c>
      <c r="L1138">
        <v>0</v>
      </c>
      <c r="M1138">
        <v>0</v>
      </c>
      <c r="N1138">
        <v>2750</v>
      </c>
    </row>
    <row r="1139" spans="1:14" x14ac:dyDescent="0.25">
      <c r="A1139">
        <v>732.49791700000003</v>
      </c>
      <c r="B1139" s="1">
        <f>DATE(2012,5,2) + TIME(11,57,0)</f>
        <v>41031.497916666667</v>
      </c>
      <c r="C1139">
        <v>80</v>
      </c>
      <c r="D1139">
        <v>77.966537475999999</v>
      </c>
      <c r="E1139">
        <v>50</v>
      </c>
      <c r="F1139">
        <v>49.779335021999998</v>
      </c>
      <c r="G1139">
        <v>1399.9174805</v>
      </c>
      <c r="H1139">
        <v>1382.3464355000001</v>
      </c>
      <c r="I1139">
        <v>1282.1212158000001</v>
      </c>
      <c r="J1139">
        <v>1260.3033447</v>
      </c>
      <c r="K1139">
        <v>2750</v>
      </c>
      <c r="L1139">
        <v>0</v>
      </c>
      <c r="M1139">
        <v>0</v>
      </c>
      <c r="N1139">
        <v>2750</v>
      </c>
    </row>
    <row r="1140" spans="1:14" x14ac:dyDescent="0.25">
      <c r="A1140">
        <v>732.588975</v>
      </c>
      <c r="B1140" s="1">
        <f>DATE(2012,5,2) + TIME(14,8,7)</f>
        <v>41031.588969907411</v>
      </c>
      <c r="C1140">
        <v>80</v>
      </c>
      <c r="D1140">
        <v>78.226646423000005</v>
      </c>
      <c r="E1140">
        <v>50</v>
      </c>
      <c r="F1140">
        <v>49.770168304000002</v>
      </c>
      <c r="G1140">
        <v>1399.7636719</v>
      </c>
      <c r="H1140">
        <v>1382.2528076000001</v>
      </c>
      <c r="I1140">
        <v>1282.1193848</v>
      </c>
      <c r="J1140">
        <v>1260.3006591999999</v>
      </c>
      <c r="K1140">
        <v>2750</v>
      </c>
      <c r="L1140">
        <v>0</v>
      </c>
      <c r="M1140">
        <v>0</v>
      </c>
      <c r="N1140">
        <v>2750</v>
      </c>
    </row>
    <row r="1141" spans="1:14" x14ac:dyDescent="0.25">
      <c r="A1141">
        <v>732.68246299999998</v>
      </c>
      <c r="B1141" s="1">
        <f>DATE(2012,5,2) + TIME(16,22,44)</f>
        <v>41031.682453703703</v>
      </c>
      <c r="C1141">
        <v>80</v>
      </c>
      <c r="D1141">
        <v>78.457733153999996</v>
      </c>
      <c r="E1141">
        <v>50</v>
      </c>
      <c r="F1141">
        <v>49.760822296000001</v>
      </c>
      <c r="G1141">
        <v>1399.6162108999999</v>
      </c>
      <c r="H1141">
        <v>1382.1595459</v>
      </c>
      <c r="I1141">
        <v>1282.1173096</v>
      </c>
      <c r="J1141">
        <v>1260.2977295000001</v>
      </c>
      <c r="K1141">
        <v>2750</v>
      </c>
      <c r="L1141">
        <v>0</v>
      </c>
      <c r="M1141">
        <v>0</v>
      </c>
      <c r="N1141">
        <v>2750</v>
      </c>
    </row>
    <row r="1142" spans="1:14" x14ac:dyDescent="0.25">
      <c r="A1142">
        <v>732.77617399999997</v>
      </c>
      <c r="B1142" s="1">
        <f>DATE(2012,5,2) + TIME(18,37,41)</f>
        <v>41031.77616898148</v>
      </c>
      <c r="C1142">
        <v>80</v>
      </c>
      <c r="D1142">
        <v>78.658119201999995</v>
      </c>
      <c r="E1142">
        <v>50</v>
      </c>
      <c r="F1142">
        <v>49.751495361000003</v>
      </c>
      <c r="G1142">
        <v>1399.4779053</v>
      </c>
      <c r="H1142">
        <v>1382.0692139</v>
      </c>
      <c r="I1142">
        <v>1282.1151123</v>
      </c>
      <c r="J1142">
        <v>1260.2947998</v>
      </c>
      <c r="K1142">
        <v>2750</v>
      </c>
      <c r="L1142">
        <v>0</v>
      </c>
      <c r="M1142">
        <v>0</v>
      </c>
      <c r="N1142">
        <v>2750</v>
      </c>
    </row>
    <row r="1143" spans="1:14" x14ac:dyDescent="0.25">
      <c r="A1143">
        <v>732.87045699999999</v>
      </c>
      <c r="B1143" s="1">
        <f>DATE(2012,5,2) + TIME(20,53,27)</f>
        <v>41031.870451388888</v>
      </c>
      <c r="C1143">
        <v>80</v>
      </c>
      <c r="D1143">
        <v>78.832389832000004</v>
      </c>
      <c r="E1143">
        <v>50</v>
      </c>
      <c r="F1143">
        <v>49.742153168000002</v>
      </c>
      <c r="G1143">
        <v>1399.3479004000001</v>
      </c>
      <c r="H1143">
        <v>1381.9824219</v>
      </c>
      <c r="I1143">
        <v>1282.1129149999999</v>
      </c>
      <c r="J1143">
        <v>1260.2918701000001</v>
      </c>
      <c r="K1143">
        <v>2750</v>
      </c>
      <c r="L1143">
        <v>0</v>
      </c>
      <c r="M1143">
        <v>0</v>
      </c>
      <c r="N1143">
        <v>2750</v>
      </c>
    </row>
    <row r="1144" spans="1:14" x14ac:dyDescent="0.25">
      <c r="A1144">
        <v>732.96554300000003</v>
      </c>
      <c r="B1144" s="1">
        <f>DATE(2012,5,2) + TIME(23,10,22)</f>
        <v>41031.965532407405</v>
      </c>
      <c r="C1144">
        <v>80</v>
      </c>
      <c r="D1144">
        <v>78.984146117999998</v>
      </c>
      <c r="E1144">
        <v>50</v>
      </c>
      <c r="F1144">
        <v>49.732772826999998</v>
      </c>
      <c r="G1144">
        <v>1399.2250977000001</v>
      </c>
      <c r="H1144">
        <v>1381.8985596</v>
      </c>
      <c r="I1144">
        <v>1282.1107178</v>
      </c>
      <c r="J1144">
        <v>1260.2888184000001</v>
      </c>
      <c r="K1144">
        <v>2750</v>
      </c>
      <c r="L1144">
        <v>0</v>
      </c>
      <c r="M1144">
        <v>0</v>
      </c>
      <c r="N1144">
        <v>2750</v>
      </c>
    </row>
    <row r="1145" spans="1:14" x14ac:dyDescent="0.25">
      <c r="A1145">
        <v>733.06165999999996</v>
      </c>
      <c r="B1145" s="1">
        <f>DATE(2012,5,3) + TIME(1,28,47)</f>
        <v>41032.061655092592</v>
      </c>
      <c r="C1145">
        <v>80</v>
      </c>
      <c r="D1145">
        <v>79.116424561000002</v>
      </c>
      <c r="E1145">
        <v>50</v>
      </c>
      <c r="F1145">
        <v>49.723335265999999</v>
      </c>
      <c r="G1145">
        <v>1399.1086425999999</v>
      </c>
      <c r="H1145">
        <v>1381.8173827999999</v>
      </c>
      <c r="I1145">
        <v>1282.1085204999999</v>
      </c>
      <c r="J1145">
        <v>1260.2857666</v>
      </c>
      <c r="K1145">
        <v>2750</v>
      </c>
      <c r="L1145">
        <v>0</v>
      </c>
      <c r="M1145">
        <v>0</v>
      </c>
      <c r="N1145">
        <v>2750</v>
      </c>
    </row>
    <row r="1146" spans="1:14" x14ac:dyDescent="0.25">
      <c r="A1146">
        <v>733.15903100000003</v>
      </c>
      <c r="B1146" s="1">
        <f>DATE(2012,5,3) + TIME(3,49,0)</f>
        <v>41032.15902777778</v>
      </c>
      <c r="C1146">
        <v>80</v>
      </c>
      <c r="D1146">
        <v>79.231773376000007</v>
      </c>
      <c r="E1146">
        <v>50</v>
      </c>
      <c r="F1146">
        <v>49.713825225999997</v>
      </c>
      <c r="G1146">
        <v>1398.9974365</v>
      </c>
      <c r="H1146">
        <v>1381.7384033000001</v>
      </c>
      <c r="I1146">
        <v>1282.1063231999999</v>
      </c>
      <c r="J1146">
        <v>1260.2827147999999</v>
      </c>
      <c r="K1146">
        <v>2750</v>
      </c>
      <c r="L1146">
        <v>0</v>
      </c>
      <c r="M1146">
        <v>0</v>
      </c>
      <c r="N1146">
        <v>2750</v>
      </c>
    </row>
    <row r="1147" spans="1:14" x14ac:dyDescent="0.25">
      <c r="A1147">
        <v>733.25787400000002</v>
      </c>
      <c r="B1147" s="1">
        <f>DATE(2012,5,3) + TIME(6,11,20)</f>
        <v>41032.257870370369</v>
      </c>
      <c r="C1147">
        <v>80</v>
      </c>
      <c r="D1147">
        <v>79.332374572999996</v>
      </c>
      <c r="E1147">
        <v>50</v>
      </c>
      <c r="F1147">
        <v>49.704216002999999</v>
      </c>
      <c r="G1147">
        <v>1398.8909911999999</v>
      </c>
      <c r="H1147">
        <v>1381.6613769999999</v>
      </c>
      <c r="I1147">
        <v>1282.1040039</v>
      </c>
      <c r="J1147">
        <v>1260.2796631000001</v>
      </c>
      <c r="K1147">
        <v>2750</v>
      </c>
      <c r="L1147">
        <v>0</v>
      </c>
      <c r="M1147">
        <v>0</v>
      </c>
      <c r="N1147">
        <v>2750</v>
      </c>
    </row>
    <row r="1148" spans="1:14" x14ac:dyDescent="0.25">
      <c r="A1148">
        <v>733.35844399999996</v>
      </c>
      <c r="B1148" s="1">
        <f>DATE(2012,5,3) + TIME(8,36,9)</f>
        <v>41032.358437499999</v>
      </c>
      <c r="C1148">
        <v>80</v>
      </c>
      <c r="D1148">
        <v>79.420104980000005</v>
      </c>
      <c r="E1148">
        <v>50</v>
      </c>
      <c r="F1148">
        <v>49.694492339999996</v>
      </c>
      <c r="G1148">
        <v>1398.7886963000001</v>
      </c>
      <c r="H1148">
        <v>1381.5861815999999</v>
      </c>
      <c r="I1148">
        <v>1282.1016846</v>
      </c>
      <c r="J1148">
        <v>1260.2764893000001</v>
      </c>
      <c r="K1148">
        <v>2750</v>
      </c>
      <c r="L1148">
        <v>0</v>
      </c>
      <c r="M1148">
        <v>0</v>
      </c>
      <c r="N1148">
        <v>2750</v>
      </c>
    </row>
    <row r="1149" spans="1:14" x14ac:dyDescent="0.25">
      <c r="A1149">
        <v>733.460959</v>
      </c>
      <c r="B1149" s="1">
        <f>DATE(2012,5,3) + TIME(11,3,46)</f>
        <v>41032.460949074077</v>
      </c>
      <c r="C1149">
        <v>80</v>
      </c>
      <c r="D1149">
        <v>79.496559142999999</v>
      </c>
      <c r="E1149">
        <v>50</v>
      </c>
      <c r="F1149">
        <v>49.684631348000003</v>
      </c>
      <c r="G1149">
        <v>1398.6899414</v>
      </c>
      <c r="H1149">
        <v>1381.5124512</v>
      </c>
      <c r="I1149">
        <v>1282.0992432</v>
      </c>
      <c r="J1149">
        <v>1260.2731934000001</v>
      </c>
      <c r="K1149">
        <v>2750</v>
      </c>
      <c r="L1149">
        <v>0</v>
      </c>
      <c r="M1149">
        <v>0</v>
      </c>
      <c r="N1149">
        <v>2750</v>
      </c>
    </row>
    <row r="1150" spans="1:14" x14ac:dyDescent="0.25">
      <c r="A1150">
        <v>733.56564600000002</v>
      </c>
      <c r="B1150" s="1">
        <f>DATE(2012,5,3) + TIME(13,34,31)</f>
        <v>41032.565636574072</v>
      </c>
      <c r="C1150">
        <v>80</v>
      </c>
      <c r="D1150">
        <v>79.563117981000005</v>
      </c>
      <c r="E1150">
        <v>50</v>
      </c>
      <c r="F1150">
        <v>49.674617767000001</v>
      </c>
      <c r="G1150">
        <v>1398.5941161999999</v>
      </c>
      <c r="H1150">
        <v>1381.4399414</v>
      </c>
      <c r="I1150">
        <v>1282.0968018000001</v>
      </c>
      <c r="J1150">
        <v>1260.2700195</v>
      </c>
      <c r="K1150">
        <v>2750</v>
      </c>
      <c r="L1150">
        <v>0</v>
      </c>
      <c r="M1150">
        <v>0</v>
      </c>
      <c r="N1150">
        <v>2750</v>
      </c>
    </row>
    <row r="1151" spans="1:14" x14ac:dyDescent="0.25">
      <c r="A1151">
        <v>733.67275800000004</v>
      </c>
      <c r="B1151" s="1">
        <f>DATE(2012,5,3) + TIME(16,8,46)</f>
        <v>41032.672754629632</v>
      </c>
      <c r="C1151">
        <v>80</v>
      </c>
      <c r="D1151">
        <v>79.620986938000001</v>
      </c>
      <c r="E1151">
        <v>50</v>
      </c>
      <c r="F1151">
        <v>49.664421081999997</v>
      </c>
      <c r="G1151">
        <v>1398.5010986</v>
      </c>
      <c r="H1151">
        <v>1381.3685303</v>
      </c>
      <c r="I1151">
        <v>1282.0943603999999</v>
      </c>
      <c r="J1151">
        <v>1260.2666016000001</v>
      </c>
      <c r="K1151">
        <v>2750</v>
      </c>
      <c r="L1151">
        <v>0</v>
      </c>
      <c r="M1151">
        <v>0</v>
      </c>
      <c r="N1151">
        <v>2750</v>
      </c>
    </row>
    <row r="1152" spans="1:14" x14ac:dyDescent="0.25">
      <c r="A1152">
        <v>733.78256799999997</v>
      </c>
      <c r="B1152" s="1">
        <f>DATE(2012,5,3) + TIME(18,46,53)</f>
        <v>41032.782557870371</v>
      </c>
      <c r="C1152">
        <v>80</v>
      </c>
      <c r="D1152">
        <v>79.671234131000006</v>
      </c>
      <c r="E1152">
        <v>50</v>
      </c>
      <c r="F1152">
        <v>49.654029846</v>
      </c>
      <c r="G1152">
        <v>1398.4102783000001</v>
      </c>
      <c r="H1152">
        <v>1381.2979736</v>
      </c>
      <c r="I1152">
        <v>1282.0917969</v>
      </c>
      <c r="J1152">
        <v>1260.2631836</v>
      </c>
      <c r="K1152">
        <v>2750</v>
      </c>
      <c r="L1152">
        <v>0</v>
      </c>
      <c r="M1152">
        <v>0</v>
      </c>
      <c r="N1152">
        <v>2750</v>
      </c>
    </row>
    <row r="1153" spans="1:14" x14ac:dyDescent="0.25">
      <c r="A1153">
        <v>733.89536899999996</v>
      </c>
      <c r="B1153" s="1">
        <f>DATE(2012,5,3) + TIME(21,29,19)</f>
        <v>41032.895358796297</v>
      </c>
      <c r="C1153">
        <v>80</v>
      </c>
      <c r="D1153">
        <v>79.714767456000004</v>
      </c>
      <c r="E1153">
        <v>50</v>
      </c>
      <c r="F1153">
        <v>49.643413543999998</v>
      </c>
      <c r="G1153">
        <v>1398.3214111</v>
      </c>
      <c r="H1153">
        <v>1381.2282714999999</v>
      </c>
      <c r="I1153">
        <v>1282.0892334</v>
      </c>
      <c r="J1153">
        <v>1260.2596435999999</v>
      </c>
      <c r="K1153">
        <v>2750</v>
      </c>
      <c r="L1153">
        <v>0</v>
      </c>
      <c r="M1153">
        <v>0</v>
      </c>
      <c r="N1153">
        <v>2750</v>
      </c>
    </row>
    <row r="1154" spans="1:14" x14ac:dyDescent="0.25">
      <c r="A1154">
        <v>734.01147900000001</v>
      </c>
      <c r="B1154" s="1">
        <f>DATE(2012,5,4) + TIME(0,16,31)</f>
        <v>41033.011469907404</v>
      </c>
      <c r="C1154">
        <v>80</v>
      </c>
      <c r="D1154">
        <v>79.752410889000004</v>
      </c>
      <c r="E1154">
        <v>50</v>
      </c>
      <c r="F1154">
        <v>49.632549286</v>
      </c>
      <c r="G1154">
        <v>1398.2341309000001</v>
      </c>
      <c r="H1154">
        <v>1381.1590576000001</v>
      </c>
      <c r="I1154">
        <v>1282.0865478999999</v>
      </c>
      <c r="J1154">
        <v>1260.2559814000001</v>
      </c>
      <c r="K1154">
        <v>2750</v>
      </c>
      <c r="L1154">
        <v>0</v>
      </c>
      <c r="M1154">
        <v>0</v>
      </c>
      <c r="N1154">
        <v>2750</v>
      </c>
    </row>
    <row r="1155" spans="1:14" x14ac:dyDescent="0.25">
      <c r="A1155">
        <v>734.13125000000002</v>
      </c>
      <c r="B1155" s="1">
        <f>DATE(2012,5,4) + TIME(3,8,59)</f>
        <v>41033.131238425929</v>
      </c>
      <c r="C1155">
        <v>80</v>
      </c>
      <c r="D1155">
        <v>79.784881592000005</v>
      </c>
      <c r="E1155">
        <v>50</v>
      </c>
      <c r="F1155">
        <v>49.621406555</v>
      </c>
      <c r="G1155">
        <v>1398.1481934000001</v>
      </c>
      <c r="H1155">
        <v>1381.090332</v>
      </c>
      <c r="I1155">
        <v>1282.0837402</v>
      </c>
      <c r="J1155">
        <v>1260.2523193</v>
      </c>
      <c r="K1155">
        <v>2750</v>
      </c>
      <c r="L1155">
        <v>0</v>
      </c>
      <c r="M1155">
        <v>0</v>
      </c>
      <c r="N1155">
        <v>2750</v>
      </c>
    </row>
    <row r="1156" spans="1:14" x14ac:dyDescent="0.25">
      <c r="A1156">
        <v>734.25506800000005</v>
      </c>
      <c r="B1156" s="1">
        <f>DATE(2012,5,4) + TIME(6,7,17)</f>
        <v>41033.255057870374</v>
      </c>
      <c r="C1156">
        <v>80</v>
      </c>
      <c r="D1156">
        <v>79.812805175999998</v>
      </c>
      <c r="E1156">
        <v>50</v>
      </c>
      <c r="F1156">
        <v>49.609954834</v>
      </c>
      <c r="G1156">
        <v>1398.0632324000001</v>
      </c>
      <c r="H1156">
        <v>1381.0218506000001</v>
      </c>
      <c r="I1156">
        <v>1282.0808105000001</v>
      </c>
      <c r="J1156">
        <v>1260.2484131000001</v>
      </c>
      <c r="K1156">
        <v>2750</v>
      </c>
      <c r="L1156">
        <v>0</v>
      </c>
      <c r="M1156">
        <v>0</v>
      </c>
      <c r="N1156">
        <v>2750</v>
      </c>
    </row>
    <row r="1157" spans="1:14" x14ac:dyDescent="0.25">
      <c r="A1157">
        <v>734.38336700000002</v>
      </c>
      <c r="B1157" s="1">
        <f>DATE(2012,5,4) + TIME(9,12,2)</f>
        <v>41033.383356481485</v>
      </c>
      <c r="C1157">
        <v>80</v>
      </c>
      <c r="D1157">
        <v>79.836746215999995</v>
      </c>
      <c r="E1157">
        <v>50</v>
      </c>
      <c r="F1157">
        <v>49.598159789999997</v>
      </c>
      <c r="G1157">
        <v>1397.9788818</v>
      </c>
      <c r="H1157">
        <v>1380.9533690999999</v>
      </c>
      <c r="I1157">
        <v>1282.0778809000001</v>
      </c>
      <c r="J1157">
        <v>1260.2443848</v>
      </c>
      <c r="K1157">
        <v>2750</v>
      </c>
      <c r="L1157">
        <v>0</v>
      </c>
      <c r="M1157">
        <v>0</v>
      </c>
      <c r="N1157">
        <v>2750</v>
      </c>
    </row>
    <row r="1158" spans="1:14" x14ac:dyDescent="0.25">
      <c r="A1158">
        <v>734.51666599999999</v>
      </c>
      <c r="B1158" s="1">
        <f>DATE(2012,5,4) + TIME(12,23,59)</f>
        <v>41033.516655092593</v>
      </c>
      <c r="C1158">
        <v>80</v>
      </c>
      <c r="D1158">
        <v>79.857200622999997</v>
      </c>
      <c r="E1158">
        <v>50</v>
      </c>
      <c r="F1158">
        <v>49.585983276</v>
      </c>
      <c r="G1158">
        <v>1397.8951416</v>
      </c>
      <c r="H1158">
        <v>1380.8848877</v>
      </c>
      <c r="I1158">
        <v>1282.0748291</v>
      </c>
      <c r="J1158">
        <v>1260.2402344</v>
      </c>
      <c r="K1158">
        <v>2750</v>
      </c>
      <c r="L1158">
        <v>0</v>
      </c>
      <c r="M1158">
        <v>0</v>
      </c>
      <c r="N1158">
        <v>2750</v>
      </c>
    </row>
    <row r="1159" spans="1:14" x14ac:dyDescent="0.25">
      <c r="A1159">
        <v>734.65554699999996</v>
      </c>
      <c r="B1159" s="1">
        <f>DATE(2012,5,4) + TIME(15,43,59)</f>
        <v>41033.655543981484</v>
      </c>
      <c r="C1159">
        <v>80</v>
      </c>
      <c r="D1159">
        <v>79.874610900999997</v>
      </c>
      <c r="E1159">
        <v>50</v>
      </c>
      <c r="F1159">
        <v>49.573375702</v>
      </c>
      <c r="G1159">
        <v>1397.8114014</v>
      </c>
      <c r="H1159">
        <v>1380.8161620999999</v>
      </c>
      <c r="I1159">
        <v>1282.0715332</v>
      </c>
      <c r="J1159">
        <v>1260.2359618999999</v>
      </c>
      <c r="K1159">
        <v>2750</v>
      </c>
      <c r="L1159">
        <v>0</v>
      </c>
      <c r="M1159">
        <v>0</v>
      </c>
      <c r="N1159">
        <v>2750</v>
      </c>
    </row>
    <row r="1160" spans="1:14" x14ac:dyDescent="0.25">
      <c r="A1160">
        <v>734.80058699999995</v>
      </c>
      <c r="B1160" s="1">
        <f>DATE(2012,5,4) + TIME(19,12,50)</f>
        <v>41033.800578703704</v>
      </c>
      <c r="C1160">
        <v>80</v>
      </c>
      <c r="D1160">
        <v>79.889358521000005</v>
      </c>
      <c r="E1160">
        <v>50</v>
      </c>
      <c r="F1160">
        <v>49.560298920000001</v>
      </c>
      <c r="G1160">
        <v>1397.7276611</v>
      </c>
      <c r="H1160">
        <v>1380.7469481999999</v>
      </c>
      <c r="I1160">
        <v>1282.0682373</v>
      </c>
      <c r="J1160">
        <v>1260.2314452999999</v>
      </c>
      <c r="K1160">
        <v>2750</v>
      </c>
      <c r="L1160">
        <v>0</v>
      </c>
      <c r="M1160">
        <v>0</v>
      </c>
      <c r="N1160">
        <v>2750</v>
      </c>
    </row>
    <row r="1161" spans="1:14" x14ac:dyDescent="0.25">
      <c r="A1161">
        <v>734.95193400000005</v>
      </c>
      <c r="B1161" s="1">
        <f>DATE(2012,5,4) + TIME(22,50,47)</f>
        <v>41033.951932870368</v>
      </c>
      <c r="C1161">
        <v>80</v>
      </c>
      <c r="D1161">
        <v>79.901756286999998</v>
      </c>
      <c r="E1161">
        <v>50</v>
      </c>
      <c r="F1161">
        <v>49.546737671000002</v>
      </c>
      <c r="G1161">
        <v>1397.6435547000001</v>
      </c>
      <c r="H1161">
        <v>1380.677124</v>
      </c>
      <c r="I1161">
        <v>1282.0646973</v>
      </c>
      <c r="J1161">
        <v>1260.2268065999999</v>
      </c>
      <c r="K1161">
        <v>2750</v>
      </c>
      <c r="L1161">
        <v>0</v>
      </c>
      <c r="M1161">
        <v>0</v>
      </c>
      <c r="N1161">
        <v>2750</v>
      </c>
    </row>
    <row r="1162" spans="1:14" x14ac:dyDescent="0.25">
      <c r="A1162">
        <v>735.10881099999995</v>
      </c>
      <c r="B1162" s="1">
        <f>DATE(2012,5,5) + TIME(2,36,41)</f>
        <v>41034.108807870369</v>
      </c>
      <c r="C1162">
        <v>80</v>
      </c>
      <c r="D1162">
        <v>79.912040709999999</v>
      </c>
      <c r="E1162">
        <v>50</v>
      </c>
      <c r="F1162">
        <v>49.532745361000003</v>
      </c>
      <c r="G1162">
        <v>1397.559082</v>
      </c>
      <c r="H1162">
        <v>1380.6068115</v>
      </c>
      <c r="I1162">
        <v>1282.0609131000001</v>
      </c>
      <c r="J1162">
        <v>1260.2218018000001</v>
      </c>
      <c r="K1162">
        <v>2750</v>
      </c>
      <c r="L1162">
        <v>0</v>
      </c>
      <c r="M1162">
        <v>0</v>
      </c>
      <c r="N1162">
        <v>2750</v>
      </c>
    </row>
    <row r="1163" spans="1:14" x14ac:dyDescent="0.25">
      <c r="A1163">
        <v>735.27184899999997</v>
      </c>
      <c r="B1163" s="1">
        <f>DATE(2012,5,5) + TIME(6,31,27)</f>
        <v>41034.271840277775</v>
      </c>
      <c r="C1163">
        <v>80</v>
      </c>
      <c r="D1163">
        <v>79.920547485</v>
      </c>
      <c r="E1163">
        <v>50</v>
      </c>
      <c r="F1163">
        <v>49.518283844000003</v>
      </c>
      <c r="G1163">
        <v>1397.4747314000001</v>
      </c>
      <c r="H1163">
        <v>1380.5363769999999</v>
      </c>
      <c r="I1163">
        <v>1282.0571289</v>
      </c>
      <c r="J1163">
        <v>1260.2167969</v>
      </c>
      <c r="K1163">
        <v>2750</v>
      </c>
      <c r="L1163">
        <v>0</v>
      </c>
      <c r="M1163">
        <v>0</v>
      </c>
      <c r="N1163">
        <v>2750</v>
      </c>
    </row>
    <row r="1164" spans="1:14" x14ac:dyDescent="0.25">
      <c r="A1164">
        <v>735.44181200000003</v>
      </c>
      <c r="B1164" s="1">
        <f>DATE(2012,5,5) + TIME(10,36,12)</f>
        <v>41034.441805555558</v>
      </c>
      <c r="C1164">
        <v>80</v>
      </c>
      <c r="D1164">
        <v>79.927551269999995</v>
      </c>
      <c r="E1164">
        <v>50</v>
      </c>
      <c r="F1164">
        <v>49.503292084000002</v>
      </c>
      <c r="G1164">
        <v>1397.3901367000001</v>
      </c>
      <c r="H1164">
        <v>1380.4656981999999</v>
      </c>
      <c r="I1164">
        <v>1282.0531006000001</v>
      </c>
      <c r="J1164">
        <v>1260.2114257999999</v>
      </c>
      <c r="K1164">
        <v>2750</v>
      </c>
      <c r="L1164">
        <v>0</v>
      </c>
      <c r="M1164">
        <v>0</v>
      </c>
      <c r="N1164">
        <v>2750</v>
      </c>
    </row>
    <row r="1165" spans="1:14" x14ac:dyDescent="0.25">
      <c r="A1165">
        <v>735.61933499999998</v>
      </c>
      <c r="B1165" s="1">
        <f>DATE(2012,5,5) + TIME(14,51,50)</f>
        <v>41034.619328703702</v>
      </c>
      <c r="C1165">
        <v>80</v>
      </c>
      <c r="D1165">
        <v>79.933288574000002</v>
      </c>
      <c r="E1165">
        <v>50</v>
      </c>
      <c r="F1165">
        <v>49.487724303999997</v>
      </c>
      <c r="G1165">
        <v>1397.3051757999999</v>
      </c>
      <c r="H1165">
        <v>1380.3944091999999</v>
      </c>
      <c r="I1165">
        <v>1282.0489502</v>
      </c>
      <c r="J1165">
        <v>1260.2059326000001</v>
      </c>
      <c r="K1165">
        <v>2750</v>
      </c>
      <c r="L1165">
        <v>0</v>
      </c>
      <c r="M1165">
        <v>0</v>
      </c>
      <c r="N1165">
        <v>2750</v>
      </c>
    </row>
    <row r="1166" spans="1:14" x14ac:dyDescent="0.25">
      <c r="A1166">
        <v>735.80527800000004</v>
      </c>
      <c r="B1166" s="1">
        <f>DATE(2012,5,5) + TIME(19,19,35)</f>
        <v>41034.805266203701</v>
      </c>
      <c r="C1166">
        <v>80</v>
      </c>
      <c r="D1166">
        <v>79.937973021999994</v>
      </c>
      <c r="E1166">
        <v>50</v>
      </c>
      <c r="F1166">
        <v>49.471519469999997</v>
      </c>
      <c r="G1166">
        <v>1397.2196045000001</v>
      </c>
      <c r="H1166">
        <v>1380.3225098</v>
      </c>
      <c r="I1166">
        <v>1282.0445557</v>
      </c>
      <c r="J1166">
        <v>1260.2001952999999</v>
      </c>
      <c r="K1166">
        <v>2750</v>
      </c>
      <c r="L1166">
        <v>0</v>
      </c>
      <c r="M1166">
        <v>0</v>
      </c>
      <c r="N1166">
        <v>2750</v>
      </c>
    </row>
    <row r="1167" spans="1:14" x14ac:dyDescent="0.25">
      <c r="A1167">
        <v>735.99721799999998</v>
      </c>
      <c r="B1167" s="1">
        <f>DATE(2012,5,5) + TIME(23,55,59)</f>
        <v>41034.997210648151</v>
      </c>
      <c r="C1167">
        <v>80</v>
      </c>
      <c r="D1167">
        <v>79.941719054999993</v>
      </c>
      <c r="E1167">
        <v>50</v>
      </c>
      <c r="F1167">
        <v>49.454845427999999</v>
      </c>
      <c r="G1167">
        <v>1397.1329346</v>
      </c>
      <c r="H1167">
        <v>1380.2497559000001</v>
      </c>
      <c r="I1167">
        <v>1282.0399170000001</v>
      </c>
      <c r="J1167">
        <v>1260.1942139</v>
      </c>
      <c r="K1167">
        <v>2750</v>
      </c>
      <c r="L1167">
        <v>0</v>
      </c>
      <c r="M1167">
        <v>0</v>
      </c>
      <c r="N1167">
        <v>2750</v>
      </c>
    </row>
    <row r="1168" spans="1:14" x14ac:dyDescent="0.25">
      <c r="A1168">
        <v>736.18980399999998</v>
      </c>
      <c r="B1168" s="1">
        <f>DATE(2012,5,6) + TIME(4,33,19)</f>
        <v>41035.189803240741</v>
      </c>
      <c r="C1168">
        <v>80</v>
      </c>
      <c r="D1168">
        <v>79.944641113000003</v>
      </c>
      <c r="E1168">
        <v>50</v>
      </c>
      <c r="F1168">
        <v>49.438068389999998</v>
      </c>
      <c r="G1168">
        <v>1397.0467529</v>
      </c>
      <c r="H1168">
        <v>1380.1772461</v>
      </c>
      <c r="I1168">
        <v>1282.0351562000001</v>
      </c>
      <c r="J1168">
        <v>1260.1879882999999</v>
      </c>
      <c r="K1168">
        <v>2750</v>
      </c>
      <c r="L1168">
        <v>0</v>
      </c>
      <c r="M1168">
        <v>0</v>
      </c>
      <c r="N1168">
        <v>2750</v>
      </c>
    </row>
    <row r="1169" spans="1:14" x14ac:dyDescent="0.25">
      <c r="A1169">
        <v>736.38359500000001</v>
      </c>
      <c r="B1169" s="1">
        <f>DATE(2012,5,6) + TIME(9,12,22)</f>
        <v>41035.383587962962</v>
      </c>
      <c r="C1169">
        <v>80</v>
      </c>
      <c r="D1169">
        <v>79.946937560999999</v>
      </c>
      <c r="E1169">
        <v>50</v>
      </c>
      <c r="F1169">
        <v>49.42117691</v>
      </c>
      <c r="G1169">
        <v>1396.9630127</v>
      </c>
      <c r="H1169">
        <v>1380.1068115</v>
      </c>
      <c r="I1169">
        <v>1282.0302733999999</v>
      </c>
      <c r="J1169">
        <v>1260.1816406</v>
      </c>
      <c r="K1169">
        <v>2750</v>
      </c>
      <c r="L1169">
        <v>0</v>
      </c>
      <c r="M1169">
        <v>0</v>
      </c>
      <c r="N1169">
        <v>2750</v>
      </c>
    </row>
    <row r="1170" spans="1:14" x14ac:dyDescent="0.25">
      <c r="A1170">
        <v>736.57916599999999</v>
      </c>
      <c r="B1170" s="1">
        <f>DATE(2012,5,6) + TIME(13,53,59)</f>
        <v>41035.579155092593</v>
      </c>
      <c r="C1170">
        <v>80</v>
      </c>
      <c r="D1170">
        <v>79.948738098000007</v>
      </c>
      <c r="E1170">
        <v>50</v>
      </c>
      <c r="F1170">
        <v>49.404144287000001</v>
      </c>
      <c r="G1170">
        <v>1396.8814697</v>
      </c>
      <c r="H1170">
        <v>1380.0383300999999</v>
      </c>
      <c r="I1170">
        <v>1282.0253906</v>
      </c>
      <c r="J1170">
        <v>1260.1754149999999</v>
      </c>
      <c r="K1170">
        <v>2750</v>
      </c>
      <c r="L1170">
        <v>0</v>
      </c>
      <c r="M1170">
        <v>0</v>
      </c>
      <c r="N1170">
        <v>2750</v>
      </c>
    </row>
    <row r="1171" spans="1:14" x14ac:dyDescent="0.25">
      <c r="A1171">
        <v>736.77694499999996</v>
      </c>
      <c r="B1171" s="1">
        <f>DATE(2012,5,6) + TIME(18,38,48)</f>
        <v>41035.776944444442</v>
      </c>
      <c r="C1171">
        <v>80</v>
      </c>
      <c r="D1171">
        <v>79.950164795000006</v>
      </c>
      <c r="E1171">
        <v>50</v>
      </c>
      <c r="F1171">
        <v>49.386951447000001</v>
      </c>
      <c r="G1171">
        <v>1396.8016356999999</v>
      </c>
      <c r="H1171">
        <v>1379.9711914</v>
      </c>
      <c r="I1171">
        <v>1282.0205077999999</v>
      </c>
      <c r="J1171">
        <v>1260.1690673999999</v>
      </c>
      <c r="K1171">
        <v>2750</v>
      </c>
      <c r="L1171">
        <v>0</v>
      </c>
      <c r="M1171">
        <v>0</v>
      </c>
      <c r="N1171">
        <v>2750</v>
      </c>
    </row>
    <row r="1172" spans="1:14" x14ac:dyDescent="0.25">
      <c r="A1172">
        <v>736.97743500000001</v>
      </c>
      <c r="B1172" s="1">
        <f>DATE(2012,5,6) + TIME(23,27,30)</f>
        <v>41035.977430555555</v>
      </c>
      <c r="C1172">
        <v>80</v>
      </c>
      <c r="D1172">
        <v>79.951301575000002</v>
      </c>
      <c r="E1172">
        <v>50</v>
      </c>
      <c r="F1172">
        <v>49.369575500000003</v>
      </c>
      <c r="G1172">
        <v>1396.7232666</v>
      </c>
      <c r="H1172">
        <v>1379.9053954999999</v>
      </c>
      <c r="I1172">
        <v>1282.0155029</v>
      </c>
      <c r="J1172">
        <v>1260.1625977000001</v>
      </c>
      <c r="K1172">
        <v>2750</v>
      </c>
      <c r="L1172">
        <v>0</v>
      </c>
      <c r="M1172">
        <v>0</v>
      </c>
      <c r="N1172">
        <v>2750</v>
      </c>
    </row>
    <row r="1173" spans="1:14" x14ac:dyDescent="0.25">
      <c r="A1173">
        <v>737.18114200000002</v>
      </c>
      <c r="B1173" s="1">
        <f>DATE(2012,5,7) + TIME(4,20,50)</f>
        <v>41036.181134259263</v>
      </c>
      <c r="C1173">
        <v>80</v>
      </c>
      <c r="D1173">
        <v>79.952209472999996</v>
      </c>
      <c r="E1173">
        <v>50</v>
      </c>
      <c r="F1173">
        <v>49.351982116999999</v>
      </c>
      <c r="G1173">
        <v>1396.6461182</v>
      </c>
      <c r="H1173">
        <v>1379.8406981999999</v>
      </c>
      <c r="I1173">
        <v>1282.0104980000001</v>
      </c>
      <c r="J1173">
        <v>1260.1560059000001</v>
      </c>
      <c r="K1173">
        <v>2750</v>
      </c>
      <c r="L1173">
        <v>0</v>
      </c>
      <c r="M1173">
        <v>0</v>
      </c>
      <c r="N1173">
        <v>2750</v>
      </c>
    </row>
    <row r="1174" spans="1:14" x14ac:dyDescent="0.25">
      <c r="A1174">
        <v>737.38859100000002</v>
      </c>
      <c r="B1174" s="1">
        <f>DATE(2012,5,7) + TIME(9,19,34)</f>
        <v>41036.38858796296</v>
      </c>
      <c r="C1174">
        <v>80</v>
      </c>
      <c r="D1174">
        <v>79.952934264999996</v>
      </c>
      <c r="E1174">
        <v>50</v>
      </c>
      <c r="F1174">
        <v>49.334140777999998</v>
      </c>
      <c r="G1174">
        <v>1396.5698242000001</v>
      </c>
      <c r="H1174">
        <v>1379.7768555</v>
      </c>
      <c r="I1174">
        <v>1282.0053711</v>
      </c>
      <c r="J1174">
        <v>1260.1494141000001</v>
      </c>
      <c r="K1174">
        <v>2750</v>
      </c>
      <c r="L1174">
        <v>0</v>
      </c>
      <c r="M1174">
        <v>0</v>
      </c>
      <c r="N1174">
        <v>2750</v>
      </c>
    </row>
    <row r="1175" spans="1:14" x14ac:dyDescent="0.25">
      <c r="A1175">
        <v>737.60033299999998</v>
      </c>
      <c r="B1175" s="1">
        <f>DATE(2012,5,7) + TIME(14,24,28)</f>
        <v>41036.600324074076</v>
      </c>
      <c r="C1175">
        <v>80</v>
      </c>
      <c r="D1175">
        <v>79.953521729000002</v>
      </c>
      <c r="E1175">
        <v>50</v>
      </c>
      <c r="F1175">
        <v>49.316017150999997</v>
      </c>
      <c r="G1175">
        <v>1396.4943848</v>
      </c>
      <c r="H1175">
        <v>1379.7136230000001</v>
      </c>
      <c r="I1175">
        <v>1282.0002440999999</v>
      </c>
      <c r="J1175">
        <v>1260.1425781</v>
      </c>
      <c r="K1175">
        <v>2750</v>
      </c>
      <c r="L1175">
        <v>0</v>
      </c>
      <c r="M1175">
        <v>0</v>
      </c>
      <c r="N1175">
        <v>2750</v>
      </c>
    </row>
    <row r="1176" spans="1:14" x14ac:dyDescent="0.25">
      <c r="A1176">
        <v>737.816956</v>
      </c>
      <c r="B1176" s="1">
        <f>DATE(2012,5,7) + TIME(19,36,25)</f>
        <v>41036.81695601852</v>
      </c>
      <c r="C1176">
        <v>80</v>
      </c>
      <c r="D1176">
        <v>79.953994750999996</v>
      </c>
      <c r="E1176">
        <v>50</v>
      </c>
      <c r="F1176">
        <v>49.297565460000001</v>
      </c>
      <c r="G1176">
        <v>1396.4194336</v>
      </c>
      <c r="H1176">
        <v>1379.6507568</v>
      </c>
      <c r="I1176">
        <v>1281.9948730000001</v>
      </c>
      <c r="J1176">
        <v>1260.1356201000001</v>
      </c>
      <c r="K1176">
        <v>2750</v>
      </c>
      <c r="L1176">
        <v>0</v>
      </c>
      <c r="M1176">
        <v>0</v>
      </c>
      <c r="N1176">
        <v>2750</v>
      </c>
    </row>
    <row r="1177" spans="1:14" x14ac:dyDescent="0.25">
      <c r="A1177">
        <v>738.03909399999998</v>
      </c>
      <c r="B1177" s="1">
        <f>DATE(2012,5,8) + TIME(0,56,17)</f>
        <v>41037.039085648146</v>
      </c>
      <c r="C1177">
        <v>80</v>
      </c>
      <c r="D1177">
        <v>79.954376221000004</v>
      </c>
      <c r="E1177">
        <v>50</v>
      </c>
      <c r="F1177">
        <v>49.278743744000003</v>
      </c>
      <c r="G1177">
        <v>1396.3447266000001</v>
      </c>
      <c r="H1177">
        <v>1379.5883789</v>
      </c>
      <c r="I1177">
        <v>1281.9893798999999</v>
      </c>
      <c r="J1177">
        <v>1260.1285399999999</v>
      </c>
      <c r="K1177">
        <v>2750</v>
      </c>
      <c r="L1177">
        <v>0</v>
      </c>
      <c r="M1177">
        <v>0</v>
      </c>
      <c r="N1177">
        <v>2750</v>
      </c>
    </row>
    <row r="1178" spans="1:14" x14ac:dyDescent="0.25">
      <c r="A1178">
        <v>738.26744099999996</v>
      </c>
      <c r="B1178" s="1">
        <f>DATE(2012,5,8) + TIME(6,25,6)</f>
        <v>41037.267430555556</v>
      </c>
      <c r="C1178">
        <v>80</v>
      </c>
      <c r="D1178">
        <v>79.954689025999997</v>
      </c>
      <c r="E1178">
        <v>50</v>
      </c>
      <c r="F1178">
        <v>49.259506225999999</v>
      </c>
      <c r="G1178">
        <v>1396.2702637</v>
      </c>
      <c r="H1178">
        <v>1379.526001</v>
      </c>
      <c r="I1178">
        <v>1281.9838867000001</v>
      </c>
      <c r="J1178">
        <v>1260.1212158000001</v>
      </c>
      <c r="K1178">
        <v>2750</v>
      </c>
      <c r="L1178">
        <v>0</v>
      </c>
      <c r="M1178">
        <v>0</v>
      </c>
      <c r="N1178">
        <v>2750</v>
      </c>
    </row>
    <row r="1179" spans="1:14" x14ac:dyDescent="0.25">
      <c r="A1179">
        <v>738.50275999999997</v>
      </c>
      <c r="B1179" s="1">
        <f>DATE(2012,5,8) + TIME(12,3,58)</f>
        <v>41037.502754629626</v>
      </c>
      <c r="C1179">
        <v>80</v>
      </c>
      <c r="D1179">
        <v>79.954948424999998</v>
      </c>
      <c r="E1179">
        <v>50</v>
      </c>
      <c r="F1179">
        <v>49.239799499999997</v>
      </c>
      <c r="G1179">
        <v>1396.1955565999999</v>
      </c>
      <c r="H1179">
        <v>1379.4637451000001</v>
      </c>
      <c r="I1179">
        <v>1281.9781493999999</v>
      </c>
      <c r="J1179">
        <v>1260.1137695</v>
      </c>
      <c r="K1179">
        <v>2750</v>
      </c>
      <c r="L1179">
        <v>0</v>
      </c>
      <c r="M1179">
        <v>0</v>
      </c>
      <c r="N1179">
        <v>2750</v>
      </c>
    </row>
    <row r="1180" spans="1:14" x14ac:dyDescent="0.25">
      <c r="A1180">
        <v>738.74607100000003</v>
      </c>
      <c r="B1180" s="1">
        <f>DATE(2012,5,8) + TIME(17,54,20)</f>
        <v>41037.746064814812</v>
      </c>
      <c r="C1180">
        <v>80</v>
      </c>
      <c r="D1180">
        <v>79.955154418999996</v>
      </c>
      <c r="E1180">
        <v>50</v>
      </c>
      <c r="F1180">
        <v>49.219551086000003</v>
      </c>
      <c r="G1180">
        <v>1396.1206055</v>
      </c>
      <c r="H1180">
        <v>1379.4012451000001</v>
      </c>
      <c r="I1180">
        <v>1281.972168</v>
      </c>
      <c r="J1180">
        <v>1260.1060791</v>
      </c>
      <c r="K1180">
        <v>2750</v>
      </c>
      <c r="L1180">
        <v>0</v>
      </c>
      <c r="M1180">
        <v>0</v>
      </c>
      <c r="N1180">
        <v>2750</v>
      </c>
    </row>
    <row r="1181" spans="1:14" x14ac:dyDescent="0.25">
      <c r="A1181">
        <v>738.99617899999998</v>
      </c>
      <c r="B1181" s="1">
        <f>DATE(2012,5,8) + TIME(23,54,29)</f>
        <v>41037.996168981481</v>
      </c>
      <c r="C1181">
        <v>80</v>
      </c>
      <c r="D1181">
        <v>79.955329895000006</v>
      </c>
      <c r="E1181">
        <v>50</v>
      </c>
      <c r="F1181">
        <v>49.198825835999997</v>
      </c>
      <c r="G1181">
        <v>1396.0451660000001</v>
      </c>
      <c r="H1181">
        <v>1379.3382568</v>
      </c>
      <c r="I1181">
        <v>1281.9660644999999</v>
      </c>
      <c r="J1181">
        <v>1260.0981445</v>
      </c>
      <c r="K1181">
        <v>2750</v>
      </c>
      <c r="L1181">
        <v>0</v>
      </c>
      <c r="M1181">
        <v>0</v>
      </c>
      <c r="N1181">
        <v>2750</v>
      </c>
    </row>
    <row r="1182" spans="1:14" x14ac:dyDescent="0.25">
      <c r="A1182">
        <v>739.25231499999995</v>
      </c>
      <c r="B1182" s="1">
        <f>DATE(2012,5,9) + TIME(6,3,20)</f>
        <v>41038.252314814818</v>
      </c>
      <c r="C1182">
        <v>80</v>
      </c>
      <c r="D1182">
        <v>79.955467224000003</v>
      </c>
      <c r="E1182">
        <v>50</v>
      </c>
      <c r="F1182">
        <v>49.177677154999998</v>
      </c>
      <c r="G1182">
        <v>1395.9694824000001</v>
      </c>
      <c r="H1182">
        <v>1379.2753906</v>
      </c>
      <c r="I1182">
        <v>1281.9597168</v>
      </c>
      <c r="J1182">
        <v>1260.0898437999999</v>
      </c>
      <c r="K1182">
        <v>2750</v>
      </c>
      <c r="L1182">
        <v>0</v>
      </c>
      <c r="M1182">
        <v>0</v>
      </c>
      <c r="N1182">
        <v>2750</v>
      </c>
    </row>
    <row r="1183" spans="1:14" x14ac:dyDescent="0.25">
      <c r="A1183">
        <v>739.51520800000003</v>
      </c>
      <c r="B1183" s="1">
        <f>DATE(2012,5,9) + TIME(12,21,53)</f>
        <v>41038.515196759261</v>
      </c>
      <c r="C1183">
        <v>80</v>
      </c>
      <c r="D1183">
        <v>79.955581664999997</v>
      </c>
      <c r="E1183">
        <v>50</v>
      </c>
      <c r="F1183">
        <v>49.156055449999997</v>
      </c>
      <c r="G1183">
        <v>1395.894043</v>
      </c>
      <c r="H1183">
        <v>1379.2125243999999</v>
      </c>
      <c r="I1183">
        <v>1281.953125</v>
      </c>
      <c r="J1183">
        <v>1260.081543</v>
      </c>
      <c r="K1183">
        <v>2750</v>
      </c>
      <c r="L1183">
        <v>0</v>
      </c>
      <c r="M1183">
        <v>0</v>
      </c>
      <c r="N1183">
        <v>2750</v>
      </c>
    </row>
    <row r="1184" spans="1:14" x14ac:dyDescent="0.25">
      <c r="A1184">
        <v>739.78562799999997</v>
      </c>
      <c r="B1184" s="1">
        <f>DATE(2012,5,9) + TIME(18,51,18)</f>
        <v>41038.785624999997</v>
      </c>
      <c r="C1184">
        <v>80</v>
      </c>
      <c r="D1184">
        <v>79.955673218000001</v>
      </c>
      <c r="E1184">
        <v>50</v>
      </c>
      <c r="F1184">
        <v>49.133926391999999</v>
      </c>
      <c r="G1184">
        <v>1395.8186035000001</v>
      </c>
      <c r="H1184">
        <v>1379.1497803</v>
      </c>
      <c r="I1184">
        <v>1281.9465332</v>
      </c>
      <c r="J1184">
        <v>1260.072876</v>
      </c>
      <c r="K1184">
        <v>2750</v>
      </c>
      <c r="L1184">
        <v>0</v>
      </c>
      <c r="M1184">
        <v>0</v>
      </c>
      <c r="N1184">
        <v>2750</v>
      </c>
    </row>
    <row r="1185" spans="1:14" x14ac:dyDescent="0.25">
      <c r="A1185">
        <v>740.06442800000002</v>
      </c>
      <c r="B1185" s="1">
        <f>DATE(2012,5,10) + TIME(1,32,46)</f>
        <v>41039.064421296294</v>
      </c>
      <c r="C1185">
        <v>80</v>
      </c>
      <c r="D1185">
        <v>79.955749511999997</v>
      </c>
      <c r="E1185">
        <v>50</v>
      </c>
      <c r="F1185">
        <v>49.111225128000001</v>
      </c>
      <c r="G1185">
        <v>1395.7429199000001</v>
      </c>
      <c r="H1185">
        <v>1379.0869141000001</v>
      </c>
      <c r="I1185">
        <v>1281.9395752</v>
      </c>
      <c r="J1185">
        <v>1260.0639647999999</v>
      </c>
      <c r="K1185">
        <v>2750</v>
      </c>
      <c r="L1185">
        <v>0</v>
      </c>
      <c r="M1185">
        <v>0</v>
      </c>
      <c r="N1185">
        <v>2750</v>
      </c>
    </row>
    <row r="1186" spans="1:14" x14ac:dyDescent="0.25">
      <c r="A1186">
        <v>740.35261700000001</v>
      </c>
      <c r="B1186" s="1">
        <f>DATE(2012,5,10) + TIME(8,27,46)</f>
        <v>41039.35261574074</v>
      </c>
      <c r="C1186">
        <v>80</v>
      </c>
      <c r="D1186">
        <v>79.955810546999999</v>
      </c>
      <c r="E1186">
        <v>50</v>
      </c>
      <c r="F1186">
        <v>49.087898254000002</v>
      </c>
      <c r="G1186">
        <v>1395.6667480000001</v>
      </c>
      <c r="H1186">
        <v>1379.0238036999999</v>
      </c>
      <c r="I1186">
        <v>1281.9324951000001</v>
      </c>
      <c r="J1186">
        <v>1260.0548096</v>
      </c>
      <c r="K1186">
        <v>2750</v>
      </c>
      <c r="L1186">
        <v>0</v>
      </c>
      <c r="M1186">
        <v>0</v>
      </c>
      <c r="N1186">
        <v>2750</v>
      </c>
    </row>
    <row r="1187" spans="1:14" x14ac:dyDescent="0.25">
      <c r="A1187">
        <v>740.65137600000003</v>
      </c>
      <c r="B1187" s="1">
        <f>DATE(2012,5,10) + TIME(15,37,58)</f>
        <v>41039.651365740741</v>
      </c>
      <c r="C1187">
        <v>80</v>
      </c>
      <c r="D1187">
        <v>79.955863953000005</v>
      </c>
      <c r="E1187">
        <v>50</v>
      </c>
      <c r="F1187">
        <v>49.063861846999998</v>
      </c>
      <c r="G1187">
        <v>1395.5900879000001</v>
      </c>
      <c r="H1187">
        <v>1378.9602050999999</v>
      </c>
      <c r="I1187">
        <v>1281.9251709</v>
      </c>
      <c r="J1187">
        <v>1260.0452881000001</v>
      </c>
      <c r="K1187">
        <v>2750</v>
      </c>
      <c r="L1187">
        <v>0</v>
      </c>
      <c r="M1187">
        <v>0</v>
      </c>
      <c r="N1187">
        <v>2750</v>
      </c>
    </row>
    <row r="1188" spans="1:14" x14ac:dyDescent="0.25">
      <c r="A1188">
        <v>740.95640100000003</v>
      </c>
      <c r="B1188" s="1">
        <f>DATE(2012,5,10) + TIME(22,57,13)</f>
        <v>41039.956400462965</v>
      </c>
      <c r="C1188">
        <v>80</v>
      </c>
      <c r="D1188">
        <v>79.955902100000003</v>
      </c>
      <c r="E1188">
        <v>50</v>
      </c>
      <c r="F1188">
        <v>49.039356232000003</v>
      </c>
      <c r="G1188">
        <v>1395.5125731999999</v>
      </c>
      <c r="H1188">
        <v>1378.8959961</v>
      </c>
      <c r="I1188">
        <v>1281.9174805</v>
      </c>
      <c r="J1188">
        <v>1260.0355225000001</v>
      </c>
      <c r="K1188">
        <v>2750</v>
      </c>
      <c r="L1188">
        <v>0</v>
      </c>
      <c r="M1188">
        <v>0</v>
      </c>
      <c r="N1188">
        <v>2750</v>
      </c>
    </row>
    <row r="1189" spans="1:14" x14ac:dyDescent="0.25">
      <c r="A1189">
        <v>741.263464</v>
      </c>
      <c r="B1189" s="1">
        <f>DATE(2012,5,11) + TIME(6,19,23)</f>
        <v>41040.263460648152</v>
      </c>
      <c r="C1189">
        <v>80</v>
      </c>
      <c r="D1189">
        <v>79.955932617000002</v>
      </c>
      <c r="E1189">
        <v>50</v>
      </c>
      <c r="F1189">
        <v>49.014636993000003</v>
      </c>
      <c r="G1189">
        <v>1395.4354248</v>
      </c>
      <c r="H1189">
        <v>1378.8320312000001</v>
      </c>
      <c r="I1189">
        <v>1281.909668</v>
      </c>
      <c r="J1189">
        <v>1260.0253906</v>
      </c>
      <c r="K1189">
        <v>2750</v>
      </c>
      <c r="L1189">
        <v>0</v>
      </c>
      <c r="M1189">
        <v>0</v>
      </c>
      <c r="N1189">
        <v>2750</v>
      </c>
    </row>
    <row r="1190" spans="1:14" x14ac:dyDescent="0.25">
      <c r="A1190">
        <v>741.57343500000002</v>
      </c>
      <c r="B1190" s="1">
        <f>DATE(2012,5,11) + TIME(13,45,44)</f>
        <v>41040.573425925926</v>
      </c>
      <c r="C1190">
        <v>80</v>
      </c>
      <c r="D1190">
        <v>79.955947875999996</v>
      </c>
      <c r="E1190">
        <v>50</v>
      </c>
      <c r="F1190">
        <v>48.989700317</v>
      </c>
      <c r="G1190">
        <v>1395.3596190999999</v>
      </c>
      <c r="H1190">
        <v>1378.7694091999999</v>
      </c>
      <c r="I1190">
        <v>1281.9017334</v>
      </c>
      <c r="J1190">
        <v>1260.0153809000001</v>
      </c>
      <c r="K1190">
        <v>2750</v>
      </c>
      <c r="L1190">
        <v>0</v>
      </c>
      <c r="M1190">
        <v>0</v>
      </c>
      <c r="N1190">
        <v>2750</v>
      </c>
    </row>
    <row r="1191" spans="1:14" x14ac:dyDescent="0.25">
      <c r="A1191">
        <v>741.887158</v>
      </c>
      <c r="B1191" s="1">
        <f>DATE(2012,5,11) + TIME(21,17,30)</f>
        <v>41040.887152777781</v>
      </c>
      <c r="C1191">
        <v>80</v>
      </c>
      <c r="D1191">
        <v>79.955963135000005</v>
      </c>
      <c r="E1191">
        <v>50</v>
      </c>
      <c r="F1191">
        <v>48.964523315000001</v>
      </c>
      <c r="G1191">
        <v>1395.2850341999999</v>
      </c>
      <c r="H1191">
        <v>1378.7076416</v>
      </c>
      <c r="I1191">
        <v>1281.8937988</v>
      </c>
      <c r="J1191">
        <v>1260.0051269999999</v>
      </c>
      <c r="K1191">
        <v>2750</v>
      </c>
      <c r="L1191">
        <v>0</v>
      </c>
      <c r="M1191">
        <v>0</v>
      </c>
      <c r="N1191">
        <v>2750</v>
      </c>
    </row>
    <row r="1192" spans="1:14" x14ac:dyDescent="0.25">
      <c r="A1192">
        <v>742.20493999999997</v>
      </c>
      <c r="B1192" s="1">
        <f>DATE(2012,5,12) + TIME(4,55,6)</f>
        <v>41041.204930555556</v>
      </c>
      <c r="C1192">
        <v>80</v>
      </c>
      <c r="D1192">
        <v>79.955970764</v>
      </c>
      <c r="E1192">
        <v>50</v>
      </c>
      <c r="F1192">
        <v>48.939102173000002</v>
      </c>
      <c r="G1192">
        <v>1395.2111815999999</v>
      </c>
      <c r="H1192">
        <v>1378.6467285000001</v>
      </c>
      <c r="I1192">
        <v>1281.8857422000001</v>
      </c>
      <c r="J1192">
        <v>1259.994751</v>
      </c>
      <c r="K1192">
        <v>2750</v>
      </c>
      <c r="L1192">
        <v>0</v>
      </c>
      <c r="M1192">
        <v>0</v>
      </c>
      <c r="N1192">
        <v>2750</v>
      </c>
    </row>
    <row r="1193" spans="1:14" x14ac:dyDescent="0.25">
      <c r="A1193">
        <v>742.52722600000004</v>
      </c>
      <c r="B1193" s="1">
        <f>DATE(2012,5,12) + TIME(12,39,12)</f>
        <v>41041.527222222219</v>
      </c>
      <c r="C1193">
        <v>80</v>
      </c>
      <c r="D1193">
        <v>79.955978393999999</v>
      </c>
      <c r="E1193">
        <v>50</v>
      </c>
      <c r="F1193">
        <v>48.913421630999999</v>
      </c>
      <c r="G1193">
        <v>1395.1381836</v>
      </c>
      <c r="H1193">
        <v>1378.5864257999999</v>
      </c>
      <c r="I1193">
        <v>1281.8775635</v>
      </c>
      <c r="J1193">
        <v>1259.9841309000001</v>
      </c>
      <c r="K1193">
        <v>2750</v>
      </c>
      <c r="L1193">
        <v>0</v>
      </c>
      <c r="M1193">
        <v>0</v>
      </c>
      <c r="N1193">
        <v>2750</v>
      </c>
    </row>
    <row r="1194" spans="1:14" x14ac:dyDescent="0.25">
      <c r="A1194">
        <v>742.85484699999995</v>
      </c>
      <c r="B1194" s="1">
        <f>DATE(2012,5,12) + TIME(20,30,58)</f>
        <v>41041.854837962965</v>
      </c>
      <c r="C1194">
        <v>80</v>
      </c>
      <c r="D1194">
        <v>79.955978393999999</v>
      </c>
      <c r="E1194">
        <v>50</v>
      </c>
      <c r="F1194">
        <v>48.887435912999997</v>
      </c>
      <c r="G1194">
        <v>1395.065918</v>
      </c>
      <c r="H1194">
        <v>1378.5267334</v>
      </c>
      <c r="I1194">
        <v>1281.8692627</v>
      </c>
      <c r="J1194">
        <v>1259.9735106999999</v>
      </c>
      <c r="K1194">
        <v>2750</v>
      </c>
      <c r="L1194">
        <v>0</v>
      </c>
      <c r="M1194">
        <v>0</v>
      </c>
      <c r="N1194">
        <v>2750</v>
      </c>
    </row>
    <row r="1195" spans="1:14" x14ac:dyDescent="0.25">
      <c r="A1195">
        <v>743.18866800000001</v>
      </c>
      <c r="B1195" s="1">
        <f>DATE(2012,5,13) + TIME(4,31,40)</f>
        <v>41042.188657407409</v>
      </c>
      <c r="C1195">
        <v>80</v>
      </c>
      <c r="D1195">
        <v>79.955978393999999</v>
      </c>
      <c r="E1195">
        <v>50</v>
      </c>
      <c r="F1195">
        <v>48.861095427999999</v>
      </c>
      <c r="G1195">
        <v>1394.9940185999999</v>
      </c>
      <c r="H1195">
        <v>1378.4674072</v>
      </c>
      <c r="I1195">
        <v>1281.8607178</v>
      </c>
      <c r="J1195">
        <v>1259.9626464999999</v>
      </c>
      <c r="K1195">
        <v>2750</v>
      </c>
      <c r="L1195">
        <v>0</v>
      </c>
      <c r="M1195">
        <v>0</v>
      </c>
      <c r="N1195">
        <v>2750</v>
      </c>
    </row>
    <row r="1196" spans="1:14" x14ac:dyDescent="0.25">
      <c r="A1196">
        <v>743.52961000000005</v>
      </c>
      <c r="B1196" s="1">
        <f>DATE(2012,5,13) + TIME(12,42,38)</f>
        <v>41042.529606481483</v>
      </c>
      <c r="C1196">
        <v>80</v>
      </c>
      <c r="D1196">
        <v>79.955970764</v>
      </c>
      <c r="E1196">
        <v>50</v>
      </c>
      <c r="F1196">
        <v>48.834346771</v>
      </c>
      <c r="G1196">
        <v>1394.9223632999999</v>
      </c>
      <c r="H1196">
        <v>1378.4083252</v>
      </c>
      <c r="I1196">
        <v>1281.8521728999999</v>
      </c>
      <c r="J1196">
        <v>1259.9515381000001</v>
      </c>
      <c r="K1196">
        <v>2750</v>
      </c>
      <c r="L1196">
        <v>0</v>
      </c>
      <c r="M1196">
        <v>0</v>
      </c>
      <c r="N1196">
        <v>2750</v>
      </c>
    </row>
    <row r="1197" spans="1:14" x14ac:dyDescent="0.25">
      <c r="A1197">
        <v>743.87866299999996</v>
      </c>
      <c r="B1197" s="1">
        <f>DATE(2012,5,13) + TIME(21,5,16)</f>
        <v>41042.878657407404</v>
      </c>
      <c r="C1197">
        <v>80</v>
      </c>
      <c r="D1197">
        <v>79.955963135000005</v>
      </c>
      <c r="E1197">
        <v>50</v>
      </c>
      <c r="F1197">
        <v>48.807128906000003</v>
      </c>
      <c r="G1197">
        <v>1394.8508300999999</v>
      </c>
      <c r="H1197">
        <v>1378.3493652</v>
      </c>
      <c r="I1197">
        <v>1281.8432617000001</v>
      </c>
      <c r="J1197">
        <v>1259.9401855000001</v>
      </c>
      <c r="K1197">
        <v>2750</v>
      </c>
      <c r="L1197">
        <v>0</v>
      </c>
      <c r="M1197">
        <v>0</v>
      </c>
      <c r="N1197">
        <v>2750</v>
      </c>
    </row>
    <row r="1198" spans="1:14" x14ac:dyDescent="0.25">
      <c r="A1198">
        <v>744.23690399999998</v>
      </c>
      <c r="B1198" s="1">
        <f>DATE(2012,5,14) + TIME(5,41,8)</f>
        <v>41043.236898148149</v>
      </c>
      <c r="C1198">
        <v>80</v>
      </c>
      <c r="D1198">
        <v>79.955955505000006</v>
      </c>
      <c r="E1198">
        <v>50</v>
      </c>
      <c r="F1198">
        <v>48.779373169000003</v>
      </c>
      <c r="G1198">
        <v>1394.7791748</v>
      </c>
      <c r="H1198">
        <v>1378.2902832</v>
      </c>
      <c r="I1198">
        <v>1281.8342285000001</v>
      </c>
      <c r="J1198">
        <v>1259.9285889</v>
      </c>
      <c r="K1198">
        <v>2750</v>
      </c>
      <c r="L1198">
        <v>0</v>
      </c>
      <c r="M1198">
        <v>0</v>
      </c>
      <c r="N1198">
        <v>2750</v>
      </c>
    </row>
    <row r="1199" spans="1:14" x14ac:dyDescent="0.25">
      <c r="A1199">
        <v>744.60552499999994</v>
      </c>
      <c r="B1199" s="1">
        <f>DATE(2012,5,14) + TIME(14,31,57)</f>
        <v>41043.605520833335</v>
      </c>
      <c r="C1199">
        <v>80</v>
      </c>
      <c r="D1199">
        <v>79.955947875999996</v>
      </c>
      <c r="E1199">
        <v>50</v>
      </c>
      <c r="F1199">
        <v>48.750999450999998</v>
      </c>
      <c r="G1199">
        <v>1394.7072754000001</v>
      </c>
      <c r="H1199">
        <v>1378.2310791</v>
      </c>
      <c r="I1199">
        <v>1281.8249512</v>
      </c>
      <c r="J1199">
        <v>1259.916626</v>
      </c>
      <c r="K1199">
        <v>2750</v>
      </c>
      <c r="L1199">
        <v>0</v>
      </c>
      <c r="M1199">
        <v>0</v>
      </c>
      <c r="N1199">
        <v>2750</v>
      </c>
    </row>
    <row r="1200" spans="1:14" x14ac:dyDescent="0.25">
      <c r="A1200">
        <v>744.98601499999995</v>
      </c>
      <c r="B1200" s="1">
        <f>DATE(2012,5,14) + TIME(23,39,51)</f>
        <v>41043.986006944448</v>
      </c>
      <c r="C1200">
        <v>80</v>
      </c>
      <c r="D1200">
        <v>79.955932617000002</v>
      </c>
      <c r="E1200">
        <v>50</v>
      </c>
      <c r="F1200">
        <v>48.721912383999999</v>
      </c>
      <c r="G1200">
        <v>1394.6348877</v>
      </c>
      <c r="H1200">
        <v>1378.1715088000001</v>
      </c>
      <c r="I1200">
        <v>1281.8153076000001</v>
      </c>
      <c r="J1200">
        <v>1259.9042969</v>
      </c>
      <c r="K1200">
        <v>2750</v>
      </c>
      <c r="L1200">
        <v>0</v>
      </c>
      <c r="M1200">
        <v>0</v>
      </c>
      <c r="N1200">
        <v>2750</v>
      </c>
    </row>
    <row r="1201" spans="1:14" x14ac:dyDescent="0.25">
      <c r="A1201">
        <v>745.37596699999995</v>
      </c>
      <c r="B1201" s="1">
        <f>DATE(2012,5,15) + TIME(9,1,23)</f>
        <v>41044.375960648147</v>
      </c>
      <c r="C1201">
        <v>80</v>
      </c>
      <c r="D1201">
        <v>79.955924988000007</v>
      </c>
      <c r="E1201">
        <v>50</v>
      </c>
      <c r="F1201">
        <v>48.692218781000001</v>
      </c>
      <c r="G1201">
        <v>1394.5616454999999</v>
      </c>
      <c r="H1201">
        <v>1378.1113281</v>
      </c>
      <c r="I1201">
        <v>1281.8054199000001</v>
      </c>
      <c r="J1201">
        <v>1259.8916016000001</v>
      </c>
      <c r="K1201">
        <v>2750</v>
      </c>
      <c r="L1201">
        <v>0</v>
      </c>
      <c r="M1201">
        <v>0</v>
      </c>
      <c r="N1201">
        <v>2750</v>
      </c>
    </row>
    <row r="1202" spans="1:14" x14ac:dyDescent="0.25">
      <c r="A1202">
        <v>745.77242200000001</v>
      </c>
      <c r="B1202" s="1">
        <f>DATE(2012,5,15) + TIME(18,32,17)</f>
        <v>41044.772418981483</v>
      </c>
      <c r="C1202">
        <v>80</v>
      </c>
      <c r="D1202">
        <v>79.955909728999998</v>
      </c>
      <c r="E1202">
        <v>50</v>
      </c>
      <c r="F1202">
        <v>48.662067413000003</v>
      </c>
      <c r="G1202">
        <v>1394.4882812000001</v>
      </c>
      <c r="H1202">
        <v>1378.0509033000001</v>
      </c>
      <c r="I1202">
        <v>1281.7951660000001</v>
      </c>
      <c r="J1202">
        <v>1259.8785399999999</v>
      </c>
      <c r="K1202">
        <v>2750</v>
      </c>
      <c r="L1202">
        <v>0</v>
      </c>
      <c r="M1202">
        <v>0</v>
      </c>
      <c r="N1202">
        <v>2750</v>
      </c>
    </row>
    <row r="1203" spans="1:14" x14ac:dyDescent="0.25">
      <c r="A1203">
        <v>746.17639199999996</v>
      </c>
      <c r="B1203" s="1">
        <f>DATE(2012,5,16) + TIME(4,14,0)</f>
        <v>41045.176388888889</v>
      </c>
      <c r="C1203">
        <v>80</v>
      </c>
      <c r="D1203">
        <v>79.955894470000004</v>
      </c>
      <c r="E1203">
        <v>50</v>
      </c>
      <c r="F1203">
        <v>48.631443023999999</v>
      </c>
      <c r="G1203">
        <v>1394.4154053</v>
      </c>
      <c r="H1203">
        <v>1377.9908447</v>
      </c>
      <c r="I1203">
        <v>1281.7847899999999</v>
      </c>
      <c r="J1203">
        <v>1259.8652344</v>
      </c>
      <c r="K1203">
        <v>2750</v>
      </c>
      <c r="L1203">
        <v>0</v>
      </c>
      <c r="M1203">
        <v>0</v>
      </c>
      <c r="N1203">
        <v>2750</v>
      </c>
    </row>
    <row r="1204" spans="1:14" x14ac:dyDescent="0.25">
      <c r="A1204">
        <v>746.58817699999997</v>
      </c>
      <c r="B1204" s="1">
        <f>DATE(2012,5,16) + TIME(14,6,58)</f>
        <v>41045.588171296295</v>
      </c>
      <c r="C1204">
        <v>80</v>
      </c>
      <c r="D1204">
        <v>79.955879210999996</v>
      </c>
      <c r="E1204">
        <v>50</v>
      </c>
      <c r="F1204">
        <v>48.600341796999999</v>
      </c>
      <c r="G1204">
        <v>1394.3425293</v>
      </c>
      <c r="H1204">
        <v>1377.9310303</v>
      </c>
      <c r="I1204">
        <v>1281.7741699000001</v>
      </c>
      <c r="J1204">
        <v>1259.8515625</v>
      </c>
      <c r="K1204">
        <v>2750</v>
      </c>
      <c r="L1204">
        <v>0</v>
      </c>
      <c r="M1204">
        <v>0</v>
      </c>
      <c r="N1204">
        <v>2750</v>
      </c>
    </row>
    <row r="1205" spans="1:14" x14ac:dyDescent="0.25">
      <c r="A1205">
        <v>747.00456299999996</v>
      </c>
      <c r="B1205" s="1">
        <f>DATE(2012,5,17) + TIME(0,6,34)</f>
        <v>41046.004560185182</v>
      </c>
      <c r="C1205">
        <v>80</v>
      </c>
      <c r="D1205">
        <v>79.955863953000005</v>
      </c>
      <c r="E1205">
        <v>50</v>
      </c>
      <c r="F1205">
        <v>48.568931579999997</v>
      </c>
      <c r="G1205">
        <v>1394.2700195</v>
      </c>
      <c r="H1205">
        <v>1377.8713379000001</v>
      </c>
      <c r="I1205">
        <v>1281.7633057</v>
      </c>
      <c r="J1205">
        <v>1259.8377685999999</v>
      </c>
      <c r="K1205">
        <v>2750</v>
      </c>
      <c r="L1205">
        <v>0</v>
      </c>
      <c r="M1205">
        <v>0</v>
      </c>
      <c r="N1205">
        <v>2750</v>
      </c>
    </row>
    <row r="1206" spans="1:14" x14ac:dyDescent="0.25">
      <c r="A1206">
        <v>747.42600700000003</v>
      </c>
      <c r="B1206" s="1">
        <f>DATE(2012,5,17) + TIME(10,13,27)</f>
        <v>41046.426006944443</v>
      </c>
      <c r="C1206">
        <v>80</v>
      </c>
      <c r="D1206">
        <v>79.955848693999997</v>
      </c>
      <c r="E1206">
        <v>50</v>
      </c>
      <c r="F1206">
        <v>48.537227631</v>
      </c>
      <c r="G1206">
        <v>1394.1981201000001</v>
      </c>
      <c r="H1206">
        <v>1377.8122559000001</v>
      </c>
      <c r="I1206">
        <v>1281.7521973</v>
      </c>
      <c r="J1206">
        <v>1259.8236084</v>
      </c>
      <c r="K1206">
        <v>2750</v>
      </c>
      <c r="L1206">
        <v>0</v>
      </c>
      <c r="M1206">
        <v>0</v>
      </c>
      <c r="N1206">
        <v>2750</v>
      </c>
    </row>
    <row r="1207" spans="1:14" x14ac:dyDescent="0.25">
      <c r="A1207">
        <v>747.85099500000001</v>
      </c>
      <c r="B1207" s="1">
        <f>DATE(2012,5,17) + TIME(20,25,25)</f>
        <v>41046.850983796299</v>
      </c>
      <c r="C1207">
        <v>80</v>
      </c>
      <c r="D1207">
        <v>79.955833435000002</v>
      </c>
      <c r="E1207">
        <v>50</v>
      </c>
      <c r="F1207">
        <v>48.505325317</v>
      </c>
      <c r="G1207">
        <v>1394.1268310999999</v>
      </c>
      <c r="H1207">
        <v>1377.7536620999999</v>
      </c>
      <c r="I1207">
        <v>1281.7410889</v>
      </c>
      <c r="J1207">
        <v>1259.8094481999999</v>
      </c>
      <c r="K1207">
        <v>2750</v>
      </c>
      <c r="L1207">
        <v>0</v>
      </c>
      <c r="M1207">
        <v>0</v>
      </c>
      <c r="N1207">
        <v>2750</v>
      </c>
    </row>
    <row r="1208" spans="1:14" x14ac:dyDescent="0.25">
      <c r="A1208">
        <v>748.28063099999997</v>
      </c>
      <c r="B1208" s="1">
        <f>DATE(2012,5,18) + TIME(6,44,6)</f>
        <v>41047.280624999999</v>
      </c>
      <c r="C1208">
        <v>80</v>
      </c>
      <c r="D1208">
        <v>79.955818175999994</v>
      </c>
      <c r="E1208">
        <v>50</v>
      </c>
      <c r="F1208">
        <v>48.473194122000002</v>
      </c>
      <c r="G1208">
        <v>1394.0563964999999</v>
      </c>
      <c r="H1208">
        <v>1377.6958007999999</v>
      </c>
      <c r="I1208">
        <v>1281.7297363</v>
      </c>
      <c r="J1208">
        <v>1259.7949219</v>
      </c>
      <c r="K1208">
        <v>2750</v>
      </c>
      <c r="L1208">
        <v>0</v>
      </c>
      <c r="M1208">
        <v>0</v>
      </c>
      <c r="N1208">
        <v>2750</v>
      </c>
    </row>
    <row r="1209" spans="1:14" x14ac:dyDescent="0.25">
      <c r="A1209">
        <v>748.71602600000006</v>
      </c>
      <c r="B1209" s="1">
        <f>DATE(2012,5,18) + TIME(17,11,4)</f>
        <v>41047.71601851852</v>
      </c>
      <c r="C1209">
        <v>80</v>
      </c>
      <c r="D1209">
        <v>79.955802917</v>
      </c>
      <c r="E1209">
        <v>50</v>
      </c>
      <c r="F1209">
        <v>48.440795897999998</v>
      </c>
      <c r="G1209">
        <v>1393.9865723</v>
      </c>
      <c r="H1209">
        <v>1377.6384277</v>
      </c>
      <c r="I1209">
        <v>1281.7183838000001</v>
      </c>
      <c r="J1209">
        <v>1259.7803954999999</v>
      </c>
      <c r="K1209">
        <v>2750</v>
      </c>
      <c r="L1209">
        <v>0</v>
      </c>
      <c r="M1209">
        <v>0</v>
      </c>
      <c r="N1209">
        <v>2750</v>
      </c>
    </row>
    <row r="1210" spans="1:14" x14ac:dyDescent="0.25">
      <c r="A1210">
        <v>749.15832899999998</v>
      </c>
      <c r="B1210" s="1">
        <f>DATE(2012,5,19) + TIME(3,47,59)</f>
        <v>41048.158321759256</v>
      </c>
      <c r="C1210">
        <v>80</v>
      </c>
      <c r="D1210">
        <v>79.955787658999995</v>
      </c>
      <c r="E1210">
        <v>50</v>
      </c>
      <c r="F1210">
        <v>48.408073424999998</v>
      </c>
      <c r="G1210">
        <v>1393.9172363</v>
      </c>
      <c r="H1210">
        <v>1377.5814209</v>
      </c>
      <c r="I1210">
        <v>1281.7066649999999</v>
      </c>
      <c r="J1210">
        <v>1259.7655029</v>
      </c>
      <c r="K1210">
        <v>2750</v>
      </c>
      <c r="L1210">
        <v>0</v>
      </c>
      <c r="M1210">
        <v>0</v>
      </c>
      <c r="N1210">
        <v>2750</v>
      </c>
    </row>
    <row r="1211" spans="1:14" x14ac:dyDescent="0.25">
      <c r="A1211">
        <v>749.60874999999999</v>
      </c>
      <c r="B1211" s="1">
        <f>DATE(2012,5,19) + TIME(14,36,36)</f>
        <v>41048.608749999999</v>
      </c>
      <c r="C1211">
        <v>80</v>
      </c>
      <c r="D1211">
        <v>79.955772400000001</v>
      </c>
      <c r="E1211">
        <v>50</v>
      </c>
      <c r="F1211">
        <v>48.374954224</v>
      </c>
      <c r="G1211">
        <v>1393.8481445</v>
      </c>
      <c r="H1211">
        <v>1377.5246582</v>
      </c>
      <c r="I1211">
        <v>1281.6949463000001</v>
      </c>
      <c r="J1211">
        <v>1259.7503661999999</v>
      </c>
      <c r="K1211">
        <v>2750</v>
      </c>
      <c r="L1211">
        <v>0</v>
      </c>
      <c r="M1211">
        <v>0</v>
      </c>
      <c r="N1211">
        <v>2750</v>
      </c>
    </row>
    <row r="1212" spans="1:14" x14ac:dyDescent="0.25">
      <c r="A1212">
        <v>750.06859299999996</v>
      </c>
      <c r="B1212" s="1">
        <f>DATE(2012,5,20) + TIME(1,38,46)</f>
        <v>41049.06858796296</v>
      </c>
      <c r="C1212">
        <v>80</v>
      </c>
      <c r="D1212">
        <v>79.955757141000007</v>
      </c>
      <c r="E1212">
        <v>50</v>
      </c>
      <c r="F1212">
        <v>48.341369628999999</v>
      </c>
      <c r="G1212">
        <v>1393.7791748</v>
      </c>
      <c r="H1212">
        <v>1377.4680175999999</v>
      </c>
      <c r="I1212">
        <v>1281.6828613</v>
      </c>
      <c r="J1212">
        <v>1259.7349853999999</v>
      </c>
      <c r="K1212">
        <v>2750</v>
      </c>
      <c r="L1212">
        <v>0</v>
      </c>
      <c r="M1212">
        <v>0</v>
      </c>
      <c r="N1212">
        <v>2750</v>
      </c>
    </row>
    <row r="1213" spans="1:14" x14ac:dyDescent="0.25">
      <c r="A1213">
        <v>750.53926100000001</v>
      </c>
      <c r="B1213" s="1">
        <f>DATE(2012,5,20) + TIME(12,56,32)</f>
        <v>41049.539259259262</v>
      </c>
      <c r="C1213">
        <v>80</v>
      </c>
      <c r="D1213">
        <v>79.955741881999998</v>
      </c>
      <c r="E1213">
        <v>50</v>
      </c>
      <c r="F1213">
        <v>48.307228088000002</v>
      </c>
      <c r="G1213">
        <v>1393.7100829999999</v>
      </c>
      <c r="H1213">
        <v>1377.4111327999999</v>
      </c>
      <c r="I1213">
        <v>1281.6705322</v>
      </c>
      <c r="J1213">
        <v>1259.7191161999999</v>
      </c>
      <c r="K1213">
        <v>2750</v>
      </c>
      <c r="L1213">
        <v>0</v>
      </c>
      <c r="M1213">
        <v>0</v>
      </c>
      <c r="N1213">
        <v>2750</v>
      </c>
    </row>
    <row r="1214" spans="1:14" x14ac:dyDescent="0.25">
      <c r="A1214">
        <v>751.02229999999997</v>
      </c>
      <c r="B1214" s="1">
        <f>DATE(2012,5,21) + TIME(0,32,6)</f>
        <v>41050.022291666668</v>
      </c>
      <c r="C1214">
        <v>80</v>
      </c>
      <c r="D1214">
        <v>79.955726623999993</v>
      </c>
      <c r="E1214">
        <v>50</v>
      </c>
      <c r="F1214">
        <v>48.272438049000002</v>
      </c>
      <c r="G1214">
        <v>1393.6407471</v>
      </c>
      <c r="H1214">
        <v>1377.354126</v>
      </c>
      <c r="I1214">
        <v>1281.6578368999999</v>
      </c>
      <c r="J1214">
        <v>1259.7030029</v>
      </c>
      <c r="K1214">
        <v>2750</v>
      </c>
      <c r="L1214">
        <v>0</v>
      </c>
      <c r="M1214">
        <v>0</v>
      </c>
      <c r="N1214">
        <v>2750</v>
      </c>
    </row>
    <row r="1215" spans="1:14" x14ac:dyDescent="0.25">
      <c r="A1215">
        <v>751.51964199999998</v>
      </c>
      <c r="B1215" s="1">
        <f>DATE(2012,5,21) + TIME(12,28,17)</f>
        <v>41050.519641203704</v>
      </c>
      <c r="C1215">
        <v>80</v>
      </c>
      <c r="D1215">
        <v>79.955718993999994</v>
      </c>
      <c r="E1215">
        <v>50</v>
      </c>
      <c r="F1215">
        <v>48.236885071000003</v>
      </c>
      <c r="G1215">
        <v>1393.5709228999999</v>
      </c>
      <c r="H1215">
        <v>1377.2967529</v>
      </c>
      <c r="I1215">
        <v>1281.6447754000001</v>
      </c>
      <c r="J1215">
        <v>1259.6862793</v>
      </c>
      <c r="K1215">
        <v>2750</v>
      </c>
      <c r="L1215">
        <v>0</v>
      </c>
      <c r="M1215">
        <v>0</v>
      </c>
      <c r="N1215">
        <v>2750</v>
      </c>
    </row>
    <row r="1216" spans="1:14" x14ac:dyDescent="0.25">
      <c r="A1216">
        <v>752.033186</v>
      </c>
      <c r="B1216" s="1">
        <f>DATE(2012,5,22) + TIME(0,47,47)</f>
        <v>41051.033182870371</v>
      </c>
      <c r="C1216">
        <v>80</v>
      </c>
      <c r="D1216">
        <v>79.955703735</v>
      </c>
      <c r="E1216">
        <v>50</v>
      </c>
      <c r="F1216">
        <v>48.200458527000002</v>
      </c>
      <c r="G1216">
        <v>1393.5003661999999</v>
      </c>
      <c r="H1216">
        <v>1377.2387695</v>
      </c>
      <c r="I1216">
        <v>1281.6313477000001</v>
      </c>
      <c r="J1216">
        <v>1259.6690673999999</v>
      </c>
      <c r="K1216">
        <v>2750</v>
      </c>
      <c r="L1216">
        <v>0</v>
      </c>
      <c r="M1216">
        <v>0</v>
      </c>
      <c r="N1216">
        <v>2750</v>
      </c>
    </row>
    <row r="1217" spans="1:14" x14ac:dyDescent="0.25">
      <c r="A1217">
        <v>752.55855299999996</v>
      </c>
      <c r="B1217" s="1">
        <f>DATE(2012,5,22) + TIME(13,24,18)</f>
        <v>41051.558541666665</v>
      </c>
      <c r="C1217">
        <v>80</v>
      </c>
      <c r="D1217">
        <v>79.955688476999995</v>
      </c>
      <c r="E1217">
        <v>50</v>
      </c>
      <c r="F1217">
        <v>48.163299561000002</v>
      </c>
      <c r="G1217">
        <v>1393.4289550999999</v>
      </c>
      <c r="H1217">
        <v>1377.1800536999999</v>
      </c>
      <c r="I1217">
        <v>1281.6173096</v>
      </c>
      <c r="J1217">
        <v>1259.6512451000001</v>
      </c>
      <c r="K1217">
        <v>2750</v>
      </c>
      <c r="L1217">
        <v>0</v>
      </c>
      <c r="M1217">
        <v>0</v>
      </c>
      <c r="N1217">
        <v>2750</v>
      </c>
    </row>
    <row r="1218" spans="1:14" x14ac:dyDescent="0.25">
      <c r="A1218">
        <v>753.08776499999999</v>
      </c>
      <c r="B1218" s="1">
        <f>DATE(2012,5,23) + TIME(2,6,22)</f>
        <v>41052.087754629632</v>
      </c>
      <c r="C1218">
        <v>80</v>
      </c>
      <c r="D1218">
        <v>79.955673218000001</v>
      </c>
      <c r="E1218">
        <v>50</v>
      </c>
      <c r="F1218">
        <v>48.125762938999998</v>
      </c>
      <c r="G1218">
        <v>1393.3571777</v>
      </c>
      <c r="H1218">
        <v>1377.1209716999999</v>
      </c>
      <c r="I1218">
        <v>1281.6029053</v>
      </c>
      <c r="J1218">
        <v>1259.6329346</v>
      </c>
      <c r="K1218">
        <v>2750</v>
      </c>
      <c r="L1218">
        <v>0</v>
      </c>
      <c r="M1218">
        <v>0</v>
      </c>
      <c r="N1218">
        <v>2750</v>
      </c>
    </row>
    <row r="1219" spans="1:14" x14ac:dyDescent="0.25">
      <c r="A1219">
        <v>753.62241500000005</v>
      </c>
      <c r="B1219" s="1">
        <f>DATE(2012,5,23) + TIME(14,56,16)</f>
        <v>41052.622407407405</v>
      </c>
      <c r="C1219">
        <v>80</v>
      </c>
      <c r="D1219">
        <v>79.955665588000002</v>
      </c>
      <c r="E1219">
        <v>50</v>
      </c>
      <c r="F1219">
        <v>48.087905884000001</v>
      </c>
      <c r="G1219">
        <v>1393.2862548999999</v>
      </c>
      <c r="H1219">
        <v>1377.0627440999999</v>
      </c>
      <c r="I1219">
        <v>1281.5883789</v>
      </c>
      <c r="J1219">
        <v>1259.6143798999999</v>
      </c>
      <c r="K1219">
        <v>2750</v>
      </c>
      <c r="L1219">
        <v>0</v>
      </c>
      <c r="M1219">
        <v>0</v>
      </c>
      <c r="N1219">
        <v>2750</v>
      </c>
    </row>
    <row r="1220" spans="1:14" x14ac:dyDescent="0.25">
      <c r="A1220">
        <v>754.16406900000004</v>
      </c>
      <c r="B1220" s="1">
        <f>DATE(2012,5,24) + TIME(3,56,15)</f>
        <v>41053.1640625</v>
      </c>
      <c r="C1220">
        <v>80</v>
      </c>
      <c r="D1220">
        <v>79.955650329999997</v>
      </c>
      <c r="E1220">
        <v>50</v>
      </c>
      <c r="F1220">
        <v>48.049713134999998</v>
      </c>
      <c r="G1220">
        <v>1393.2160644999999</v>
      </c>
      <c r="H1220">
        <v>1377.0048827999999</v>
      </c>
      <c r="I1220">
        <v>1281.5736084</v>
      </c>
      <c r="J1220">
        <v>1259.5955810999999</v>
      </c>
      <c r="K1220">
        <v>2750</v>
      </c>
      <c r="L1220">
        <v>0</v>
      </c>
      <c r="M1220">
        <v>0</v>
      </c>
      <c r="N1220">
        <v>2750</v>
      </c>
    </row>
    <row r="1221" spans="1:14" x14ac:dyDescent="0.25">
      <c r="A1221">
        <v>754.71434699999998</v>
      </c>
      <c r="B1221" s="1">
        <f>DATE(2012,5,24) + TIME(17,8,39)</f>
        <v>41053.71434027778</v>
      </c>
      <c r="C1221">
        <v>80</v>
      </c>
      <c r="D1221">
        <v>79.955635071000003</v>
      </c>
      <c r="E1221">
        <v>50</v>
      </c>
      <c r="F1221">
        <v>48.011131286999998</v>
      </c>
      <c r="G1221">
        <v>1393.1461182</v>
      </c>
      <c r="H1221">
        <v>1376.9473877</v>
      </c>
      <c r="I1221">
        <v>1281.5587158000001</v>
      </c>
      <c r="J1221">
        <v>1259.5764160000001</v>
      </c>
      <c r="K1221">
        <v>2750</v>
      </c>
      <c r="L1221">
        <v>0</v>
      </c>
      <c r="M1221">
        <v>0</v>
      </c>
      <c r="N1221">
        <v>2750</v>
      </c>
    </row>
    <row r="1222" spans="1:14" x14ac:dyDescent="0.25">
      <c r="A1222">
        <v>755.27140299999996</v>
      </c>
      <c r="B1222" s="1">
        <f>DATE(2012,5,25) + TIME(6,30,49)</f>
        <v>41054.27140046296</v>
      </c>
      <c r="C1222">
        <v>80</v>
      </c>
      <c r="D1222">
        <v>79.955627441000004</v>
      </c>
      <c r="E1222">
        <v>50</v>
      </c>
      <c r="F1222">
        <v>47.972221374999997</v>
      </c>
      <c r="G1222">
        <v>1393.0764160000001</v>
      </c>
      <c r="H1222">
        <v>1376.8900146000001</v>
      </c>
      <c r="I1222">
        <v>1281.543457</v>
      </c>
      <c r="J1222">
        <v>1259.5570068</v>
      </c>
      <c r="K1222">
        <v>2750</v>
      </c>
      <c r="L1222">
        <v>0</v>
      </c>
      <c r="M1222">
        <v>0</v>
      </c>
      <c r="N1222">
        <v>2750</v>
      </c>
    </row>
    <row r="1223" spans="1:14" x14ac:dyDescent="0.25">
      <c r="A1223">
        <v>755.83469600000001</v>
      </c>
      <c r="B1223" s="1">
        <f>DATE(2012,5,25) + TIME(20,1,57)</f>
        <v>41054.834687499999</v>
      </c>
      <c r="C1223">
        <v>80</v>
      </c>
      <c r="D1223">
        <v>79.955612183</v>
      </c>
      <c r="E1223">
        <v>50</v>
      </c>
      <c r="F1223">
        <v>47.933025360000002</v>
      </c>
      <c r="G1223">
        <v>1393.0072021000001</v>
      </c>
      <c r="H1223">
        <v>1376.8328856999999</v>
      </c>
      <c r="I1223">
        <v>1281.5279541</v>
      </c>
      <c r="J1223">
        <v>1259.5371094</v>
      </c>
      <c r="K1223">
        <v>2750</v>
      </c>
      <c r="L1223">
        <v>0</v>
      </c>
      <c r="M1223">
        <v>0</v>
      </c>
      <c r="N1223">
        <v>2750</v>
      </c>
    </row>
    <row r="1224" spans="1:14" x14ac:dyDescent="0.25">
      <c r="A1224">
        <v>756.40576999999996</v>
      </c>
      <c r="B1224" s="1">
        <f>DATE(2012,5,26) + TIME(9,44,18)</f>
        <v>41055.405763888892</v>
      </c>
      <c r="C1224">
        <v>80</v>
      </c>
      <c r="D1224">
        <v>79.955604553000001</v>
      </c>
      <c r="E1224">
        <v>50</v>
      </c>
      <c r="F1224">
        <v>47.893501282000003</v>
      </c>
      <c r="G1224">
        <v>1392.9383545000001</v>
      </c>
      <c r="H1224">
        <v>1376.7762451000001</v>
      </c>
      <c r="I1224">
        <v>1281.5120850000001</v>
      </c>
      <c r="J1224">
        <v>1259.5169678</v>
      </c>
      <c r="K1224">
        <v>2750</v>
      </c>
      <c r="L1224">
        <v>0</v>
      </c>
      <c r="M1224">
        <v>0</v>
      </c>
      <c r="N1224">
        <v>2750</v>
      </c>
    </row>
    <row r="1225" spans="1:14" x14ac:dyDescent="0.25">
      <c r="A1225">
        <v>756.98622</v>
      </c>
      <c r="B1225" s="1">
        <f>DATE(2012,5,26) + TIME(23,40,9)</f>
        <v>41055.986215277779</v>
      </c>
      <c r="C1225">
        <v>80</v>
      </c>
      <c r="D1225">
        <v>79.955596924000005</v>
      </c>
      <c r="E1225">
        <v>50</v>
      </c>
      <c r="F1225">
        <v>47.853580475000001</v>
      </c>
      <c r="G1225">
        <v>1392.869751</v>
      </c>
      <c r="H1225">
        <v>1376.7197266000001</v>
      </c>
      <c r="I1225">
        <v>1281.4960937999999</v>
      </c>
      <c r="J1225">
        <v>1259.4963379000001</v>
      </c>
      <c r="K1225">
        <v>2750</v>
      </c>
      <c r="L1225">
        <v>0</v>
      </c>
      <c r="M1225">
        <v>0</v>
      </c>
      <c r="N1225">
        <v>2750</v>
      </c>
    </row>
    <row r="1226" spans="1:14" x14ac:dyDescent="0.25">
      <c r="A1226">
        <v>757.57774600000005</v>
      </c>
      <c r="B1226" s="1">
        <f>DATE(2012,5,27) + TIME(13,51,57)</f>
        <v>41056.577743055554</v>
      </c>
      <c r="C1226">
        <v>80</v>
      </c>
      <c r="D1226">
        <v>79.955589294000006</v>
      </c>
      <c r="E1226">
        <v>50</v>
      </c>
      <c r="F1226">
        <v>47.813175201</v>
      </c>
      <c r="G1226">
        <v>1392.8012695</v>
      </c>
      <c r="H1226">
        <v>1376.6633300999999</v>
      </c>
      <c r="I1226">
        <v>1281.4797363</v>
      </c>
      <c r="J1226">
        <v>1259.4753418</v>
      </c>
      <c r="K1226">
        <v>2750</v>
      </c>
      <c r="L1226">
        <v>0</v>
      </c>
      <c r="M1226">
        <v>0</v>
      </c>
      <c r="N1226">
        <v>2750</v>
      </c>
    </row>
    <row r="1227" spans="1:14" x14ac:dyDescent="0.25">
      <c r="A1227">
        <v>758.18217300000003</v>
      </c>
      <c r="B1227" s="1">
        <f>DATE(2012,5,28) + TIME(4,22,19)</f>
        <v>41057.182164351849</v>
      </c>
      <c r="C1227">
        <v>80</v>
      </c>
      <c r="D1227">
        <v>79.955574036000002</v>
      </c>
      <c r="E1227">
        <v>50</v>
      </c>
      <c r="F1227">
        <v>47.772186279000003</v>
      </c>
      <c r="G1227">
        <v>1392.7327881000001</v>
      </c>
      <c r="H1227">
        <v>1376.6068115</v>
      </c>
      <c r="I1227">
        <v>1281.4628906</v>
      </c>
      <c r="J1227">
        <v>1259.4538574000001</v>
      </c>
      <c r="K1227">
        <v>2750</v>
      </c>
      <c r="L1227">
        <v>0</v>
      </c>
      <c r="M1227">
        <v>0</v>
      </c>
      <c r="N1227">
        <v>2750</v>
      </c>
    </row>
    <row r="1228" spans="1:14" x14ac:dyDescent="0.25">
      <c r="A1228">
        <v>758.80070000000001</v>
      </c>
      <c r="B1228" s="1">
        <f>DATE(2012,5,28) + TIME(19,13,0)</f>
        <v>41057.800694444442</v>
      </c>
      <c r="C1228">
        <v>80</v>
      </c>
      <c r="D1228">
        <v>79.955566406000003</v>
      </c>
      <c r="E1228">
        <v>50</v>
      </c>
      <c r="F1228">
        <v>47.730529785000002</v>
      </c>
      <c r="G1228">
        <v>1392.6639404</v>
      </c>
      <c r="H1228">
        <v>1376.5499268000001</v>
      </c>
      <c r="I1228">
        <v>1281.4456786999999</v>
      </c>
      <c r="J1228">
        <v>1259.4317627</v>
      </c>
      <c r="K1228">
        <v>2750</v>
      </c>
      <c r="L1228">
        <v>0</v>
      </c>
      <c r="M1228">
        <v>0</v>
      </c>
      <c r="N1228">
        <v>2750</v>
      </c>
    </row>
    <row r="1229" spans="1:14" x14ac:dyDescent="0.25">
      <c r="A1229">
        <v>759.43213400000002</v>
      </c>
      <c r="B1229" s="1">
        <f>DATE(2012,5,29) + TIME(10,22,16)</f>
        <v>41058.432129629633</v>
      </c>
      <c r="C1229">
        <v>80</v>
      </c>
      <c r="D1229">
        <v>79.955558776999993</v>
      </c>
      <c r="E1229">
        <v>50</v>
      </c>
      <c r="F1229">
        <v>47.688213347999998</v>
      </c>
      <c r="G1229">
        <v>1392.5947266000001</v>
      </c>
      <c r="H1229">
        <v>1376.4927978999999</v>
      </c>
      <c r="I1229">
        <v>1281.4279785000001</v>
      </c>
      <c r="J1229">
        <v>1259.4089355000001</v>
      </c>
      <c r="K1229">
        <v>2750</v>
      </c>
      <c r="L1229">
        <v>0</v>
      </c>
      <c r="M1229">
        <v>0</v>
      </c>
      <c r="N1229">
        <v>2750</v>
      </c>
    </row>
    <row r="1230" spans="1:14" x14ac:dyDescent="0.25">
      <c r="A1230">
        <v>760.07847600000002</v>
      </c>
      <c r="B1230" s="1">
        <f>DATE(2012,5,30) + TIME(1,53,0)</f>
        <v>41059.078472222223</v>
      </c>
      <c r="C1230">
        <v>80</v>
      </c>
      <c r="D1230">
        <v>79.955551146999994</v>
      </c>
      <c r="E1230">
        <v>50</v>
      </c>
      <c r="F1230">
        <v>47.645164489999999</v>
      </c>
      <c r="G1230">
        <v>1392.5252685999999</v>
      </c>
      <c r="H1230">
        <v>1376.4354248</v>
      </c>
      <c r="I1230">
        <v>1281.409668</v>
      </c>
      <c r="J1230">
        <v>1259.3856201000001</v>
      </c>
      <c r="K1230">
        <v>2750</v>
      </c>
      <c r="L1230">
        <v>0</v>
      </c>
      <c r="M1230">
        <v>0</v>
      </c>
      <c r="N1230">
        <v>2750</v>
      </c>
    </row>
    <row r="1231" spans="1:14" x14ac:dyDescent="0.25">
      <c r="A1231">
        <v>760.72800800000005</v>
      </c>
      <c r="B1231" s="1">
        <f>DATE(2012,5,30) + TIME(17,28,19)</f>
        <v>41059.727997685186</v>
      </c>
      <c r="C1231">
        <v>80</v>
      </c>
      <c r="D1231">
        <v>79.955543517999999</v>
      </c>
      <c r="E1231">
        <v>50</v>
      </c>
      <c r="F1231">
        <v>47.601783752000003</v>
      </c>
      <c r="G1231">
        <v>1392.4553223</v>
      </c>
      <c r="H1231">
        <v>1376.3776855000001</v>
      </c>
      <c r="I1231">
        <v>1281.3908690999999</v>
      </c>
      <c r="J1231">
        <v>1259.3615723</v>
      </c>
      <c r="K1231">
        <v>2750</v>
      </c>
      <c r="L1231">
        <v>0</v>
      </c>
      <c r="M1231">
        <v>0</v>
      </c>
      <c r="N1231">
        <v>2750</v>
      </c>
    </row>
    <row r="1232" spans="1:14" x14ac:dyDescent="0.25">
      <c r="A1232">
        <v>761.381574</v>
      </c>
      <c r="B1232" s="1">
        <f>DATE(2012,5,31) + TIME(9,9,27)</f>
        <v>41060.381562499999</v>
      </c>
      <c r="C1232">
        <v>80</v>
      </c>
      <c r="D1232">
        <v>79.955535889000004</v>
      </c>
      <c r="E1232">
        <v>50</v>
      </c>
      <c r="F1232">
        <v>47.558189392000003</v>
      </c>
      <c r="G1232">
        <v>1392.3862305</v>
      </c>
      <c r="H1232">
        <v>1376.3205565999999</v>
      </c>
      <c r="I1232">
        <v>1281.3718262</v>
      </c>
      <c r="J1232">
        <v>1259.3371582</v>
      </c>
      <c r="K1232">
        <v>2750</v>
      </c>
      <c r="L1232">
        <v>0</v>
      </c>
      <c r="M1232">
        <v>0</v>
      </c>
      <c r="N1232">
        <v>2750</v>
      </c>
    </row>
    <row r="1233" spans="1:14" x14ac:dyDescent="0.25">
      <c r="A1233">
        <v>762</v>
      </c>
      <c r="B1233" s="1">
        <f>DATE(2012,6,1) + TIME(0,0,0)</f>
        <v>41061</v>
      </c>
      <c r="C1233">
        <v>80</v>
      </c>
      <c r="D1233">
        <v>79.955528259000005</v>
      </c>
      <c r="E1233">
        <v>50</v>
      </c>
      <c r="F1233">
        <v>47.515888214</v>
      </c>
      <c r="G1233">
        <v>1392.3178711</v>
      </c>
      <c r="H1233">
        <v>1376.2640381000001</v>
      </c>
      <c r="I1233">
        <v>1281.3524170000001</v>
      </c>
      <c r="J1233">
        <v>1259.3125</v>
      </c>
      <c r="K1233">
        <v>2750</v>
      </c>
      <c r="L1233">
        <v>0</v>
      </c>
      <c r="M1233">
        <v>0</v>
      </c>
      <c r="N1233">
        <v>2750</v>
      </c>
    </row>
    <row r="1234" spans="1:14" x14ac:dyDescent="0.25">
      <c r="A1234">
        <v>762.65937699999995</v>
      </c>
      <c r="B1234" s="1">
        <f>DATE(2012,6,1) + TIME(15,49,30)</f>
        <v>41061.659375000003</v>
      </c>
      <c r="C1234">
        <v>80</v>
      </c>
      <c r="D1234">
        <v>79.955528259000005</v>
      </c>
      <c r="E1234">
        <v>50</v>
      </c>
      <c r="F1234">
        <v>47.472667694000002</v>
      </c>
      <c r="G1234">
        <v>1392.2542725000001</v>
      </c>
      <c r="H1234">
        <v>1376.2113036999999</v>
      </c>
      <c r="I1234">
        <v>1281.3343506000001</v>
      </c>
      <c r="J1234">
        <v>1259.2886963000001</v>
      </c>
      <c r="K1234">
        <v>2750</v>
      </c>
      <c r="L1234">
        <v>0</v>
      </c>
      <c r="M1234">
        <v>0</v>
      </c>
      <c r="N1234">
        <v>2750</v>
      </c>
    </row>
    <row r="1235" spans="1:14" x14ac:dyDescent="0.25">
      <c r="A1235">
        <v>763.33522700000003</v>
      </c>
      <c r="B1235" s="1">
        <f>DATE(2012,6,2) + TIME(8,2,43)</f>
        <v>41062.335219907407</v>
      </c>
      <c r="C1235">
        <v>80</v>
      </c>
      <c r="D1235">
        <v>79.955520629999995</v>
      </c>
      <c r="E1235">
        <v>50</v>
      </c>
      <c r="F1235">
        <v>47.428707123000002</v>
      </c>
      <c r="G1235">
        <v>1392.1876221</v>
      </c>
      <c r="H1235">
        <v>1376.1561279</v>
      </c>
      <c r="I1235">
        <v>1281.3146973</v>
      </c>
      <c r="J1235">
        <v>1259.2634277</v>
      </c>
      <c r="K1235">
        <v>2750</v>
      </c>
      <c r="L1235">
        <v>0</v>
      </c>
      <c r="M1235">
        <v>0</v>
      </c>
      <c r="N1235">
        <v>2750</v>
      </c>
    </row>
    <row r="1236" spans="1:14" x14ac:dyDescent="0.25">
      <c r="A1236">
        <v>764.02222300000005</v>
      </c>
      <c r="B1236" s="1">
        <f>DATE(2012,6,3) + TIME(0,32,0)</f>
        <v>41063.022222222222</v>
      </c>
      <c r="C1236">
        <v>80</v>
      </c>
      <c r="D1236">
        <v>79.955512999999996</v>
      </c>
      <c r="E1236">
        <v>50</v>
      </c>
      <c r="F1236">
        <v>47.384124755999999</v>
      </c>
      <c r="G1236">
        <v>1392.1202393000001</v>
      </c>
      <c r="H1236">
        <v>1376.1003418</v>
      </c>
      <c r="I1236">
        <v>1281.2944336</v>
      </c>
      <c r="J1236">
        <v>1259.2371826000001</v>
      </c>
      <c r="K1236">
        <v>2750</v>
      </c>
      <c r="L1236">
        <v>0</v>
      </c>
      <c r="M1236">
        <v>0</v>
      </c>
      <c r="N1236">
        <v>2750</v>
      </c>
    </row>
    <row r="1237" spans="1:14" x14ac:dyDescent="0.25">
      <c r="A1237">
        <v>764.72250699999995</v>
      </c>
      <c r="B1237" s="1">
        <f>DATE(2012,6,3) + TIME(17,20,24)</f>
        <v>41063.722500000003</v>
      </c>
      <c r="C1237">
        <v>80</v>
      </c>
      <c r="D1237">
        <v>79.955512999999996</v>
      </c>
      <c r="E1237">
        <v>50</v>
      </c>
      <c r="F1237">
        <v>47.33890152</v>
      </c>
      <c r="G1237">
        <v>1392.0529785000001</v>
      </c>
      <c r="H1237">
        <v>1376.0444336</v>
      </c>
      <c r="I1237">
        <v>1281.2736815999999</v>
      </c>
      <c r="J1237">
        <v>1259.2103271000001</v>
      </c>
      <c r="K1237">
        <v>2750</v>
      </c>
      <c r="L1237">
        <v>0</v>
      </c>
      <c r="M1237">
        <v>0</v>
      </c>
      <c r="N1237">
        <v>2750</v>
      </c>
    </row>
    <row r="1238" spans="1:14" x14ac:dyDescent="0.25">
      <c r="A1238">
        <v>765.43828299999996</v>
      </c>
      <c r="B1238" s="1">
        <f>DATE(2012,6,4) + TIME(10,31,7)</f>
        <v>41064.438275462962</v>
      </c>
      <c r="C1238">
        <v>80</v>
      </c>
      <c r="D1238">
        <v>79.955505371000001</v>
      </c>
      <c r="E1238">
        <v>50</v>
      </c>
      <c r="F1238">
        <v>47.292953490999999</v>
      </c>
      <c r="G1238">
        <v>1391.9853516000001</v>
      </c>
      <c r="H1238">
        <v>1375.9884033000001</v>
      </c>
      <c r="I1238">
        <v>1281.2523193</v>
      </c>
      <c r="J1238">
        <v>1259.1827393000001</v>
      </c>
      <c r="K1238">
        <v>2750</v>
      </c>
      <c r="L1238">
        <v>0</v>
      </c>
      <c r="M1238">
        <v>0</v>
      </c>
      <c r="N1238">
        <v>2750</v>
      </c>
    </row>
    <row r="1239" spans="1:14" x14ac:dyDescent="0.25">
      <c r="A1239">
        <v>766.167284</v>
      </c>
      <c r="B1239" s="1">
        <f>DATE(2012,6,5) + TIME(4,0,53)</f>
        <v>41065.167280092595</v>
      </c>
      <c r="C1239">
        <v>80</v>
      </c>
      <c r="D1239">
        <v>79.955505371000001</v>
      </c>
      <c r="E1239">
        <v>50</v>
      </c>
      <c r="F1239">
        <v>47.246330260999997</v>
      </c>
      <c r="G1239">
        <v>1391.9174805</v>
      </c>
      <c r="H1239">
        <v>1375.9320068</v>
      </c>
      <c r="I1239">
        <v>1281.2303466999999</v>
      </c>
      <c r="J1239">
        <v>1259.1542969</v>
      </c>
      <c r="K1239">
        <v>2750</v>
      </c>
      <c r="L1239">
        <v>0</v>
      </c>
      <c r="M1239">
        <v>0</v>
      </c>
      <c r="N1239">
        <v>2750</v>
      </c>
    </row>
    <row r="1240" spans="1:14" x14ac:dyDescent="0.25">
      <c r="A1240">
        <v>766.90711499999998</v>
      </c>
      <c r="B1240" s="1">
        <f>DATE(2012,6,5) + TIME(21,46,14)</f>
        <v>41065.907106481478</v>
      </c>
      <c r="C1240">
        <v>80</v>
      </c>
      <c r="D1240">
        <v>79.955505371000001</v>
      </c>
      <c r="E1240">
        <v>50</v>
      </c>
      <c r="F1240">
        <v>47.199127197000003</v>
      </c>
      <c r="G1240">
        <v>1391.8493652</v>
      </c>
      <c r="H1240">
        <v>1375.8754882999999</v>
      </c>
      <c r="I1240">
        <v>1281.2076416</v>
      </c>
      <c r="J1240">
        <v>1259.125</v>
      </c>
      <c r="K1240">
        <v>2750</v>
      </c>
      <c r="L1240">
        <v>0</v>
      </c>
      <c r="M1240">
        <v>0</v>
      </c>
      <c r="N1240">
        <v>2750</v>
      </c>
    </row>
    <row r="1241" spans="1:14" x14ac:dyDescent="0.25">
      <c r="A1241">
        <v>767.65988700000003</v>
      </c>
      <c r="B1241" s="1">
        <f>DATE(2012,6,6) + TIME(15,50,14)</f>
        <v>41066.659884259258</v>
      </c>
      <c r="C1241">
        <v>80</v>
      </c>
      <c r="D1241">
        <v>79.955497742000006</v>
      </c>
      <c r="E1241">
        <v>50</v>
      </c>
      <c r="F1241">
        <v>47.151321410999998</v>
      </c>
      <c r="G1241">
        <v>1391.7813721</v>
      </c>
      <c r="H1241">
        <v>1375.8188477000001</v>
      </c>
      <c r="I1241">
        <v>1281.1845702999999</v>
      </c>
      <c r="J1241">
        <v>1259.0948486</v>
      </c>
      <c r="K1241">
        <v>2750</v>
      </c>
      <c r="L1241">
        <v>0</v>
      </c>
      <c r="M1241">
        <v>0</v>
      </c>
      <c r="N1241">
        <v>2750</v>
      </c>
    </row>
    <row r="1242" spans="1:14" x14ac:dyDescent="0.25">
      <c r="A1242">
        <v>768.42781600000001</v>
      </c>
      <c r="B1242" s="1">
        <f>DATE(2012,6,7) + TIME(10,16,3)</f>
        <v>41067.427812499998</v>
      </c>
      <c r="C1242">
        <v>80</v>
      </c>
      <c r="D1242">
        <v>79.955497742000006</v>
      </c>
      <c r="E1242">
        <v>50</v>
      </c>
      <c r="F1242">
        <v>47.102840424</v>
      </c>
      <c r="G1242">
        <v>1391.7132568</v>
      </c>
      <c r="H1242">
        <v>1375.762207</v>
      </c>
      <c r="I1242">
        <v>1281.1607666</v>
      </c>
      <c r="J1242">
        <v>1259.0639647999999</v>
      </c>
      <c r="K1242">
        <v>2750</v>
      </c>
      <c r="L1242">
        <v>0</v>
      </c>
      <c r="M1242">
        <v>0</v>
      </c>
      <c r="N1242">
        <v>2750</v>
      </c>
    </row>
    <row r="1243" spans="1:14" x14ac:dyDescent="0.25">
      <c r="A1243">
        <v>769.20089499999995</v>
      </c>
      <c r="B1243" s="1">
        <f>DATE(2012,6,8) + TIME(4,49,17)</f>
        <v>41068.200891203705</v>
      </c>
      <c r="C1243">
        <v>80</v>
      </c>
      <c r="D1243">
        <v>79.955497742000006</v>
      </c>
      <c r="E1243">
        <v>50</v>
      </c>
      <c r="F1243">
        <v>47.053962708</v>
      </c>
      <c r="G1243">
        <v>1391.6447754000001</v>
      </c>
      <c r="H1243">
        <v>1375.7052002</v>
      </c>
      <c r="I1243">
        <v>1281.1363524999999</v>
      </c>
      <c r="J1243">
        <v>1259.0321045000001</v>
      </c>
      <c r="K1243">
        <v>2750</v>
      </c>
      <c r="L1243">
        <v>0</v>
      </c>
      <c r="M1243">
        <v>0</v>
      </c>
      <c r="N1243">
        <v>2750</v>
      </c>
    </row>
    <row r="1244" spans="1:14" x14ac:dyDescent="0.25">
      <c r="A1244">
        <v>769.97854400000006</v>
      </c>
      <c r="B1244" s="1">
        <f>DATE(2012,6,8) + TIME(23,29,6)</f>
        <v>41068.978541666664</v>
      </c>
      <c r="C1244">
        <v>80</v>
      </c>
      <c r="D1244">
        <v>79.955497742000006</v>
      </c>
      <c r="E1244">
        <v>50</v>
      </c>
      <c r="F1244">
        <v>47.004844665999997</v>
      </c>
      <c r="G1244">
        <v>1391.5770264</v>
      </c>
      <c r="H1244">
        <v>1375.6486815999999</v>
      </c>
      <c r="I1244">
        <v>1281.1114502</v>
      </c>
      <c r="J1244">
        <v>1258.9996338000001</v>
      </c>
      <c r="K1244">
        <v>2750</v>
      </c>
      <c r="L1244">
        <v>0</v>
      </c>
      <c r="M1244">
        <v>0</v>
      </c>
      <c r="N1244">
        <v>2750</v>
      </c>
    </row>
    <row r="1245" spans="1:14" x14ac:dyDescent="0.25">
      <c r="A1245">
        <v>770.76290800000004</v>
      </c>
      <c r="B1245" s="1">
        <f>DATE(2012,6,9) + TIME(18,18,35)</f>
        <v>41069.76290509259</v>
      </c>
      <c r="C1245">
        <v>80</v>
      </c>
      <c r="D1245">
        <v>79.955497742000006</v>
      </c>
      <c r="E1245">
        <v>50</v>
      </c>
      <c r="F1245">
        <v>46.955497741999999</v>
      </c>
      <c r="G1245">
        <v>1391.5097656</v>
      </c>
      <c r="H1245">
        <v>1375.5926514</v>
      </c>
      <c r="I1245">
        <v>1281.0861815999999</v>
      </c>
      <c r="J1245">
        <v>1258.9665527</v>
      </c>
      <c r="K1245">
        <v>2750</v>
      </c>
      <c r="L1245">
        <v>0</v>
      </c>
      <c r="M1245">
        <v>0</v>
      </c>
      <c r="N1245">
        <v>2750</v>
      </c>
    </row>
    <row r="1246" spans="1:14" x14ac:dyDescent="0.25">
      <c r="A1246">
        <v>771.55615399999999</v>
      </c>
      <c r="B1246" s="1">
        <f>DATE(2012,6,10) + TIME(13,20,51)</f>
        <v>41070.556145833332</v>
      </c>
      <c r="C1246">
        <v>80</v>
      </c>
      <c r="D1246">
        <v>79.955497742000006</v>
      </c>
      <c r="E1246">
        <v>50</v>
      </c>
      <c r="F1246">
        <v>46.905857085999997</v>
      </c>
      <c r="G1246">
        <v>1391.4431152</v>
      </c>
      <c r="H1246">
        <v>1375.5369873</v>
      </c>
      <c r="I1246">
        <v>1281.0604248</v>
      </c>
      <c r="J1246">
        <v>1258.9327393000001</v>
      </c>
      <c r="K1246">
        <v>2750</v>
      </c>
      <c r="L1246">
        <v>0</v>
      </c>
      <c r="M1246">
        <v>0</v>
      </c>
      <c r="N1246">
        <v>2750</v>
      </c>
    </row>
    <row r="1247" spans="1:14" x14ac:dyDescent="0.25">
      <c r="A1247">
        <v>772.36050499999999</v>
      </c>
      <c r="B1247" s="1">
        <f>DATE(2012,6,11) + TIME(8,39,7)</f>
        <v>41071.360497685186</v>
      </c>
      <c r="C1247">
        <v>80</v>
      </c>
      <c r="D1247">
        <v>79.955497742000006</v>
      </c>
      <c r="E1247">
        <v>50</v>
      </c>
      <c r="F1247">
        <v>46.855823516999997</v>
      </c>
      <c r="G1247">
        <v>1391.3765868999999</v>
      </c>
      <c r="H1247">
        <v>1375.4814452999999</v>
      </c>
      <c r="I1247">
        <v>1281.0340576000001</v>
      </c>
      <c r="J1247">
        <v>1258.8981934000001</v>
      </c>
      <c r="K1247">
        <v>2750</v>
      </c>
      <c r="L1247">
        <v>0</v>
      </c>
      <c r="M1247">
        <v>0</v>
      </c>
      <c r="N1247">
        <v>2750</v>
      </c>
    </row>
    <row r="1248" spans="1:14" x14ac:dyDescent="0.25">
      <c r="A1248">
        <v>773.17829700000004</v>
      </c>
      <c r="B1248" s="1">
        <f>DATE(2012,6,12) + TIME(4,16,44)</f>
        <v>41072.178287037037</v>
      </c>
      <c r="C1248">
        <v>80</v>
      </c>
      <c r="D1248">
        <v>79.955497742000006</v>
      </c>
      <c r="E1248">
        <v>50</v>
      </c>
      <c r="F1248">
        <v>46.805271148999999</v>
      </c>
      <c r="G1248">
        <v>1391.3101807</v>
      </c>
      <c r="H1248">
        <v>1375.4259033000001</v>
      </c>
      <c r="I1248">
        <v>1281.0070800999999</v>
      </c>
      <c r="J1248">
        <v>1258.8625488</v>
      </c>
      <c r="K1248">
        <v>2750</v>
      </c>
      <c r="L1248">
        <v>0</v>
      </c>
      <c r="M1248">
        <v>0</v>
      </c>
      <c r="N1248">
        <v>2750</v>
      </c>
    </row>
    <row r="1249" spans="1:14" x14ac:dyDescent="0.25">
      <c r="A1249">
        <v>774.012023</v>
      </c>
      <c r="B1249" s="1">
        <f>DATE(2012,6,13) + TIME(0,17,18)</f>
        <v>41073.012013888889</v>
      </c>
      <c r="C1249">
        <v>80</v>
      </c>
      <c r="D1249">
        <v>79.955505371000001</v>
      </c>
      <c r="E1249">
        <v>50</v>
      </c>
      <c r="F1249">
        <v>46.754062652999998</v>
      </c>
      <c r="G1249">
        <v>1391.2436522999999</v>
      </c>
      <c r="H1249">
        <v>1375.3702393000001</v>
      </c>
      <c r="I1249">
        <v>1280.9793701000001</v>
      </c>
      <c r="J1249">
        <v>1258.8259277</v>
      </c>
      <c r="K1249">
        <v>2750</v>
      </c>
      <c r="L1249">
        <v>0</v>
      </c>
      <c r="M1249">
        <v>0</v>
      </c>
      <c r="N1249">
        <v>2750</v>
      </c>
    </row>
    <row r="1250" spans="1:14" x14ac:dyDescent="0.25">
      <c r="A1250">
        <v>774.86319800000001</v>
      </c>
      <c r="B1250" s="1">
        <f>DATE(2012,6,13) + TIME(20,43,0)</f>
        <v>41073.863194444442</v>
      </c>
      <c r="C1250">
        <v>80</v>
      </c>
      <c r="D1250">
        <v>79.955505371000001</v>
      </c>
      <c r="E1250">
        <v>50</v>
      </c>
      <c r="F1250">
        <v>46.702079773000001</v>
      </c>
      <c r="G1250">
        <v>1391.1768798999999</v>
      </c>
      <c r="H1250">
        <v>1375.3143310999999</v>
      </c>
      <c r="I1250">
        <v>1280.9508057</v>
      </c>
      <c r="J1250">
        <v>1258.7880858999999</v>
      </c>
      <c r="K1250">
        <v>2750</v>
      </c>
      <c r="L1250">
        <v>0</v>
      </c>
      <c r="M1250">
        <v>0</v>
      </c>
      <c r="N1250">
        <v>2750</v>
      </c>
    </row>
    <row r="1251" spans="1:14" x14ac:dyDescent="0.25">
      <c r="A1251">
        <v>775.72896300000002</v>
      </c>
      <c r="B1251" s="1">
        <f>DATE(2012,6,14) + TIME(17,29,42)</f>
        <v>41074.728958333333</v>
      </c>
      <c r="C1251">
        <v>80</v>
      </c>
      <c r="D1251">
        <v>79.955505371000001</v>
      </c>
      <c r="E1251">
        <v>50</v>
      </c>
      <c r="F1251">
        <v>46.649349213000001</v>
      </c>
      <c r="G1251">
        <v>1391.1096190999999</v>
      </c>
      <c r="H1251">
        <v>1375.2579346</v>
      </c>
      <c r="I1251">
        <v>1280.9212646000001</v>
      </c>
      <c r="J1251">
        <v>1258.7489014</v>
      </c>
      <c r="K1251">
        <v>2750</v>
      </c>
      <c r="L1251">
        <v>0</v>
      </c>
      <c r="M1251">
        <v>0</v>
      </c>
      <c r="N1251">
        <v>2750</v>
      </c>
    </row>
    <row r="1252" spans="1:14" x14ac:dyDescent="0.25">
      <c r="A1252">
        <v>776.61190599999998</v>
      </c>
      <c r="B1252" s="1">
        <f>DATE(2012,6,15) + TIME(14,41,8)</f>
        <v>41075.611898148149</v>
      </c>
      <c r="C1252">
        <v>80</v>
      </c>
      <c r="D1252">
        <v>79.955512999999996</v>
      </c>
      <c r="E1252">
        <v>50</v>
      </c>
      <c r="F1252">
        <v>46.595806121999999</v>
      </c>
      <c r="G1252">
        <v>1391.0422363</v>
      </c>
      <c r="H1252">
        <v>1375.2014160000001</v>
      </c>
      <c r="I1252">
        <v>1280.8908690999999</v>
      </c>
      <c r="J1252">
        <v>1258.7084961</v>
      </c>
      <c r="K1252">
        <v>2750</v>
      </c>
      <c r="L1252">
        <v>0</v>
      </c>
      <c r="M1252">
        <v>0</v>
      </c>
      <c r="N1252">
        <v>2750</v>
      </c>
    </row>
    <row r="1253" spans="1:14" x14ac:dyDescent="0.25">
      <c r="A1253">
        <v>777.514769</v>
      </c>
      <c r="B1253" s="1">
        <f>DATE(2012,6,16) + TIME(12,21,16)</f>
        <v>41076.514768518522</v>
      </c>
      <c r="C1253">
        <v>80</v>
      </c>
      <c r="D1253">
        <v>79.955520629999995</v>
      </c>
      <c r="E1253">
        <v>50</v>
      </c>
      <c r="F1253">
        <v>46.541343689000001</v>
      </c>
      <c r="G1253">
        <v>1390.9744873</v>
      </c>
      <c r="H1253">
        <v>1375.1446533000001</v>
      </c>
      <c r="I1253">
        <v>1280.859375</v>
      </c>
      <c r="J1253">
        <v>1258.666626</v>
      </c>
      <c r="K1253">
        <v>2750</v>
      </c>
      <c r="L1253">
        <v>0</v>
      </c>
      <c r="M1253">
        <v>0</v>
      </c>
      <c r="N1253">
        <v>2750</v>
      </c>
    </row>
    <row r="1254" spans="1:14" x14ac:dyDescent="0.25">
      <c r="A1254">
        <v>778.42384400000003</v>
      </c>
      <c r="B1254" s="1">
        <f>DATE(2012,6,17) + TIME(10,10,20)</f>
        <v>41077.423842592594</v>
      </c>
      <c r="C1254">
        <v>80</v>
      </c>
      <c r="D1254">
        <v>79.955520629999995</v>
      </c>
      <c r="E1254">
        <v>50</v>
      </c>
      <c r="F1254">
        <v>46.486274719000001</v>
      </c>
      <c r="G1254">
        <v>1390.90625</v>
      </c>
      <c r="H1254">
        <v>1375.0872803</v>
      </c>
      <c r="I1254">
        <v>1280.8267822</v>
      </c>
      <c r="J1254">
        <v>1258.6230469</v>
      </c>
      <c r="K1254">
        <v>2750</v>
      </c>
      <c r="L1254">
        <v>0</v>
      </c>
      <c r="M1254">
        <v>0</v>
      </c>
      <c r="N1254">
        <v>2750</v>
      </c>
    </row>
    <row r="1255" spans="1:14" x14ac:dyDescent="0.25">
      <c r="A1255">
        <v>779.33707000000004</v>
      </c>
      <c r="B1255" s="1">
        <f>DATE(2012,6,18) + TIME(8,5,22)</f>
        <v>41078.337060185186</v>
      </c>
      <c r="C1255">
        <v>80</v>
      </c>
      <c r="D1255">
        <v>79.955528259000005</v>
      </c>
      <c r="E1255">
        <v>50</v>
      </c>
      <c r="F1255">
        <v>46.430862427000001</v>
      </c>
      <c r="G1255">
        <v>1390.838501</v>
      </c>
      <c r="H1255">
        <v>1375.0302733999999</v>
      </c>
      <c r="I1255">
        <v>1280.7935791</v>
      </c>
      <c r="J1255">
        <v>1258.5786132999999</v>
      </c>
      <c r="K1255">
        <v>2750</v>
      </c>
      <c r="L1255">
        <v>0</v>
      </c>
      <c r="M1255">
        <v>0</v>
      </c>
      <c r="N1255">
        <v>2750</v>
      </c>
    </row>
    <row r="1256" spans="1:14" x14ac:dyDescent="0.25">
      <c r="A1256">
        <v>780.25700099999995</v>
      </c>
      <c r="B1256" s="1">
        <f>DATE(2012,6,19) + TIME(6,10,4)</f>
        <v>41079.256990740738</v>
      </c>
      <c r="C1256">
        <v>80</v>
      </c>
      <c r="D1256">
        <v>79.955535889000004</v>
      </c>
      <c r="E1256">
        <v>50</v>
      </c>
      <c r="F1256">
        <v>46.375167847</v>
      </c>
      <c r="G1256">
        <v>1390.7713623</v>
      </c>
      <c r="H1256">
        <v>1374.9737548999999</v>
      </c>
      <c r="I1256">
        <v>1280.7597656</v>
      </c>
      <c r="J1256">
        <v>1258.5330810999999</v>
      </c>
      <c r="K1256">
        <v>2750</v>
      </c>
      <c r="L1256">
        <v>0</v>
      </c>
      <c r="M1256">
        <v>0</v>
      </c>
      <c r="N1256">
        <v>2750</v>
      </c>
    </row>
    <row r="1257" spans="1:14" x14ac:dyDescent="0.25">
      <c r="A1257">
        <v>781.18620499999997</v>
      </c>
      <c r="B1257" s="1">
        <f>DATE(2012,6,20) + TIME(4,28,8)</f>
        <v>41080.186203703706</v>
      </c>
      <c r="C1257">
        <v>80</v>
      </c>
      <c r="D1257">
        <v>79.955543517999999</v>
      </c>
      <c r="E1257">
        <v>50</v>
      </c>
      <c r="F1257">
        <v>46.319129943999997</v>
      </c>
      <c r="G1257">
        <v>1390.7048339999999</v>
      </c>
      <c r="H1257">
        <v>1374.9176024999999</v>
      </c>
      <c r="I1257">
        <v>1280.7252197</v>
      </c>
      <c r="J1257">
        <v>1258.4864502</v>
      </c>
      <c r="K1257">
        <v>2750</v>
      </c>
      <c r="L1257">
        <v>0</v>
      </c>
      <c r="M1257">
        <v>0</v>
      </c>
      <c r="N1257">
        <v>2750</v>
      </c>
    </row>
    <row r="1258" spans="1:14" x14ac:dyDescent="0.25">
      <c r="A1258">
        <v>782.12560299999996</v>
      </c>
      <c r="B1258" s="1">
        <f>DATE(2012,6,21) + TIME(3,0,52)</f>
        <v>41081.125601851854</v>
      </c>
      <c r="C1258">
        <v>80</v>
      </c>
      <c r="D1258">
        <v>79.955551146999994</v>
      </c>
      <c r="E1258">
        <v>50</v>
      </c>
      <c r="F1258">
        <v>46.262676239000001</v>
      </c>
      <c r="G1258">
        <v>1390.6384277</v>
      </c>
      <c r="H1258">
        <v>1374.8616943</v>
      </c>
      <c r="I1258">
        <v>1280.6898193</v>
      </c>
      <c r="J1258">
        <v>1258.4385986</v>
      </c>
      <c r="K1258">
        <v>2750</v>
      </c>
      <c r="L1258">
        <v>0</v>
      </c>
      <c r="M1258">
        <v>0</v>
      </c>
      <c r="N1258">
        <v>2750</v>
      </c>
    </row>
    <row r="1259" spans="1:14" x14ac:dyDescent="0.25">
      <c r="A1259">
        <v>783.07409299999995</v>
      </c>
      <c r="B1259" s="1">
        <f>DATE(2012,6,22) + TIME(1,46,41)</f>
        <v>41082.07408564815</v>
      </c>
      <c r="C1259">
        <v>80</v>
      </c>
      <c r="D1259">
        <v>79.955558776999993</v>
      </c>
      <c r="E1259">
        <v>50</v>
      </c>
      <c r="F1259">
        <v>46.205795287999997</v>
      </c>
      <c r="G1259">
        <v>1390.5722656</v>
      </c>
      <c r="H1259">
        <v>1374.8057861</v>
      </c>
      <c r="I1259">
        <v>1280.6534423999999</v>
      </c>
      <c r="J1259">
        <v>1258.3892822</v>
      </c>
      <c r="K1259">
        <v>2750</v>
      </c>
      <c r="L1259">
        <v>0</v>
      </c>
      <c r="M1259">
        <v>0</v>
      </c>
      <c r="N1259">
        <v>2750</v>
      </c>
    </row>
    <row r="1260" spans="1:14" x14ac:dyDescent="0.25">
      <c r="A1260">
        <v>784.03419499999995</v>
      </c>
      <c r="B1260" s="1">
        <f>DATE(2012,6,23) + TIME(0,49,14)</f>
        <v>41083.034189814818</v>
      </c>
      <c r="C1260">
        <v>80</v>
      </c>
      <c r="D1260">
        <v>79.955566406000003</v>
      </c>
      <c r="E1260">
        <v>50</v>
      </c>
      <c r="F1260">
        <v>46.148406981999997</v>
      </c>
      <c r="G1260">
        <v>1390.5063477000001</v>
      </c>
      <c r="H1260">
        <v>1374.7501221</v>
      </c>
      <c r="I1260">
        <v>1280.6163329999999</v>
      </c>
      <c r="J1260">
        <v>1258.3387451000001</v>
      </c>
      <c r="K1260">
        <v>2750</v>
      </c>
      <c r="L1260">
        <v>0</v>
      </c>
      <c r="M1260">
        <v>0</v>
      </c>
      <c r="N1260">
        <v>2750</v>
      </c>
    </row>
    <row r="1261" spans="1:14" x14ac:dyDescent="0.25">
      <c r="A1261">
        <v>785.00851699999998</v>
      </c>
      <c r="B1261" s="1">
        <f>DATE(2012,6,24) + TIME(0,12,15)</f>
        <v>41084.008506944447</v>
      </c>
      <c r="C1261">
        <v>80</v>
      </c>
      <c r="D1261">
        <v>79.955574036000002</v>
      </c>
      <c r="E1261">
        <v>50</v>
      </c>
      <c r="F1261">
        <v>46.090396880999997</v>
      </c>
      <c r="G1261">
        <v>1390.4405518000001</v>
      </c>
      <c r="H1261">
        <v>1374.6944579999999</v>
      </c>
      <c r="I1261">
        <v>1280.578125</v>
      </c>
      <c r="J1261">
        <v>1258.286499</v>
      </c>
      <c r="K1261">
        <v>2750</v>
      </c>
      <c r="L1261">
        <v>0</v>
      </c>
      <c r="M1261">
        <v>0</v>
      </c>
      <c r="N1261">
        <v>2750</v>
      </c>
    </row>
    <row r="1262" spans="1:14" x14ac:dyDescent="0.25">
      <c r="A1262">
        <v>785.99980800000003</v>
      </c>
      <c r="B1262" s="1">
        <f>DATE(2012,6,24) + TIME(23,59,43)</f>
        <v>41084.999803240738</v>
      </c>
      <c r="C1262">
        <v>80</v>
      </c>
      <c r="D1262">
        <v>79.955581664999997</v>
      </c>
      <c r="E1262">
        <v>50</v>
      </c>
      <c r="F1262">
        <v>46.031616210999999</v>
      </c>
      <c r="G1262">
        <v>1390.3747559000001</v>
      </c>
      <c r="H1262">
        <v>1374.6386719</v>
      </c>
      <c r="I1262">
        <v>1280.5388184000001</v>
      </c>
      <c r="J1262">
        <v>1258.2326660000001</v>
      </c>
      <c r="K1262">
        <v>2750</v>
      </c>
      <c r="L1262">
        <v>0</v>
      </c>
      <c r="M1262">
        <v>0</v>
      </c>
      <c r="N1262">
        <v>2750</v>
      </c>
    </row>
    <row r="1263" spans="1:14" x14ac:dyDescent="0.25">
      <c r="A1263">
        <v>787.01101500000004</v>
      </c>
      <c r="B1263" s="1">
        <f>DATE(2012,6,26) + TIME(0,15,51)</f>
        <v>41086.011006944442</v>
      </c>
      <c r="C1263">
        <v>80</v>
      </c>
      <c r="D1263">
        <v>79.955596924000005</v>
      </c>
      <c r="E1263">
        <v>50</v>
      </c>
      <c r="F1263">
        <v>45.971889496000003</v>
      </c>
      <c r="G1263">
        <v>1390.3085937999999</v>
      </c>
      <c r="H1263">
        <v>1374.5826416</v>
      </c>
      <c r="I1263">
        <v>1280.4981689000001</v>
      </c>
      <c r="J1263">
        <v>1258.1768798999999</v>
      </c>
      <c r="K1263">
        <v>2750</v>
      </c>
      <c r="L1263">
        <v>0</v>
      </c>
      <c r="M1263">
        <v>0</v>
      </c>
      <c r="N1263">
        <v>2750</v>
      </c>
    </row>
    <row r="1264" spans="1:14" x14ac:dyDescent="0.25">
      <c r="A1264">
        <v>788.04531399999996</v>
      </c>
      <c r="B1264" s="1">
        <f>DATE(2012,6,27) + TIME(1,5,15)</f>
        <v>41087.045312499999</v>
      </c>
      <c r="C1264">
        <v>80</v>
      </c>
      <c r="D1264">
        <v>79.955604553000001</v>
      </c>
      <c r="E1264">
        <v>50</v>
      </c>
      <c r="F1264">
        <v>45.911037444999998</v>
      </c>
      <c r="G1264">
        <v>1390.2420654</v>
      </c>
      <c r="H1264">
        <v>1374.5261230000001</v>
      </c>
      <c r="I1264">
        <v>1280.4561768000001</v>
      </c>
      <c r="J1264">
        <v>1258.1187743999999</v>
      </c>
      <c r="K1264">
        <v>2750</v>
      </c>
      <c r="L1264">
        <v>0</v>
      </c>
      <c r="M1264">
        <v>0</v>
      </c>
      <c r="N1264">
        <v>2750</v>
      </c>
    </row>
    <row r="1265" spans="1:14" x14ac:dyDescent="0.25">
      <c r="A1265">
        <v>789.10393099999999</v>
      </c>
      <c r="B1265" s="1">
        <f>DATE(2012,6,28) + TIME(2,29,39)</f>
        <v>41088.10392361111</v>
      </c>
      <c r="C1265">
        <v>80</v>
      </c>
      <c r="D1265">
        <v>79.955619811999995</v>
      </c>
      <c r="E1265">
        <v>50</v>
      </c>
      <c r="F1265">
        <v>45.848915099999999</v>
      </c>
      <c r="G1265">
        <v>1390.1749268000001</v>
      </c>
      <c r="H1265">
        <v>1374.4691161999999</v>
      </c>
      <c r="I1265">
        <v>1280.4124756000001</v>
      </c>
      <c r="J1265">
        <v>1258.0583495999999</v>
      </c>
      <c r="K1265">
        <v>2750</v>
      </c>
      <c r="L1265">
        <v>0</v>
      </c>
      <c r="M1265">
        <v>0</v>
      </c>
      <c r="N1265">
        <v>2750</v>
      </c>
    </row>
    <row r="1266" spans="1:14" x14ac:dyDescent="0.25">
      <c r="A1266">
        <v>790.16297499999996</v>
      </c>
      <c r="B1266" s="1">
        <f>DATE(2012,6,29) + TIME(3,54,41)</f>
        <v>41089.162974537037</v>
      </c>
      <c r="C1266">
        <v>80</v>
      </c>
      <c r="D1266">
        <v>79.955627441000004</v>
      </c>
      <c r="E1266">
        <v>50</v>
      </c>
      <c r="F1266">
        <v>45.786033629999999</v>
      </c>
      <c r="G1266">
        <v>1390.1070557</v>
      </c>
      <c r="H1266">
        <v>1374.411499</v>
      </c>
      <c r="I1266">
        <v>1280.3669434000001</v>
      </c>
      <c r="J1266">
        <v>1257.9953613</v>
      </c>
      <c r="K1266">
        <v>2750</v>
      </c>
      <c r="L1266">
        <v>0</v>
      </c>
      <c r="M1266">
        <v>0</v>
      </c>
      <c r="N1266">
        <v>2750</v>
      </c>
    </row>
    <row r="1267" spans="1:14" x14ac:dyDescent="0.25">
      <c r="A1267">
        <v>791.22498299999995</v>
      </c>
      <c r="B1267" s="1">
        <f>DATE(2012,6,30) + TIME(5,23,58)</f>
        <v>41090.224976851852</v>
      </c>
      <c r="C1267">
        <v>80</v>
      </c>
      <c r="D1267">
        <v>79.955642699999999</v>
      </c>
      <c r="E1267">
        <v>50</v>
      </c>
      <c r="F1267">
        <v>45.722766876000001</v>
      </c>
      <c r="G1267">
        <v>1390.0401611</v>
      </c>
      <c r="H1267">
        <v>1374.3544922000001</v>
      </c>
      <c r="I1267">
        <v>1280.3208007999999</v>
      </c>
      <c r="J1267">
        <v>1257.9310303</v>
      </c>
      <c r="K1267">
        <v>2750</v>
      </c>
      <c r="L1267">
        <v>0</v>
      </c>
      <c r="M1267">
        <v>0</v>
      </c>
      <c r="N1267">
        <v>2750</v>
      </c>
    </row>
    <row r="1268" spans="1:14" x14ac:dyDescent="0.25">
      <c r="A1268">
        <v>792</v>
      </c>
      <c r="B1268" s="1">
        <f>DATE(2012,7,1) + TIME(0,0,0)</f>
        <v>41091</v>
      </c>
      <c r="C1268">
        <v>80</v>
      </c>
      <c r="D1268">
        <v>79.955642699999999</v>
      </c>
      <c r="E1268">
        <v>50</v>
      </c>
      <c r="F1268">
        <v>45.667881012000002</v>
      </c>
      <c r="G1268">
        <v>1389.9737548999999</v>
      </c>
      <c r="H1268">
        <v>1374.2979736</v>
      </c>
      <c r="I1268">
        <v>1280.2731934000001</v>
      </c>
      <c r="J1268">
        <v>1257.8673096</v>
      </c>
      <c r="K1268">
        <v>2750</v>
      </c>
      <c r="L1268">
        <v>0</v>
      </c>
      <c r="M1268">
        <v>0</v>
      </c>
      <c r="N1268">
        <v>2750</v>
      </c>
    </row>
    <row r="1269" spans="1:14" x14ac:dyDescent="0.25">
      <c r="A1269">
        <v>793.06763599999999</v>
      </c>
      <c r="B1269" s="1">
        <f>DATE(2012,7,2) + TIME(1,37,23)</f>
        <v>41092.067627314813</v>
      </c>
      <c r="C1269">
        <v>80</v>
      </c>
      <c r="D1269">
        <v>79.955665588000002</v>
      </c>
      <c r="E1269">
        <v>50</v>
      </c>
      <c r="F1269">
        <v>45.609176636000001</v>
      </c>
      <c r="G1269">
        <v>1389.9259033000001</v>
      </c>
      <c r="H1269">
        <v>1374.2570800999999</v>
      </c>
      <c r="I1269">
        <v>1280.2386475000001</v>
      </c>
      <c r="J1269">
        <v>1257.8146973</v>
      </c>
      <c r="K1269">
        <v>2750</v>
      </c>
      <c r="L1269">
        <v>0</v>
      </c>
      <c r="M1269">
        <v>0</v>
      </c>
      <c r="N1269">
        <v>2750</v>
      </c>
    </row>
    <row r="1270" spans="1:14" x14ac:dyDescent="0.25">
      <c r="A1270">
        <v>794.15176899999994</v>
      </c>
      <c r="B1270" s="1">
        <f>DATE(2012,7,3) + TIME(3,38,32)</f>
        <v>41093.151759259257</v>
      </c>
      <c r="C1270">
        <v>80</v>
      </c>
      <c r="D1270">
        <v>79.955680846999996</v>
      </c>
      <c r="E1270">
        <v>50</v>
      </c>
      <c r="F1270">
        <v>45.547019958</v>
      </c>
      <c r="G1270">
        <v>1389.8609618999999</v>
      </c>
      <c r="H1270">
        <v>1374.2016602000001</v>
      </c>
      <c r="I1270">
        <v>1280.1900635</v>
      </c>
      <c r="J1270">
        <v>1257.7469481999999</v>
      </c>
      <c r="K1270">
        <v>2750</v>
      </c>
      <c r="L1270">
        <v>0</v>
      </c>
      <c r="M1270">
        <v>0</v>
      </c>
      <c r="N1270">
        <v>2750</v>
      </c>
    </row>
    <row r="1271" spans="1:14" x14ac:dyDescent="0.25">
      <c r="A1271">
        <v>795.24912500000005</v>
      </c>
      <c r="B1271" s="1">
        <f>DATE(2012,7,4) + TIME(5,58,44)</f>
        <v>41094.249120370368</v>
      </c>
      <c r="C1271">
        <v>80</v>
      </c>
      <c r="D1271">
        <v>79.955696106000005</v>
      </c>
      <c r="E1271">
        <v>50</v>
      </c>
      <c r="F1271">
        <v>45.482891082999998</v>
      </c>
      <c r="G1271">
        <v>1389.7956543</v>
      </c>
      <c r="H1271">
        <v>1374.145874</v>
      </c>
      <c r="I1271">
        <v>1280.1398925999999</v>
      </c>
      <c r="J1271">
        <v>1257.6763916</v>
      </c>
      <c r="K1271">
        <v>2750</v>
      </c>
      <c r="L1271">
        <v>0</v>
      </c>
      <c r="M1271">
        <v>0</v>
      </c>
      <c r="N1271">
        <v>2750</v>
      </c>
    </row>
    <row r="1272" spans="1:14" x14ac:dyDescent="0.25">
      <c r="A1272">
        <v>796.36276899999996</v>
      </c>
      <c r="B1272" s="1">
        <f>DATE(2012,7,5) + TIME(8,42,23)</f>
        <v>41095.362766203703</v>
      </c>
      <c r="C1272">
        <v>80</v>
      </c>
      <c r="D1272">
        <v>79.955711364999999</v>
      </c>
      <c r="E1272">
        <v>50</v>
      </c>
      <c r="F1272">
        <v>45.417369843000003</v>
      </c>
      <c r="G1272">
        <v>1389.7303466999999</v>
      </c>
      <c r="H1272">
        <v>1374.0899658000001</v>
      </c>
      <c r="I1272">
        <v>1280.0882568</v>
      </c>
      <c r="J1272">
        <v>1257.6032714999999</v>
      </c>
      <c r="K1272">
        <v>2750</v>
      </c>
      <c r="L1272">
        <v>0</v>
      </c>
      <c r="M1272">
        <v>0</v>
      </c>
      <c r="N1272">
        <v>2750</v>
      </c>
    </row>
    <row r="1273" spans="1:14" x14ac:dyDescent="0.25">
      <c r="A1273">
        <v>797.49588900000003</v>
      </c>
      <c r="B1273" s="1">
        <f>DATE(2012,7,6) + TIME(11,54,4)</f>
        <v>41096.495879629627</v>
      </c>
      <c r="C1273">
        <v>80</v>
      </c>
      <c r="D1273">
        <v>79.955726623999993</v>
      </c>
      <c r="E1273">
        <v>50</v>
      </c>
      <c r="F1273">
        <v>45.350582123000002</v>
      </c>
      <c r="G1273">
        <v>1389.6649170000001</v>
      </c>
      <c r="H1273">
        <v>1374.0339355000001</v>
      </c>
      <c r="I1273">
        <v>1280.0349120999999</v>
      </c>
      <c r="J1273">
        <v>1257.5275879000001</v>
      </c>
      <c r="K1273">
        <v>2750</v>
      </c>
      <c r="L1273">
        <v>0</v>
      </c>
      <c r="M1273">
        <v>0</v>
      </c>
      <c r="N1273">
        <v>2750</v>
      </c>
    </row>
    <row r="1274" spans="1:14" x14ac:dyDescent="0.25">
      <c r="A1274">
        <v>798.65190399999994</v>
      </c>
      <c r="B1274" s="1">
        <f>DATE(2012,7,7) + TIME(15,38,44)</f>
        <v>41097.651898148149</v>
      </c>
      <c r="C1274">
        <v>80</v>
      </c>
      <c r="D1274">
        <v>79.955741881999998</v>
      </c>
      <c r="E1274">
        <v>50</v>
      </c>
      <c r="F1274">
        <v>45.282451629999997</v>
      </c>
      <c r="G1274">
        <v>1389.5992432</v>
      </c>
      <c r="H1274">
        <v>1373.9776611</v>
      </c>
      <c r="I1274">
        <v>1279.9798584</v>
      </c>
      <c r="J1274">
        <v>1257.4488524999999</v>
      </c>
      <c r="K1274">
        <v>2750</v>
      </c>
      <c r="L1274">
        <v>0</v>
      </c>
      <c r="M1274">
        <v>0</v>
      </c>
      <c r="N1274">
        <v>2750</v>
      </c>
    </row>
    <row r="1275" spans="1:14" x14ac:dyDescent="0.25">
      <c r="A1275">
        <v>799.83453199999997</v>
      </c>
      <c r="B1275" s="1">
        <f>DATE(2012,7,8) + TIME(20,1,43)</f>
        <v>41098.83452546296</v>
      </c>
      <c r="C1275">
        <v>80</v>
      </c>
      <c r="D1275">
        <v>79.955757141000007</v>
      </c>
      <c r="E1275">
        <v>50</v>
      </c>
      <c r="F1275">
        <v>45.212814330999997</v>
      </c>
      <c r="G1275">
        <v>1389.5329589999999</v>
      </c>
      <c r="H1275">
        <v>1373.9207764</v>
      </c>
      <c r="I1275">
        <v>1279.9228516000001</v>
      </c>
      <c r="J1275">
        <v>1257.3670654</v>
      </c>
      <c r="K1275">
        <v>2750</v>
      </c>
      <c r="L1275">
        <v>0</v>
      </c>
      <c r="M1275">
        <v>0</v>
      </c>
      <c r="N1275">
        <v>2750</v>
      </c>
    </row>
    <row r="1276" spans="1:14" x14ac:dyDescent="0.25">
      <c r="A1276">
        <v>801.03990599999997</v>
      </c>
      <c r="B1276" s="1">
        <f>DATE(2012,7,10) + TIME(0,57,27)</f>
        <v>41100.039895833332</v>
      </c>
      <c r="C1276">
        <v>80</v>
      </c>
      <c r="D1276">
        <v>79.955780028999996</v>
      </c>
      <c r="E1276">
        <v>50</v>
      </c>
      <c r="F1276">
        <v>45.141624450999998</v>
      </c>
      <c r="G1276">
        <v>1389.4660644999999</v>
      </c>
      <c r="H1276">
        <v>1373.8632812000001</v>
      </c>
      <c r="I1276">
        <v>1279.8635254000001</v>
      </c>
      <c r="J1276">
        <v>1257.2816161999999</v>
      </c>
      <c r="K1276">
        <v>2750</v>
      </c>
      <c r="L1276">
        <v>0</v>
      </c>
      <c r="M1276">
        <v>0</v>
      </c>
      <c r="N1276">
        <v>2750</v>
      </c>
    </row>
    <row r="1277" spans="1:14" x14ac:dyDescent="0.25">
      <c r="A1277">
        <v>802.24721299999999</v>
      </c>
      <c r="B1277" s="1">
        <f>DATE(2012,7,11) + TIME(5,55,59)</f>
        <v>41101.247210648151</v>
      </c>
      <c r="C1277">
        <v>80</v>
      </c>
      <c r="D1277">
        <v>79.955795288000004</v>
      </c>
      <c r="E1277">
        <v>50</v>
      </c>
      <c r="F1277">
        <v>45.069385529000002</v>
      </c>
      <c r="G1277">
        <v>1389.3988036999999</v>
      </c>
      <c r="H1277">
        <v>1373.8054199000001</v>
      </c>
      <c r="I1277">
        <v>1279.8020019999999</v>
      </c>
      <c r="J1277">
        <v>1257.1929932</v>
      </c>
      <c r="K1277">
        <v>2750</v>
      </c>
      <c r="L1277">
        <v>0</v>
      </c>
      <c r="M1277">
        <v>0</v>
      </c>
      <c r="N1277">
        <v>2750</v>
      </c>
    </row>
    <row r="1278" spans="1:14" x14ac:dyDescent="0.25">
      <c r="A1278">
        <v>803.45867599999997</v>
      </c>
      <c r="B1278" s="1">
        <f>DATE(2012,7,12) + TIME(11,0,29)</f>
        <v>41102.458668981482</v>
      </c>
      <c r="C1278">
        <v>80</v>
      </c>
      <c r="D1278">
        <v>79.955818175999994</v>
      </c>
      <c r="E1278">
        <v>50</v>
      </c>
      <c r="F1278">
        <v>44.996513366999999</v>
      </c>
      <c r="G1278">
        <v>1389.3321533000001</v>
      </c>
      <c r="H1278">
        <v>1373.7480469</v>
      </c>
      <c r="I1278">
        <v>1279.7392577999999</v>
      </c>
      <c r="J1278">
        <v>1257.1021728999999</v>
      </c>
      <c r="K1278">
        <v>2750</v>
      </c>
      <c r="L1278">
        <v>0</v>
      </c>
      <c r="M1278">
        <v>0</v>
      </c>
      <c r="N1278">
        <v>2750</v>
      </c>
    </row>
    <row r="1279" spans="1:14" x14ac:dyDescent="0.25">
      <c r="A1279">
        <v>804.67737799999998</v>
      </c>
      <c r="B1279" s="1">
        <f>DATE(2012,7,13) + TIME(16,15,25)</f>
        <v>41103.677372685182</v>
      </c>
      <c r="C1279">
        <v>80</v>
      </c>
      <c r="D1279">
        <v>79.955833435000002</v>
      </c>
      <c r="E1279">
        <v>50</v>
      </c>
      <c r="F1279">
        <v>44.923053740999997</v>
      </c>
      <c r="G1279">
        <v>1389.2659911999999</v>
      </c>
      <c r="H1279">
        <v>1373.6910399999999</v>
      </c>
      <c r="I1279">
        <v>1279.6754149999999</v>
      </c>
      <c r="J1279">
        <v>1257.0090332</v>
      </c>
      <c r="K1279">
        <v>2750</v>
      </c>
      <c r="L1279">
        <v>0</v>
      </c>
      <c r="M1279">
        <v>0</v>
      </c>
      <c r="N1279">
        <v>2750</v>
      </c>
    </row>
    <row r="1280" spans="1:14" x14ac:dyDescent="0.25">
      <c r="A1280">
        <v>805.90653999999995</v>
      </c>
      <c r="B1280" s="1">
        <f>DATE(2012,7,14) + TIME(21,45,25)</f>
        <v>41104.906539351854</v>
      </c>
      <c r="C1280">
        <v>80</v>
      </c>
      <c r="D1280">
        <v>79.955856323000006</v>
      </c>
      <c r="E1280">
        <v>50</v>
      </c>
      <c r="F1280">
        <v>44.848903655999997</v>
      </c>
      <c r="G1280">
        <v>1389.2004394999999</v>
      </c>
      <c r="H1280">
        <v>1373.6343993999999</v>
      </c>
      <c r="I1280">
        <v>1279.6099853999999</v>
      </c>
      <c r="J1280">
        <v>1256.9135742000001</v>
      </c>
      <c r="K1280">
        <v>2750</v>
      </c>
      <c r="L1280">
        <v>0</v>
      </c>
      <c r="M1280">
        <v>0</v>
      </c>
      <c r="N1280">
        <v>2750</v>
      </c>
    </row>
    <row r="1281" spans="1:14" x14ac:dyDescent="0.25">
      <c r="A1281">
        <v>807.14942799999994</v>
      </c>
      <c r="B1281" s="1">
        <f>DATE(2012,7,16) + TIME(3,35,10)</f>
        <v>41106.149421296293</v>
      </c>
      <c r="C1281">
        <v>80</v>
      </c>
      <c r="D1281">
        <v>79.955879210999996</v>
      </c>
      <c r="E1281">
        <v>50</v>
      </c>
      <c r="F1281">
        <v>44.773891448999997</v>
      </c>
      <c r="G1281">
        <v>1389.1350098</v>
      </c>
      <c r="H1281">
        <v>1373.5778809000001</v>
      </c>
      <c r="I1281">
        <v>1279.5430908000001</v>
      </c>
      <c r="J1281">
        <v>1256.8154297000001</v>
      </c>
      <c r="K1281">
        <v>2750</v>
      </c>
      <c r="L1281">
        <v>0</v>
      </c>
      <c r="M1281">
        <v>0</v>
      </c>
      <c r="N1281">
        <v>2750</v>
      </c>
    </row>
    <row r="1282" spans="1:14" x14ac:dyDescent="0.25">
      <c r="A1282">
        <v>808.40942800000005</v>
      </c>
      <c r="B1282" s="1">
        <f>DATE(2012,7,17) + TIME(9,49,34)</f>
        <v>41107.409421296295</v>
      </c>
      <c r="C1282">
        <v>80</v>
      </c>
      <c r="D1282">
        <v>79.955902100000003</v>
      </c>
      <c r="E1282">
        <v>50</v>
      </c>
      <c r="F1282">
        <v>44.697814940999997</v>
      </c>
      <c r="G1282">
        <v>1389.0695800999999</v>
      </c>
      <c r="H1282">
        <v>1373.5213623</v>
      </c>
      <c r="I1282">
        <v>1279.4743652</v>
      </c>
      <c r="J1282">
        <v>1256.7141113</v>
      </c>
      <c r="K1282">
        <v>2750</v>
      </c>
      <c r="L1282">
        <v>0</v>
      </c>
      <c r="M1282">
        <v>0</v>
      </c>
      <c r="N1282">
        <v>2750</v>
      </c>
    </row>
    <row r="1283" spans="1:14" x14ac:dyDescent="0.25">
      <c r="A1283">
        <v>809.69013099999995</v>
      </c>
      <c r="B1283" s="1">
        <f>DATE(2012,7,18) + TIME(16,33,47)</f>
        <v>41108.690127314818</v>
      </c>
      <c r="C1283">
        <v>80</v>
      </c>
      <c r="D1283">
        <v>79.955924988000007</v>
      </c>
      <c r="E1283">
        <v>50</v>
      </c>
      <c r="F1283">
        <v>44.620456695999998</v>
      </c>
      <c r="G1283">
        <v>1389.0040283000001</v>
      </c>
      <c r="H1283">
        <v>1373.4645995999999</v>
      </c>
      <c r="I1283">
        <v>1279.4036865</v>
      </c>
      <c r="J1283">
        <v>1256.6094971</v>
      </c>
      <c r="K1283">
        <v>2750</v>
      </c>
      <c r="L1283">
        <v>0</v>
      </c>
      <c r="M1283">
        <v>0</v>
      </c>
      <c r="N1283">
        <v>2750</v>
      </c>
    </row>
    <row r="1284" spans="1:14" x14ac:dyDescent="0.25">
      <c r="A1284">
        <v>810.99342899999999</v>
      </c>
      <c r="B1284" s="1">
        <f>DATE(2012,7,19) + TIME(23,50,32)</f>
        <v>41109.993425925924</v>
      </c>
      <c r="C1284">
        <v>80</v>
      </c>
      <c r="D1284">
        <v>79.955947875999996</v>
      </c>
      <c r="E1284">
        <v>50</v>
      </c>
      <c r="F1284">
        <v>44.541618346999996</v>
      </c>
      <c r="G1284">
        <v>1388.9382324000001</v>
      </c>
      <c r="H1284">
        <v>1373.4074707</v>
      </c>
      <c r="I1284">
        <v>1279.3306885</v>
      </c>
      <c r="J1284">
        <v>1256.5012207</v>
      </c>
      <c r="K1284">
        <v>2750</v>
      </c>
      <c r="L1284">
        <v>0</v>
      </c>
      <c r="M1284">
        <v>0</v>
      </c>
      <c r="N1284">
        <v>2750</v>
      </c>
    </row>
    <row r="1285" spans="1:14" x14ac:dyDescent="0.25">
      <c r="A1285">
        <v>812.31460400000003</v>
      </c>
      <c r="B1285" s="1">
        <f>DATE(2012,7,21) + TIME(7,33,1)</f>
        <v>41111.31459490741</v>
      </c>
      <c r="C1285">
        <v>80</v>
      </c>
      <c r="D1285">
        <v>79.955970764</v>
      </c>
      <c r="E1285">
        <v>50</v>
      </c>
      <c r="F1285">
        <v>44.461288451999998</v>
      </c>
      <c r="G1285">
        <v>1388.8720702999999</v>
      </c>
      <c r="H1285">
        <v>1373.3499756000001</v>
      </c>
      <c r="I1285">
        <v>1279.255249</v>
      </c>
      <c r="J1285">
        <v>1256.3889160000001</v>
      </c>
      <c r="K1285">
        <v>2750</v>
      </c>
      <c r="L1285">
        <v>0</v>
      </c>
      <c r="M1285">
        <v>0</v>
      </c>
      <c r="N1285">
        <v>2750</v>
      </c>
    </row>
    <row r="1286" spans="1:14" x14ac:dyDescent="0.25">
      <c r="A1286">
        <v>813.65733799999998</v>
      </c>
      <c r="B1286" s="1">
        <f>DATE(2012,7,22) + TIME(15,46,34)</f>
        <v>41112.657337962963</v>
      </c>
      <c r="C1286">
        <v>80</v>
      </c>
      <c r="D1286">
        <v>79.955993652000004</v>
      </c>
      <c r="E1286">
        <v>50</v>
      </c>
      <c r="F1286">
        <v>44.379451752000001</v>
      </c>
      <c r="G1286">
        <v>1388.8056641000001</v>
      </c>
      <c r="H1286">
        <v>1373.2923584</v>
      </c>
      <c r="I1286">
        <v>1279.1777344</v>
      </c>
      <c r="J1286">
        <v>1256.2729492000001</v>
      </c>
      <c r="K1286">
        <v>2750</v>
      </c>
      <c r="L1286">
        <v>0</v>
      </c>
      <c r="M1286">
        <v>0</v>
      </c>
      <c r="N1286">
        <v>2750</v>
      </c>
    </row>
    <row r="1287" spans="1:14" x14ac:dyDescent="0.25">
      <c r="A1287">
        <v>815.02547100000004</v>
      </c>
      <c r="B1287" s="1">
        <f>DATE(2012,7,24) + TIME(0,36,40)</f>
        <v>41114.025462962964</v>
      </c>
      <c r="C1287">
        <v>80</v>
      </c>
      <c r="D1287">
        <v>79.956016540999997</v>
      </c>
      <c r="E1287">
        <v>50</v>
      </c>
      <c r="F1287">
        <v>44.295936584000003</v>
      </c>
      <c r="G1287">
        <v>1388.7390137</v>
      </c>
      <c r="H1287">
        <v>1373.234375</v>
      </c>
      <c r="I1287">
        <v>1279.0977783000001</v>
      </c>
      <c r="J1287">
        <v>1256.152832</v>
      </c>
      <c r="K1287">
        <v>2750</v>
      </c>
      <c r="L1287">
        <v>0</v>
      </c>
      <c r="M1287">
        <v>0</v>
      </c>
      <c r="N1287">
        <v>2750</v>
      </c>
    </row>
    <row r="1288" spans="1:14" x14ac:dyDescent="0.25">
      <c r="A1288">
        <v>816.39924399999995</v>
      </c>
      <c r="B1288" s="1">
        <f>DATE(2012,7,25) + TIME(9,34,54)</f>
        <v>41115.399236111109</v>
      </c>
      <c r="C1288">
        <v>80</v>
      </c>
      <c r="D1288">
        <v>79.956047057999996</v>
      </c>
      <c r="E1288">
        <v>50</v>
      </c>
      <c r="F1288">
        <v>44.211044311999999</v>
      </c>
      <c r="G1288">
        <v>1388.671875</v>
      </c>
      <c r="H1288">
        <v>1373.1759033000001</v>
      </c>
      <c r="I1288">
        <v>1279.0151367000001</v>
      </c>
      <c r="J1288">
        <v>1256.0283202999999</v>
      </c>
      <c r="K1288">
        <v>2750</v>
      </c>
      <c r="L1288">
        <v>0</v>
      </c>
      <c r="M1288">
        <v>0</v>
      </c>
      <c r="N1288">
        <v>2750</v>
      </c>
    </row>
    <row r="1289" spans="1:14" x14ac:dyDescent="0.25">
      <c r="A1289">
        <v>817.78073900000004</v>
      </c>
      <c r="B1289" s="1">
        <f>DATE(2012,7,26) + TIME(18,44,15)</f>
        <v>41116.780729166669</v>
      </c>
      <c r="C1289">
        <v>80</v>
      </c>
      <c r="D1289">
        <v>79.956069946</v>
      </c>
      <c r="E1289">
        <v>50</v>
      </c>
      <c r="F1289">
        <v>44.125179291000002</v>
      </c>
      <c r="G1289">
        <v>1388.6052245999999</v>
      </c>
      <c r="H1289">
        <v>1373.1177978999999</v>
      </c>
      <c r="I1289">
        <v>1278.9309082</v>
      </c>
      <c r="J1289">
        <v>1255.901001</v>
      </c>
      <c r="K1289">
        <v>2750</v>
      </c>
      <c r="L1289">
        <v>0</v>
      </c>
      <c r="M1289">
        <v>0</v>
      </c>
      <c r="N1289">
        <v>2750</v>
      </c>
    </row>
    <row r="1290" spans="1:14" x14ac:dyDescent="0.25">
      <c r="A1290">
        <v>819.173631</v>
      </c>
      <c r="B1290" s="1">
        <f>DATE(2012,7,28) + TIME(4,10,1)</f>
        <v>41118.173622685186</v>
      </c>
      <c r="C1290">
        <v>80</v>
      </c>
      <c r="D1290">
        <v>79.956092834000003</v>
      </c>
      <c r="E1290">
        <v>50</v>
      </c>
      <c r="F1290">
        <v>44.038368224999999</v>
      </c>
      <c r="G1290">
        <v>1388.5389404</v>
      </c>
      <c r="H1290">
        <v>1373.0598144999999</v>
      </c>
      <c r="I1290">
        <v>1278.8450928</v>
      </c>
      <c r="J1290">
        <v>1255.7705077999999</v>
      </c>
      <c r="K1290">
        <v>2750</v>
      </c>
      <c r="L1290">
        <v>0</v>
      </c>
      <c r="M1290">
        <v>0</v>
      </c>
      <c r="N1290">
        <v>2750</v>
      </c>
    </row>
    <row r="1291" spans="1:14" x14ac:dyDescent="0.25">
      <c r="A1291">
        <v>820.58168699999999</v>
      </c>
      <c r="B1291" s="1">
        <f>DATE(2012,7,29) + TIME(13,57,37)</f>
        <v>41119.581678240742</v>
      </c>
      <c r="C1291">
        <v>80</v>
      </c>
      <c r="D1291">
        <v>79.956123352000006</v>
      </c>
      <c r="E1291">
        <v>50</v>
      </c>
      <c r="F1291">
        <v>43.950477599999999</v>
      </c>
      <c r="G1291">
        <v>1388.4727783000001</v>
      </c>
      <c r="H1291">
        <v>1373.0020752</v>
      </c>
      <c r="I1291">
        <v>1278.7574463000001</v>
      </c>
      <c r="J1291">
        <v>1255.6367187999999</v>
      </c>
      <c r="K1291">
        <v>2750</v>
      </c>
      <c r="L1291">
        <v>0</v>
      </c>
      <c r="M1291">
        <v>0</v>
      </c>
      <c r="N1291">
        <v>2750</v>
      </c>
    </row>
    <row r="1292" spans="1:14" x14ac:dyDescent="0.25">
      <c r="A1292">
        <v>822.00882200000001</v>
      </c>
      <c r="B1292" s="1">
        <f>DATE(2012,7,31) + TIME(0,12,42)</f>
        <v>41121.008819444447</v>
      </c>
      <c r="C1292">
        <v>80</v>
      </c>
      <c r="D1292">
        <v>79.956153869999994</v>
      </c>
      <c r="E1292">
        <v>50</v>
      </c>
      <c r="F1292">
        <v>43.861301421999997</v>
      </c>
      <c r="G1292">
        <v>1388.4066161999999</v>
      </c>
      <c r="H1292">
        <v>1372.9442139</v>
      </c>
      <c r="I1292">
        <v>1278.6676024999999</v>
      </c>
      <c r="J1292">
        <v>1255.4992675999999</v>
      </c>
      <c r="K1292">
        <v>2750</v>
      </c>
      <c r="L1292">
        <v>0</v>
      </c>
      <c r="M1292">
        <v>0</v>
      </c>
      <c r="N1292">
        <v>2750</v>
      </c>
    </row>
    <row r="1293" spans="1:14" x14ac:dyDescent="0.25">
      <c r="A1293">
        <v>823</v>
      </c>
      <c r="B1293" s="1">
        <f>DATE(2012,8,1) + TIME(0,0,0)</f>
        <v>41122</v>
      </c>
      <c r="C1293">
        <v>80</v>
      </c>
      <c r="D1293">
        <v>79.956161499000004</v>
      </c>
      <c r="E1293">
        <v>50</v>
      </c>
      <c r="F1293">
        <v>43.783199310000001</v>
      </c>
      <c r="G1293">
        <v>1388.340332</v>
      </c>
      <c r="H1293">
        <v>1372.8859863</v>
      </c>
      <c r="I1293">
        <v>1278.5761719</v>
      </c>
      <c r="J1293">
        <v>1255.3636475000001</v>
      </c>
      <c r="K1293">
        <v>2750</v>
      </c>
      <c r="L1293">
        <v>0</v>
      </c>
      <c r="M1293">
        <v>0</v>
      </c>
      <c r="N1293">
        <v>2750</v>
      </c>
    </row>
    <row r="1294" spans="1:14" x14ac:dyDescent="0.25">
      <c r="A1294">
        <v>824.44187599999998</v>
      </c>
      <c r="B1294" s="1">
        <f>DATE(2012,8,2) + TIME(10,36,18)</f>
        <v>41123.441874999997</v>
      </c>
      <c r="C1294">
        <v>80</v>
      </c>
      <c r="D1294">
        <v>79.956199646000002</v>
      </c>
      <c r="E1294">
        <v>50</v>
      </c>
      <c r="F1294">
        <v>43.702350615999997</v>
      </c>
      <c r="G1294">
        <v>1388.2945557</v>
      </c>
      <c r="H1294">
        <v>1372.8459473</v>
      </c>
      <c r="I1294">
        <v>1278.5095214999999</v>
      </c>
      <c r="J1294">
        <v>1255.2535399999999</v>
      </c>
      <c r="K1294">
        <v>2750</v>
      </c>
      <c r="L1294">
        <v>0</v>
      </c>
      <c r="M1294">
        <v>0</v>
      </c>
      <c r="N1294">
        <v>2750</v>
      </c>
    </row>
    <row r="1295" spans="1:14" x14ac:dyDescent="0.25">
      <c r="A1295">
        <v>825.91426200000001</v>
      </c>
      <c r="B1295" s="1">
        <f>DATE(2012,8,3) + TIME(21,56,32)</f>
        <v>41124.914259259262</v>
      </c>
      <c r="C1295">
        <v>80</v>
      </c>
      <c r="D1295">
        <v>79.956230164000004</v>
      </c>
      <c r="E1295">
        <v>50</v>
      </c>
      <c r="F1295">
        <v>43.613510132000002</v>
      </c>
      <c r="G1295">
        <v>1388.2290039</v>
      </c>
      <c r="H1295">
        <v>1372.7883300999999</v>
      </c>
      <c r="I1295">
        <v>1278.4156493999999</v>
      </c>
      <c r="J1295">
        <v>1255.1094971</v>
      </c>
      <c r="K1295">
        <v>2750</v>
      </c>
      <c r="L1295">
        <v>0</v>
      </c>
      <c r="M1295">
        <v>0</v>
      </c>
      <c r="N1295">
        <v>2750</v>
      </c>
    </row>
    <row r="1296" spans="1:14" x14ac:dyDescent="0.25">
      <c r="A1296">
        <v>827.40971100000002</v>
      </c>
      <c r="B1296" s="1">
        <f>DATE(2012,8,5) + TIME(9,49,59)</f>
        <v>41126.409710648149</v>
      </c>
      <c r="C1296">
        <v>80</v>
      </c>
      <c r="D1296">
        <v>79.956260681000003</v>
      </c>
      <c r="E1296">
        <v>50</v>
      </c>
      <c r="F1296">
        <v>43.520591736</v>
      </c>
      <c r="G1296">
        <v>1388.1624756000001</v>
      </c>
      <c r="H1296">
        <v>1372.7298584</v>
      </c>
      <c r="I1296">
        <v>1278.3182373</v>
      </c>
      <c r="J1296">
        <v>1254.958374</v>
      </c>
      <c r="K1296">
        <v>2750</v>
      </c>
      <c r="L1296">
        <v>0</v>
      </c>
      <c r="M1296">
        <v>0</v>
      </c>
      <c r="N1296">
        <v>2750</v>
      </c>
    </row>
    <row r="1297" spans="1:14" x14ac:dyDescent="0.25">
      <c r="A1297">
        <v>828.93178999999998</v>
      </c>
      <c r="B1297" s="1">
        <f>DATE(2012,8,6) + TIME(22,21,46)</f>
        <v>41127.93178240741</v>
      </c>
      <c r="C1297">
        <v>80</v>
      </c>
      <c r="D1297">
        <v>79.956291199000006</v>
      </c>
      <c r="E1297">
        <v>50</v>
      </c>
      <c r="F1297">
        <v>43.425075530999997</v>
      </c>
      <c r="G1297">
        <v>1388.0957031</v>
      </c>
      <c r="H1297">
        <v>1372.6710204999999</v>
      </c>
      <c r="I1297">
        <v>1278.2178954999999</v>
      </c>
      <c r="J1297">
        <v>1254.802124</v>
      </c>
      <c r="K1297">
        <v>2750</v>
      </c>
      <c r="L1297">
        <v>0</v>
      </c>
      <c r="M1297">
        <v>0</v>
      </c>
      <c r="N1297">
        <v>2750</v>
      </c>
    </row>
    <row r="1298" spans="1:14" x14ac:dyDescent="0.25">
      <c r="A1298">
        <v>830.47045100000003</v>
      </c>
      <c r="B1298" s="1">
        <f>DATE(2012,8,8) + TIME(11,17,26)</f>
        <v>41129.470439814817</v>
      </c>
      <c r="C1298">
        <v>80</v>
      </c>
      <c r="D1298">
        <v>79.956321716000005</v>
      </c>
      <c r="E1298">
        <v>50</v>
      </c>
      <c r="F1298">
        <v>43.327644348</v>
      </c>
      <c r="G1298">
        <v>1388.0283202999999</v>
      </c>
      <c r="H1298">
        <v>1372.6116943</v>
      </c>
      <c r="I1298">
        <v>1278.1148682</v>
      </c>
      <c r="J1298">
        <v>1254.6407471</v>
      </c>
      <c r="K1298">
        <v>2750</v>
      </c>
      <c r="L1298">
        <v>0</v>
      </c>
      <c r="M1298">
        <v>0</v>
      </c>
      <c r="N1298">
        <v>2750</v>
      </c>
    </row>
    <row r="1299" spans="1:14" x14ac:dyDescent="0.25">
      <c r="A1299">
        <v>832.03005700000006</v>
      </c>
      <c r="B1299" s="1">
        <f>DATE(2012,8,10) + TIME(0,43,16)</f>
        <v>41131.030046296299</v>
      </c>
      <c r="C1299">
        <v>80</v>
      </c>
      <c r="D1299">
        <v>79.956352233999993</v>
      </c>
      <c r="E1299">
        <v>50</v>
      </c>
      <c r="F1299">
        <v>43.228683472</v>
      </c>
      <c r="G1299">
        <v>1387.9609375</v>
      </c>
      <c r="H1299">
        <v>1372.5523682</v>
      </c>
      <c r="I1299">
        <v>1278.0097656</v>
      </c>
      <c r="J1299">
        <v>1254.4752197</v>
      </c>
      <c r="K1299">
        <v>2750</v>
      </c>
      <c r="L1299">
        <v>0</v>
      </c>
      <c r="M1299">
        <v>0</v>
      </c>
      <c r="N1299">
        <v>2750</v>
      </c>
    </row>
    <row r="1300" spans="1:14" x14ac:dyDescent="0.25">
      <c r="A1300">
        <v>833.60325999999998</v>
      </c>
      <c r="B1300" s="1">
        <f>DATE(2012,8,11) + TIME(14,28,41)</f>
        <v>41132.603252314817</v>
      </c>
      <c r="C1300">
        <v>80</v>
      </c>
      <c r="D1300">
        <v>79.956390381000006</v>
      </c>
      <c r="E1300">
        <v>50</v>
      </c>
      <c r="F1300">
        <v>43.128425598</v>
      </c>
      <c r="G1300">
        <v>1387.8934326000001</v>
      </c>
      <c r="H1300">
        <v>1372.4925536999999</v>
      </c>
      <c r="I1300">
        <v>1277.9022216999999</v>
      </c>
      <c r="J1300">
        <v>1254.3054199000001</v>
      </c>
      <c r="K1300">
        <v>2750</v>
      </c>
      <c r="L1300">
        <v>0</v>
      </c>
      <c r="M1300">
        <v>0</v>
      </c>
      <c r="N1300">
        <v>2750</v>
      </c>
    </row>
    <row r="1301" spans="1:14" x14ac:dyDescent="0.25">
      <c r="A1301">
        <v>835.19316600000002</v>
      </c>
      <c r="B1301" s="1">
        <f>DATE(2012,8,13) + TIME(4,38,9)</f>
        <v>41134.193159722221</v>
      </c>
      <c r="C1301">
        <v>80</v>
      </c>
      <c r="D1301">
        <v>79.956420898000005</v>
      </c>
      <c r="E1301">
        <v>50</v>
      </c>
      <c r="F1301">
        <v>43.027088165000002</v>
      </c>
      <c r="G1301">
        <v>1387.8259277</v>
      </c>
      <c r="H1301">
        <v>1372.4328613</v>
      </c>
      <c r="I1301">
        <v>1277.7930908000001</v>
      </c>
      <c r="J1301">
        <v>1254.1320800999999</v>
      </c>
      <c r="K1301">
        <v>2750</v>
      </c>
      <c r="L1301">
        <v>0</v>
      </c>
      <c r="M1301">
        <v>0</v>
      </c>
      <c r="N1301">
        <v>2750</v>
      </c>
    </row>
    <row r="1302" spans="1:14" x14ac:dyDescent="0.25">
      <c r="A1302">
        <v>836.79191100000003</v>
      </c>
      <c r="B1302" s="1">
        <f>DATE(2012,8,14) + TIME(19,0,21)</f>
        <v>41135.791909722226</v>
      </c>
      <c r="C1302">
        <v>80</v>
      </c>
      <c r="D1302">
        <v>79.956451415999993</v>
      </c>
      <c r="E1302">
        <v>50</v>
      </c>
      <c r="F1302">
        <v>42.924903870000001</v>
      </c>
      <c r="G1302">
        <v>1387.7584228999999</v>
      </c>
      <c r="H1302">
        <v>1372.3730469</v>
      </c>
      <c r="I1302">
        <v>1277.6818848</v>
      </c>
      <c r="J1302">
        <v>1253.9549560999999</v>
      </c>
      <c r="K1302">
        <v>2750</v>
      </c>
      <c r="L1302">
        <v>0</v>
      </c>
      <c r="M1302">
        <v>0</v>
      </c>
      <c r="N1302">
        <v>2750</v>
      </c>
    </row>
    <row r="1303" spans="1:14" x14ac:dyDescent="0.25">
      <c r="A1303">
        <v>838.40483500000005</v>
      </c>
      <c r="B1303" s="1">
        <f>DATE(2012,8,16) + TIME(9,42,57)</f>
        <v>41137.404826388891</v>
      </c>
      <c r="C1303">
        <v>80</v>
      </c>
      <c r="D1303">
        <v>79.956489563000005</v>
      </c>
      <c r="E1303">
        <v>50</v>
      </c>
      <c r="F1303">
        <v>42.822074890000003</v>
      </c>
      <c r="G1303">
        <v>1387.6910399999999</v>
      </c>
      <c r="H1303">
        <v>1372.3134766000001</v>
      </c>
      <c r="I1303">
        <v>1277.5695800999999</v>
      </c>
      <c r="J1303">
        <v>1253.7750243999999</v>
      </c>
      <c r="K1303">
        <v>2750</v>
      </c>
      <c r="L1303">
        <v>0</v>
      </c>
      <c r="M1303">
        <v>0</v>
      </c>
      <c r="N1303">
        <v>2750</v>
      </c>
    </row>
    <row r="1304" spans="1:14" x14ac:dyDescent="0.25">
      <c r="A1304">
        <v>840.03611100000001</v>
      </c>
      <c r="B1304" s="1">
        <f>DATE(2012,8,18) + TIME(0,51,59)</f>
        <v>41139.036099537036</v>
      </c>
      <c r="C1304">
        <v>80</v>
      </c>
      <c r="D1304">
        <v>79.956520080999994</v>
      </c>
      <c r="E1304">
        <v>50</v>
      </c>
      <c r="F1304">
        <v>42.718555449999997</v>
      </c>
      <c r="G1304">
        <v>1387.6239014</v>
      </c>
      <c r="H1304">
        <v>1372.2537841999999</v>
      </c>
      <c r="I1304">
        <v>1277.4556885</v>
      </c>
      <c r="J1304">
        <v>1253.5917969</v>
      </c>
      <c r="K1304">
        <v>2750</v>
      </c>
      <c r="L1304">
        <v>0</v>
      </c>
      <c r="M1304">
        <v>0</v>
      </c>
      <c r="N1304">
        <v>2750</v>
      </c>
    </row>
    <row r="1305" spans="1:14" x14ac:dyDescent="0.25">
      <c r="A1305">
        <v>841.69010400000002</v>
      </c>
      <c r="B1305" s="1">
        <f>DATE(2012,8,19) + TIME(16,33,44)</f>
        <v>41140.690092592595</v>
      </c>
      <c r="C1305">
        <v>80</v>
      </c>
      <c r="D1305">
        <v>79.956558228000006</v>
      </c>
      <c r="E1305">
        <v>50</v>
      </c>
      <c r="F1305">
        <v>42.614234924000002</v>
      </c>
      <c r="G1305">
        <v>1387.5565185999999</v>
      </c>
      <c r="H1305">
        <v>1372.1938477000001</v>
      </c>
      <c r="I1305">
        <v>1277.3400879000001</v>
      </c>
      <c r="J1305">
        <v>1253.4050293</v>
      </c>
      <c r="K1305">
        <v>2750</v>
      </c>
      <c r="L1305">
        <v>0</v>
      </c>
      <c r="M1305">
        <v>0</v>
      </c>
      <c r="N1305">
        <v>2750</v>
      </c>
    </row>
    <row r="1306" spans="1:14" x14ac:dyDescent="0.25">
      <c r="A1306">
        <v>843.36493800000005</v>
      </c>
      <c r="B1306" s="1">
        <f>DATE(2012,8,21) + TIME(8,45,30)</f>
        <v>41142.364930555559</v>
      </c>
      <c r="C1306">
        <v>80</v>
      </c>
      <c r="D1306">
        <v>79.956596375000004</v>
      </c>
      <c r="E1306">
        <v>50</v>
      </c>
      <c r="F1306">
        <v>42.509128570999998</v>
      </c>
      <c r="G1306">
        <v>1387.4888916</v>
      </c>
      <c r="H1306">
        <v>1372.1336670000001</v>
      </c>
      <c r="I1306">
        <v>1277.2225341999999</v>
      </c>
      <c r="J1306">
        <v>1253.2144774999999</v>
      </c>
      <c r="K1306">
        <v>2750</v>
      </c>
      <c r="L1306">
        <v>0</v>
      </c>
      <c r="M1306">
        <v>0</v>
      </c>
      <c r="N1306">
        <v>2750</v>
      </c>
    </row>
    <row r="1307" spans="1:14" x14ac:dyDescent="0.25">
      <c r="A1307">
        <v>845.05801599999995</v>
      </c>
      <c r="B1307" s="1">
        <f>DATE(2012,8,23) + TIME(1,23,32)</f>
        <v>41144.058009259257</v>
      </c>
      <c r="C1307">
        <v>80</v>
      </c>
      <c r="D1307">
        <v>79.956634520999998</v>
      </c>
      <c r="E1307">
        <v>50</v>
      </c>
      <c r="F1307">
        <v>42.403450012</v>
      </c>
      <c r="G1307">
        <v>1387.4210204999999</v>
      </c>
      <c r="H1307">
        <v>1372.0731201000001</v>
      </c>
      <c r="I1307">
        <v>1277.1033935999999</v>
      </c>
      <c r="J1307">
        <v>1253.0202637</v>
      </c>
      <c r="K1307">
        <v>2750</v>
      </c>
      <c r="L1307">
        <v>0</v>
      </c>
      <c r="M1307">
        <v>0</v>
      </c>
      <c r="N1307">
        <v>2750</v>
      </c>
    </row>
    <row r="1308" spans="1:14" x14ac:dyDescent="0.25">
      <c r="A1308">
        <v>846.77414599999997</v>
      </c>
      <c r="B1308" s="1">
        <f>DATE(2012,8,24) + TIME(18,34,46)</f>
        <v>41145.774143518516</v>
      </c>
      <c r="C1308">
        <v>80</v>
      </c>
      <c r="D1308">
        <v>79.956672667999996</v>
      </c>
      <c r="E1308">
        <v>50</v>
      </c>
      <c r="F1308">
        <v>42.297370911000002</v>
      </c>
      <c r="G1308">
        <v>1387.3530272999999</v>
      </c>
      <c r="H1308">
        <v>1372.0124512</v>
      </c>
      <c r="I1308">
        <v>1276.9829102000001</v>
      </c>
      <c r="J1308">
        <v>1252.8229980000001</v>
      </c>
      <c r="K1308">
        <v>2750</v>
      </c>
      <c r="L1308">
        <v>0</v>
      </c>
      <c r="M1308">
        <v>0</v>
      </c>
      <c r="N1308">
        <v>2750</v>
      </c>
    </row>
    <row r="1309" spans="1:14" x14ac:dyDescent="0.25">
      <c r="A1309">
        <v>848.51580799999999</v>
      </c>
      <c r="B1309" s="1">
        <f>DATE(2012,8,26) + TIME(12,22,45)</f>
        <v>41147.515798611108</v>
      </c>
      <c r="C1309">
        <v>80</v>
      </c>
      <c r="D1309">
        <v>79.956710814999994</v>
      </c>
      <c r="E1309">
        <v>50</v>
      </c>
      <c r="F1309">
        <v>42.190914153999998</v>
      </c>
      <c r="G1309">
        <v>1387.284668</v>
      </c>
      <c r="H1309">
        <v>1371.9514160000001</v>
      </c>
      <c r="I1309">
        <v>1276.8608397999999</v>
      </c>
      <c r="J1309">
        <v>1252.6223144999999</v>
      </c>
      <c r="K1309">
        <v>2750</v>
      </c>
      <c r="L1309">
        <v>0</v>
      </c>
      <c r="M1309">
        <v>0</v>
      </c>
      <c r="N1309">
        <v>2750</v>
      </c>
    </row>
    <row r="1310" spans="1:14" x14ac:dyDescent="0.25">
      <c r="A1310">
        <v>850.26951499999996</v>
      </c>
      <c r="B1310" s="1">
        <f>DATE(2012,8,28) + TIME(6,28,6)</f>
        <v>41149.269513888888</v>
      </c>
      <c r="C1310">
        <v>80</v>
      </c>
      <c r="D1310">
        <v>79.956748962000006</v>
      </c>
      <c r="E1310">
        <v>50</v>
      </c>
      <c r="F1310">
        <v>42.084442138999997</v>
      </c>
      <c r="G1310">
        <v>1387.2159423999999</v>
      </c>
      <c r="H1310">
        <v>1371.8898925999999</v>
      </c>
      <c r="I1310">
        <v>1276.7373047000001</v>
      </c>
      <c r="J1310">
        <v>1252.4183350000001</v>
      </c>
      <c r="K1310">
        <v>2750</v>
      </c>
      <c r="L1310">
        <v>0</v>
      </c>
      <c r="M1310">
        <v>0</v>
      </c>
      <c r="N1310">
        <v>2750</v>
      </c>
    </row>
    <row r="1311" spans="1:14" x14ac:dyDescent="0.25">
      <c r="A1311">
        <v>852.03974300000004</v>
      </c>
      <c r="B1311" s="1">
        <f>DATE(2012,8,30) + TIME(0,57,13)</f>
        <v>41151.039733796293</v>
      </c>
      <c r="C1311">
        <v>80</v>
      </c>
      <c r="D1311">
        <v>79.956787109000004</v>
      </c>
      <c r="E1311">
        <v>50</v>
      </c>
      <c r="F1311">
        <v>41.978485106999997</v>
      </c>
      <c r="G1311">
        <v>1387.1472168</v>
      </c>
      <c r="H1311">
        <v>1371.8283690999999</v>
      </c>
      <c r="I1311">
        <v>1276.6132812000001</v>
      </c>
      <c r="J1311">
        <v>1252.2126464999999</v>
      </c>
      <c r="K1311">
        <v>2750</v>
      </c>
      <c r="L1311">
        <v>0</v>
      </c>
      <c r="M1311">
        <v>0</v>
      </c>
      <c r="N1311">
        <v>2750</v>
      </c>
    </row>
    <row r="1312" spans="1:14" x14ac:dyDescent="0.25">
      <c r="A1312">
        <v>853.83233700000005</v>
      </c>
      <c r="B1312" s="1">
        <f>DATE(2012,8,31) + TIME(19,58,33)</f>
        <v>41152.832326388889</v>
      </c>
      <c r="C1312">
        <v>80</v>
      </c>
      <c r="D1312">
        <v>79.956825256000002</v>
      </c>
      <c r="E1312">
        <v>50</v>
      </c>
      <c r="F1312">
        <v>41.873207092000001</v>
      </c>
      <c r="G1312">
        <v>1387.0784911999999</v>
      </c>
      <c r="H1312">
        <v>1371.7667236</v>
      </c>
      <c r="I1312">
        <v>1276.4887695</v>
      </c>
      <c r="J1312">
        <v>1252.0050048999999</v>
      </c>
      <c r="K1312">
        <v>2750</v>
      </c>
      <c r="L1312">
        <v>0</v>
      </c>
      <c r="M1312">
        <v>0</v>
      </c>
      <c r="N1312">
        <v>2750</v>
      </c>
    </row>
    <row r="1313" spans="1:14" x14ac:dyDescent="0.25">
      <c r="A1313">
        <v>854</v>
      </c>
      <c r="B1313" s="1">
        <f>DATE(2012,9,1) + TIME(0,0,0)</f>
        <v>41153</v>
      </c>
      <c r="C1313">
        <v>80</v>
      </c>
      <c r="D1313">
        <v>79.956817627000007</v>
      </c>
      <c r="E1313">
        <v>50</v>
      </c>
      <c r="F1313">
        <v>41.846382140999999</v>
      </c>
      <c r="G1313">
        <v>1387.0131836</v>
      </c>
      <c r="H1313">
        <v>1371.708374</v>
      </c>
      <c r="I1313">
        <v>1276.3782959</v>
      </c>
      <c r="J1313">
        <v>1251.8538818</v>
      </c>
      <c r="K1313">
        <v>2750</v>
      </c>
      <c r="L1313">
        <v>0</v>
      </c>
      <c r="M1313">
        <v>0</v>
      </c>
      <c r="N1313">
        <v>2750</v>
      </c>
    </row>
    <row r="1314" spans="1:14" x14ac:dyDescent="0.25">
      <c r="A1314">
        <v>855.81460400000003</v>
      </c>
      <c r="B1314" s="1">
        <f>DATE(2012,9,2) + TIME(19,33,1)</f>
        <v>41154.81459490741</v>
      </c>
      <c r="C1314">
        <v>80</v>
      </c>
      <c r="D1314">
        <v>79.956871032999999</v>
      </c>
      <c r="E1314">
        <v>50</v>
      </c>
      <c r="F1314">
        <v>41.754177093999999</v>
      </c>
      <c r="G1314">
        <v>1387.0026855000001</v>
      </c>
      <c r="H1314">
        <v>1371.6986084</v>
      </c>
      <c r="I1314">
        <v>1276.3496094</v>
      </c>
      <c r="J1314">
        <v>1251.7696533000001</v>
      </c>
      <c r="K1314">
        <v>2750</v>
      </c>
      <c r="L1314">
        <v>0</v>
      </c>
      <c r="M1314">
        <v>0</v>
      </c>
      <c r="N1314">
        <v>2750</v>
      </c>
    </row>
    <row r="1315" spans="1:14" x14ac:dyDescent="0.25">
      <c r="A1315">
        <v>857.64480600000002</v>
      </c>
      <c r="B1315" s="1">
        <f>DATE(2012,9,4) + TIME(15,28,31)</f>
        <v>41156.644803240742</v>
      </c>
      <c r="C1315">
        <v>80</v>
      </c>
      <c r="D1315">
        <v>79.956909179999997</v>
      </c>
      <c r="E1315">
        <v>50</v>
      </c>
      <c r="F1315">
        <v>41.654800414999997</v>
      </c>
      <c r="G1315">
        <v>1386.9338379000001</v>
      </c>
      <c r="H1315">
        <v>1371.6367187999999</v>
      </c>
      <c r="I1315">
        <v>1276.2260742000001</v>
      </c>
      <c r="J1315">
        <v>1251.5632324000001</v>
      </c>
      <c r="K1315">
        <v>2750</v>
      </c>
      <c r="L1315">
        <v>0</v>
      </c>
      <c r="M1315">
        <v>0</v>
      </c>
      <c r="N1315">
        <v>2750</v>
      </c>
    </row>
    <row r="1316" spans="1:14" x14ac:dyDescent="0.25">
      <c r="A1316">
        <v>859.49155499999995</v>
      </c>
      <c r="B1316" s="1">
        <f>DATE(2012,9,6) + TIME(11,47,50)</f>
        <v>41158.491550925923</v>
      </c>
      <c r="C1316">
        <v>80</v>
      </c>
      <c r="D1316">
        <v>79.956954956000004</v>
      </c>
      <c r="E1316">
        <v>50</v>
      </c>
      <c r="F1316">
        <v>41.554786682</v>
      </c>
      <c r="G1316">
        <v>1386.8645019999999</v>
      </c>
      <c r="H1316">
        <v>1371.5742187999999</v>
      </c>
      <c r="I1316">
        <v>1276.1014404</v>
      </c>
      <c r="J1316">
        <v>1251.3530272999999</v>
      </c>
      <c r="K1316">
        <v>2750</v>
      </c>
      <c r="L1316">
        <v>0</v>
      </c>
      <c r="M1316">
        <v>0</v>
      </c>
      <c r="N1316">
        <v>2750</v>
      </c>
    </row>
    <row r="1317" spans="1:14" x14ac:dyDescent="0.25">
      <c r="A1317">
        <v>861.36002199999996</v>
      </c>
      <c r="B1317" s="1">
        <f>DATE(2012,9,8) + TIME(8,38,25)</f>
        <v>41160.360011574077</v>
      </c>
      <c r="C1317">
        <v>80</v>
      </c>
      <c r="D1317">
        <v>79.956993103000002</v>
      </c>
      <c r="E1317">
        <v>50</v>
      </c>
      <c r="F1317">
        <v>41.456314087000003</v>
      </c>
      <c r="G1317">
        <v>1386.7951660000001</v>
      </c>
      <c r="H1317">
        <v>1371.5117187999999</v>
      </c>
      <c r="I1317">
        <v>1275.9769286999999</v>
      </c>
      <c r="J1317">
        <v>1251.1417236</v>
      </c>
      <c r="K1317">
        <v>2750</v>
      </c>
      <c r="L1317">
        <v>0</v>
      </c>
      <c r="M1317">
        <v>0</v>
      </c>
      <c r="N1317">
        <v>2750</v>
      </c>
    </row>
    <row r="1318" spans="1:14" x14ac:dyDescent="0.25">
      <c r="A1318">
        <v>863.247254</v>
      </c>
      <c r="B1318" s="1">
        <f>DATE(2012,9,10) + TIME(5,56,2)</f>
        <v>41162.247245370374</v>
      </c>
      <c r="C1318">
        <v>80</v>
      </c>
      <c r="D1318">
        <v>79.957038878999995</v>
      </c>
      <c r="E1318">
        <v>50</v>
      </c>
      <c r="F1318">
        <v>41.360332489000001</v>
      </c>
      <c r="G1318">
        <v>1386.7254639</v>
      </c>
      <c r="H1318">
        <v>1371.4487305</v>
      </c>
      <c r="I1318">
        <v>1275.8529053</v>
      </c>
      <c r="J1318">
        <v>1250.9302978999999</v>
      </c>
      <c r="K1318">
        <v>2750</v>
      </c>
      <c r="L1318">
        <v>0</v>
      </c>
      <c r="M1318">
        <v>0</v>
      </c>
      <c r="N1318">
        <v>2750</v>
      </c>
    </row>
    <row r="1319" spans="1:14" x14ac:dyDescent="0.25">
      <c r="A1319">
        <v>865.15104299999996</v>
      </c>
      <c r="B1319" s="1">
        <f>DATE(2012,9,12) + TIME(3,37,30)</f>
        <v>41164.151041666664</v>
      </c>
      <c r="C1319">
        <v>80</v>
      </c>
      <c r="D1319">
        <v>79.957084656000006</v>
      </c>
      <c r="E1319">
        <v>50</v>
      </c>
      <c r="F1319">
        <v>41.267631530999999</v>
      </c>
      <c r="G1319">
        <v>1386.6556396000001</v>
      </c>
      <c r="H1319">
        <v>1371.3856201000001</v>
      </c>
      <c r="I1319">
        <v>1275.7298584</v>
      </c>
      <c r="J1319">
        <v>1250.7194824000001</v>
      </c>
      <c r="K1319">
        <v>2750</v>
      </c>
      <c r="L1319">
        <v>0</v>
      </c>
      <c r="M1319">
        <v>0</v>
      </c>
      <c r="N1319">
        <v>2750</v>
      </c>
    </row>
    <row r="1320" spans="1:14" x14ac:dyDescent="0.25">
      <c r="A1320">
        <v>867.07629299999996</v>
      </c>
      <c r="B1320" s="1">
        <f>DATE(2012,9,14) + TIME(1,49,51)</f>
        <v>41166.076284722221</v>
      </c>
      <c r="C1320">
        <v>80</v>
      </c>
      <c r="D1320">
        <v>79.957130432</v>
      </c>
      <c r="E1320">
        <v>50</v>
      </c>
      <c r="F1320">
        <v>41.178874968999999</v>
      </c>
      <c r="G1320">
        <v>1386.5856934000001</v>
      </c>
      <c r="H1320">
        <v>1371.3222656</v>
      </c>
      <c r="I1320">
        <v>1275.6082764</v>
      </c>
      <c r="J1320">
        <v>1250.510376</v>
      </c>
      <c r="K1320">
        <v>2750</v>
      </c>
      <c r="L1320">
        <v>0</v>
      </c>
      <c r="M1320">
        <v>0</v>
      </c>
      <c r="N1320">
        <v>2750</v>
      </c>
    </row>
    <row r="1321" spans="1:14" x14ac:dyDescent="0.25">
      <c r="A1321">
        <v>868.05219899999997</v>
      </c>
      <c r="B1321" s="1">
        <f>DATE(2012,9,15) + TIME(1,15,10)</f>
        <v>41167.052199074074</v>
      </c>
      <c r="C1321">
        <v>80</v>
      </c>
      <c r="D1321">
        <v>79.957138061999999</v>
      </c>
      <c r="E1321">
        <v>50</v>
      </c>
      <c r="F1321">
        <v>41.112922668000003</v>
      </c>
      <c r="G1321">
        <v>1386.5153809000001</v>
      </c>
      <c r="H1321">
        <v>1371.2585449000001</v>
      </c>
      <c r="I1321">
        <v>1275.4935303</v>
      </c>
      <c r="J1321">
        <v>1250.3204346</v>
      </c>
      <c r="K1321">
        <v>2750</v>
      </c>
      <c r="L1321">
        <v>0</v>
      </c>
      <c r="M1321">
        <v>0</v>
      </c>
      <c r="N1321">
        <v>2750</v>
      </c>
    </row>
    <row r="1322" spans="1:14" x14ac:dyDescent="0.25">
      <c r="A1322">
        <v>869.02810499999998</v>
      </c>
      <c r="B1322" s="1">
        <f>DATE(2012,9,16) + TIME(0,40,28)</f>
        <v>41168.028101851851</v>
      </c>
      <c r="C1322">
        <v>80</v>
      </c>
      <c r="D1322">
        <v>79.957160950000002</v>
      </c>
      <c r="E1322">
        <v>50</v>
      </c>
      <c r="F1322">
        <v>41.062477112000003</v>
      </c>
      <c r="G1322">
        <v>1386.4794922000001</v>
      </c>
      <c r="H1322">
        <v>1371.2258300999999</v>
      </c>
      <c r="I1322">
        <v>1275.4288329999999</v>
      </c>
      <c r="J1322">
        <v>1250.2039795000001</v>
      </c>
      <c r="K1322">
        <v>2750</v>
      </c>
      <c r="L1322">
        <v>0</v>
      </c>
      <c r="M1322">
        <v>0</v>
      </c>
      <c r="N1322">
        <v>2750</v>
      </c>
    </row>
    <row r="1323" spans="1:14" x14ac:dyDescent="0.25">
      <c r="A1323">
        <v>870.00401099999999</v>
      </c>
      <c r="B1323" s="1">
        <f>DATE(2012,9,17) + TIME(0,5,46)</f>
        <v>41169.004004629627</v>
      </c>
      <c r="C1323">
        <v>80</v>
      </c>
      <c r="D1323">
        <v>79.957183838000006</v>
      </c>
      <c r="E1323">
        <v>50</v>
      </c>
      <c r="F1323">
        <v>41.019767760999997</v>
      </c>
      <c r="G1323">
        <v>1386.4442139</v>
      </c>
      <c r="H1323">
        <v>1371.1937256000001</v>
      </c>
      <c r="I1323">
        <v>1275.3682861</v>
      </c>
      <c r="J1323">
        <v>1250.0968018000001</v>
      </c>
      <c r="K1323">
        <v>2750</v>
      </c>
      <c r="L1323">
        <v>0</v>
      </c>
      <c r="M1323">
        <v>0</v>
      </c>
      <c r="N1323">
        <v>2750</v>
      </c>
    </row>
    <row r="1324" spans="1:14" x14ac:dyDescent="0.25">
      <c r="A1324">
        <v>870.979917</v>
      </c>
      <c r="B1324" s="1">
        <f>DATE(2012,9,17) + TIME(23,31,4)</f>
        <v>41169.979907407411</v>
      </c>
      <c r="C1324">
        <v>80</v>
      </c>
      <c r="D1324">
        <v>79.957206725999995</v>
      </c>
      <c r="E1324">
        <v>50</v>
      </c>
      <c r="F1324">
        <v>40.981452941999997</v>
      </c>
      <c r="G1324">
        <v>1386.4090576000001</v>
      </c>
      <c r="H1324">
        <v>1371.1617432</v>
      </c>
      <c r="I1324">
        <v>1275.3098144999999</v>
      </c>
      <c r="J1324">
        <v>1249.9943848</v>
      </c>
      <c r="K1324">
        <v>2750</v>
      </c>
      <c r="L1324">
        <v>0</v>
      </c>
      <c r="M1324">
        <v>0</v>
      </c>
      <c r="N1324">
        <v>2750</v>
      </c>
    </row>
    <row r="1325" spans="1:14" x14ac:dyDescent="0.25">
      <c r="A1325">
        <v>871.95582300000001</v>
      </c>
      <c r="B1325" s="1">
        <f>DATE(2012,9,18) + TIME(22,56,23)</f>
        <v>41170.955821759257</v>
      </c>
      <c r="C1325">
        <v>80</v>
      </c>
      <c r="D1325">
        <v>79.957229613999999</v>
      </c>
      <c r="E1325">
        <v>50</v>
      </c>
      <c r="F1325">
        <v>40.946132660000004</v>
      </c>
      <c r="G1325">
        <v>1386.3739014</v>
      </c>
      <c r="H1325">
        <v>1371.1298827999999</v>
      </c>
      <c r="I1325">
        <v>1275.2529297000001</v>
      </c>
      <c r="J1325">
        <v>1249.8950195</v>
      </c>
      <c r="K1325">
        <v>2750</v>
      </c>
      <c r="L1325">
        <v>0</v>
      </c>
      <c r="M1325">
        <v>0</v>
      </c>
      <c r="N1325">
        <v>2750</v>
      </c>
    </row>
    <row r="1326" spans="1:14" x14ac:dyDescent="0.25">
      <c r="A1326">
        <v>872.93172900000002</v>
      </c>
      <c r="B1326" s="1">
        <f>DATE(2012,9,19) + TIME(22,21,41)</f>
        <v>41171.93172453704</v>
      </c>
      <c r="C1326">
        <v>80</v>
      </c>
      <c r="D1326">
        <v>79.957252502000003</v>
      </c>
      <c r="E1326">
        <v>50</v>
      </c>
      <c r="F1326">
        <v>40.913246155000003</v>
      </c>
      <c r="G1326">
        <v>1386.3389893000001</v>
      </c>
      <c r="H1326">
        <v>1371.0980225000001</v>
      </c>
      <c r="I1326">
        <v>1275.1971435999999</v>
      </c>
      <c r="J1326">
        <v>1249.7978516000001</v>
      </c>
      <c r="K1326">
        <v>2750</v>
      </c>
      <c r="L1326">
        <v>0</v>
      </c>
      <c r="M1326">
        <v>0</v>
      </c>
      <c r="N1326">
        <v>2750</v>
      </c>
    </row>
    <row r="1327" spans="1:14" x14ac:dyDescent="0.25">
      <c r="A1327">
        <v>873.90763500000003</v>
      </c>
      <c r="B1327" s="1">
        <f>DATE(2012,9,20) + TIME(21,46,59)</f>
        <v>41172.907627314817</v>
      </c>
      <c r="C1327">
        <v>80</v>
      </c>
      <c r="D1327">
        <v>79.957275390999996</v>
      </c>
      <c r="E1327">
        <v>50</v>
      </c>
      <c r="F1327">
        <v>40.882595062</v>
      </c>
      <c r="G1327">
        <v>1386.3041992000001</v>
      </c>
      <c r="H1327">
        <v>1371.0662841999999</v>
      </c>
      <c r="I1327">
        <v>1275.1425781</v>
      </c>
      <c r="J1327">
        <v>1249.7026367000001</v>
      </c>
      <c r="K1327">
        <v>2750</v>
      </c>
      <c r="L1327">
        <v>0</v>
      </c>
      <c r="M1327">
        <v>0</v>
      </c>
      <c r="N1327">
        <v>2750</v>
      </c>
    </row>
    <row r="1328" spans="1:14" x14ac:dyDescent="0.25">
      <c r="A1328">
        <v>874.88354100000004</v>
      </c>
      <c r="B1328" s="1">
        <f>DATE(2012,9,21) + TIME(21,12,17)</f>
        <v>41173.883530092593</v>
      </c>
      <c r="C1328">
        <v>80</v>
      </c>
      <c r="D1328">
        <v>79.957298279</v>
      </c>
      <c r="E1328">
        <v>50</v>
      </c>
      <c r="F1328">
        <v>40.854129790999998</v>
      </c>
      <c r="G1328">
        <v>1386.2694091999999</v>
      </c>
      <c r="H1328">
        <v>1371.034668</v>
      </c>
      <c r="I1328">
        <v>1275.0889893000001</v>
      </c>
      <c r="J1328">
        <v>1249.6092529</v>
      </c>
      <c r="K1328">
        <v>2750</v>
      </c>
      <c r="L1328">
        <v>0</v>
      </c>
      <c r="M1328">
        <v>0</v>
      </c>
      <c r="N1328">
        <v>2750</v>
      </c>
    </row>
    <row r="1329" spans="1:14" x14ac:dyDescent="0.25">
      <c r="A1329">
        <v>876.83535199999994</v>
      </c>
      <c r="B1329" s="1">
        <f>DATE(2012,9,23) + TIME(20,2,54)</f>
        <v>41175.835347222222</v>
      </c>
      <c r="C1329">
        <v>80</v>
      </c>
      <c r="D1329">
        <v>79.957351685000006</v>
      </c>
      <c r="E1329">
        <v>50</v>
      </c>
      <c r="F1329">
        <v>40.820602417000003</v>
      </c>
      <c r="G1329">
        <v>1386.2351074000001</v>
      </c>
      <c r="H1329">
        <v>1371.0032959</v>
      </c>
      <c r="I1329">
        <v>1275.0325928</v>
      </c>
      <c r="J1329">
        <v>1249.5075684000001</v>
      </c>
      <c r="K1329">
        <v>2750</v>
      </c>
      <c r="L1329">
        <v>0</v>
      </c>
      <c r="M1329">
        <v>0</v>
      </c>
      <c r="N1329">
        <v>2750</v>
      </c>
    </row>
    <row r="1330" spans="1:14" x14ac:dyDescent="0.25">
      <c r="A1330">
        <v>878.79242099999999</v>
      </c>
      <c r="B1330" s="1">
        <f>DATE(2012,9,25) + TIME(19,1,5)</f>
        <v>41177.79241898148</v>
      </c>
      <c r="C1330">
        <v>80</v>
      </c>
      <c r="D1330">
        <v>79.957397460999999</v>
      </c>
      <c r="E1330">
        <v>50</v>
      </c>
      <c r="F1330">
        <v>40.779304504000002</v>
      </c>
      <c r="G1330">
        <v>1386.1665039</v>
      </c>
      <c r="H1330">
        <v>1370.9406738</v>
      </c>
      <c r="I1330">
        <v>1274.9351807</v>
      </c>
      <c r="J1330">
        <v>1249.3400879000001</v>
      </c>
      <c r="K1330">
        <v>2750</v>
      </c>
      <c r="L1330">
        <v>0</v>
      </c>
      <c r="M1330">
        <v>0</v>
      </c>
      <c r="N1330">
        <v>2750</v>
      </c>
    </row>
    <row r="1331" spans="1:14" x14ac:dyDescent="0.25">
      <c r="A1331">
        <v>880.79510600000003</v>
      </c>
      <c r="B1331" s="1">
        <f>DATE(2012,9,27) + TIME(19,4,57)</f>
        <v>41179.795104166667</v>
      </c>
      <c r="C1331">
        <v>80</v>
      </c>
      <c r="D1331">
        <v>79.957443237000007</v>
      </c>
      <c r="E1331">
        <v>50</v>
      </c>
      <c r="F1331">
        <v>40.742553710999999</v>
      </c>
      <c r="G1331">
        <v>1386.0979004000001</v>
      </c>
      <c r="H1331">
        <v>1370.8779297000001</v>
      </c>
      <c r="I1331">
        <v>1274.8376464999999</v>
      </c>
      <c r="J1331">
        <v>1249.1707764</v>
      </c>
      <c r="K1331">
        <v>2750</v>
      </c>
      <c r="L1331">
        <v>0</v>
      </c>
      <c r="M1331">
        <v>0</v>
      </c>
      <c r="N1331">
        <v>2750</v>
      </c>
    </row>
    <row r="1332" spans="1:14" x14ac:dyDescent="0.25">
      <c r="A1332">
        <v>882.84852000000001</v>
      </c>
      <c r="B1332" s="1">
        <f>DATE(2012,9,29) + TIME(20,21,52)</f>
        <v>41181.84851851852</v>
      </c>
      <c r="C1332">
        <v>80</v>
      </c>
      <c r="D1332">
        <v>79.957489014000004</v>
      </c>
      <c r="E1332">
        <v>50</v>
      </c>
      <c r="F1332">
        <v>40.714134215999998</v>
      </c>
      <c r="G1332">
        <v>1386.0281981999999</v>
      </c>
      <c r="H1332">
        <v>1370.8142089999999</v>
      </c>
      <c r="I1332">
        <v>1274.7416992000001</v>
      </c>
      <c r="J1332">
        <v>1249.0041504000001</v>
      </c>
      <c r="K1332">
        <v>2750</v>
      </c>
      <c r="L1332">
        <v>0</v>
      </c>
      <c r="M1332">
        <v>0</v>
      </c>
      <c r="N1332">
        <v>2750</v>
      </c>
    </row>
    <row r="1333" spans="1:14" x14ac:dyDescent="0.25">
      <c r="A1333">
        <v>884</v>
      </c>
      <c r="B1333" s="1">
        <f>DATE(2012,10,1) + TIME(0,0,0)</f>
        <v>41183</v>
      </c>
      <c r="C1333">
        <v>80</v>
      </c>
      <c r="D1333">
        <v>79.957511901999993</v>
      </c>
      <c r="E1333">
        <v>50</v>
      </c>
      <c r="F1333">
        <v>40.699272155999999</v>
      </c>
      <c r="G1333">
        <v>1385.9572754000001</v>
      </c>
      <c r="H1333">
        <v>1370.7492675999999</v>
      </c>
      <c r="I1333">
        <v>1274.6544189000001</v>
      </c>
      <c r="J1333">
        <v>1248.8540039</v>
      </c>
      <c r="K1333">
        <v>2750</v>
      </c>
      <c r="L1333">
        <v>0</v>
      </c>
      <c r="M1333">
        <v>0</v>
      </c>
      <c r="N1333">
        <v>2750</v>
      </c>
    </row>
    <row r="1334" spans="1:14" x14ac:dyDescent="0.25">
      <c r="A1334">
        <v>886.11084400000004</v>
      </c>
      <c r="B1334" s="1">
        <f>DATE(2012,10,3) + TIME(2,39,36)</f>
        <v>41185.110833333332</v>
      </c>
      <c r="C1334">
        <v>80</v>
      </c>
      <c r="D1334">
        <v>79.957565308</v>
      </c>
      <c r="E1334">
        <v>50</v>
      </c>
      <c r="F1334">
        <v>40.691280364999997</v>
      </c>
      <c r="G1334">
        <v>1385.9173584</v>
      </c>
      <c r="H1334">
        <v>1370.7126464999999</v>
      </c>
      <c r="I1334">
        <v>1274.5947266000001</v>
      </c>
      <c r="J1334">
        <v>1248.7498779</v>
      </c>
      <c r="K1334">
        <v>2750</v>
      </c>
      <c r="L1334">
        <v>0</v>
      </c>
      <c r="M1334">
        <v>0</v>
      </c>
      <c r="N1334">
        <v>2750</v>
      </c>
    </row>
    <row r="1335" spans="1:14" x14ac:dyDescent="0.25">
      <c r="A1335">
        <v>888.26718900000003</v>
      </c>
      <c r="B1335" s="1">
        <f>DATE(2012,10,5) + TIME(6,24,45)</f>
        <v>41187.267187500001</v>
      </c>
      <c r="C1335">
        <v>80</v>
      </c>
      <c r="D1335">
        <v>79.957618713000002</v>
      </c>
      <c r="E1335">
        <v>50</v>
      </c>
      <c r="F1335">
        <v>40.693176270000002</v>
      </c>
      <c r="G1335">
        <v>1385.8454589999999</v>
      </c>
      <c r="H1335">
        <v>1370.6467285000001</v>
      </c>
      <c r="I1335">
        <v>1274.5100098</v>
      </c>
      <c r="J1335">
        <v>1248.6047363</v>
      </c>
      <c r="K1335">
        <v>2750</v>
      </c>
      <c r="L1335">
        <v>0</v>
      </c>
      <c r="M1335">
        <v>0</v>
      </c>
      <c r="N1335">
        <v>2750</v>
      </c>
    </row>
    <row r="1336" spans="1:14" x14ac:dyDescent="0.25">
      <c r="A1336">
        <v>890.43213100000003</v>
      </c>
      <c r="B1336" s="1">
        <f>DATE(2012,10,7) + TIME(10,22,16)</f>
        <v>41189.432129629633</v>
      </c>
      <c r="C1336">
        <v>80</v>
      </c>
      <c r="D1336">
        <v>79.957664489999999</v>
      </c>
      <c r="E1336">
        <v>50</v>
      </c>
      <c r="F1336">
        <v>40.708217621000003</v>
      </c>
      <c r="G1336">
        <v>1385.7723389</v>
      </c>
      <c r="H1336">
        <v>1370.5795897999999</v>
      </c>
      <c r="I1336">
        <v>1274.4273682</v>
      </c>
      <c r="J1336">
        <v>1248.4643555</v>
      </c>
      <c r="K1336">
        <v>2750</v>
      </c>
      <c r="L1336">
        <v>0</v>
      </c>
      <c r="M1336">
        <v>0</v>
      </c>
      <c r="N1336">
        <v>2750</v>
      </c>
    </row>
    <row r="1337" spans="1:14" x14ac:dyDescent="0.25">
      <c r="A1337">
        <v>891.52586699999995</v>
      </c>
      <c r="B1337" s="1">
        <f>DATE(2012,10,8) + TIME(12,37,14)</f>
        <v>41190.525856481479</v>
      </c>
      <c r="C1337">
        <v>80</v>
      </c>
      <c r="D1337">
        <v>79.957687378000003</v>
      </c>
      <c r="E1337">
        <v>50</v>
      </c>
      <c r="F1337">
        <v>40.73179245</v>
      </c>
      <c r="G1337">
        <v>1385.6995850000001</v>
      </c>
      <c r="H1337">
        <v>1370.5126952999999</v>
      </c>
      <c r="I1337">
        <v>1274.3580322</v>
      </c>
      <c r="J1337">
        <v>1248.3452147999999</v>
      </c>
      <c r="K1337">
        <v>2750</v>
      </c>
      <c r="L1337">
        <v>0</v>
      </c>
      <c r="M1337">
        <v>0</v>
      </c>
      <c r="N1337">
        <v>2750</v>
      </c>
    </row>
    <row r="1338" spans="1:14" x14ac:dyDescent="0.25">
      <c r="A1338">
        <v>892.61960199999999</v>
      </c>
      <c r="B1338" s="1">
        <f>DATE(2012,10,9) + TIME(14,52,13)</f>
        <v>41191.61959490741</v>
      </c>
      <c r="C1338">
        <v>80</v>
      </c>
      <c r="D1338">
        <v>79.957710266000007</v>
      </c>
      <c r="E1338">
        <v>50</v>
      </c>
      <c r="F1338">
        <v>40.755970001000001</v>
      </c>
      <c r="G1338">
        <v>1385.6624756000001</v>
      </c>
      <c r="H1338">
        <v>1370.4783935999999</v>
      </c>
      <c r="I1338">
        <v>1274.315918</v>
      </c>
      <c r="J1338">
        <v>1248.2769774999999</v>
      </c>
      <c r="K1338">
        <v>2750</v>
      </c>
      <c r="L1338">
        <v>0</v>
      </c>
      <c r="M1338">
        <v>0</v>
      </c>
      <c r="N1338">
        <v>2750</v>
      </c>
    </row>
    <row r="1339" spans="1:14" x14ac:dyDescent="0.25">
      <c r="A1339">
        <v>893.71333800000002</v>
      </c>
      <c r="B1339" s="1">
        <f>DATE(2012,10,10) + TIME(17,7,12)</f>
        <v>41192.713333333333</v>
      </c>
      <c r="C1339">
        <v>80</v>
      </c>
      <c r="D1339">
        <v>79.957733153999996</v>
      </c>
      <c r="E1339">
        <v>50</v>
      </c>
      <c r="F1339">
        <v>40.782623291</v>
      </c>
      <c r="G1339">
        <v>1385.6260986</v>
      </c>
      <c r="H1339">
        <v>1370.4449463000001</v>
      </c>
      <c r="I1339">
        <v>1274.2788086</v>
      </c>
      <c r="J1339">
        <v>1248.2171631000001</v>
      </c>
      <c r="K1339">
        <v>2750</v>
      </c>
      <c r="L1339">
        <v>0</v>
      </c>
      <c r="M1339">
        <v>0</v>
      </c>
      <c r="N1339">
        <v>2750</v>
      </c>
    </row>
    <row r="1340" spans="1:14" x14ac:dyDescent="0.25">
      <c r="A1340">
        <v>894.80707299999995</v>
      </c>
      <c r="B1340" s="1">
        <f>DATE(2012,10,11) + TIME(19,22,11)</f>
        <v>41193.807071759256</v>
      </c>
      <c r="C1340">
        <v>80</v>
      </c>
      <c r="D1340">
        <v>79.957763671999999</v>
      </c>
      <c r="E1340">
        <v>50</v>
      </c>
      <c r="F1340">
        <v>40.812496185000001</v>
      </c>
      <c r="G1340">
        <v>1385.5898437999999</v>
      </c>
      <c r="H1340">
        <v>1370.411499</v>
      </c>
      <c r="I1340">
        <v>1274.244751</v>
      </c>
      <c r="J1340">
        <v>1248.1623535000001</v>
      </c>
      <c r="K1340">
        <v>2750</v>
      </c>
      <c r="L1340">
        <v>0</v>
      </c>
      <c r="M1340">
        <v>0</v>
      </c>
      <c r="N1340">
        <v>2750</v>
      </c>
    </row>
    <row r="1341" spans="1:14" x14ac:dyDescent="0.25">
      <c r="A1341">
        <v>895.90080899999998</v>
      </c>
      <c r="B1341" s="1">
        <f>DATE(2012,10,12) + TIME(21,37,9)</f>
        <v>41194.90079861111</v>
      </c>
      <c r="C1341">
        <v>80</v>
      </c>
      <c r="D1341">
        <v>79.957786560000002</v>
      </c>
      <c r="E1341">
        <v>50</v>
      </c>
      <c r="F1341">
        <v>40.845867157000001</v>
      </c>
      <c r="G1341">
        <v>1385.5538329999999</v>
      </c>
      <c r="H1341">
        <v>1370.3781738</v>
      </c>
      <c r="I1341">
        <v>1274.2126464999999</v>
      </c>
      <c r="J1341">
        <v>1248.1116943</v>
      </c>
      <c r="K1341">
        <v>2750</v>
      </c>
      <c r="L1341">
        <v>0</v>
      </c>
      <c r="M1341">
        <v>0</v>
      </c>
      <c r="N1341">
        <v>2750</v>
      </c>
    </row>
    <row r="1342" spans="1:14" x14ac:dyDescent="0.25">
      <c r="A1342">
        <v>896.99454500000002</v>
      </c>
      <c r="B1342" s="1">
        <f>DATE(2012,10,13) + TIME(23,52,8)</f>
        <v>41195.994537037041</v>
      </c>
      <c r="C1342">
        <v>80</v>
      </c>
      <c r="D1342">
        <v>79.957809448000006</v>
      </c>
      <c r="E1342">
        <v>50</v>
      </c>
      <c r="F1342">
        <v>40.882831572999997</v>
      </c>
      <c r="G1342">
        <v>1385.5178223</v>
      </c>
      <c r="H1342">
        <v>1370.3450928</v>
      </c>
      <c r="I1342">
        <v>1274.1823730000001</v>
      </c>
      <c r="J1342">
        <v>1248.0644531</v>
      </c>
      <c r="K1342">
        <v>2750</v>
      </c>
      <c r="L1342">
        <v>0</v>
      </c>
      <c r="M1342">
        <v>0</v>
      </c>
      <c r="N1342">
        <v>2750</v>
      </c>
    </row>
    <row r="1343" spans="1:14" x14ac:dyDescent="0.25">
      <c r="A1343">
        <v>898.08828000000005</v>
      </c>
      <c r="B1343" s="1">
        <f>DATE(2012,10,15) + TIME(2,7,7)</f>
        <v>41197.088275462964</v>
      </c>
      <c r="C1343">
        <v>80</v>
      </c>
      <c r="D1343">
        <v>79.957839965999995</v>
      </c>
      <c r="E1343">
        <v>50</v>
      </c>
      <c r="F1343">
        <v>40.923385619999998</v>
      </c>
      <c r="G1343">
        <v>1385.4821777</v>
      </c>
      <c r="H1343">
        <v>1370.3120117000001</v>
      </c>
      <c r="I1343">
        <v>1274.1536865</v>
      </c>
      <c r="J1343">
        <v>1248.0203856999999</v>
      </c>
      <c r="K1343">
        <v>2750</v>
      </c>
      <c r="L1343">
        <v>0</v>
      </c>
      <c r="M1343">
        <v>0</v>
      </c>
      <c r="N1343">
        <v>2750</v>
      </c>
    </row>
    <row r="1344" spans="1:14" x14ac:dyDescent="0.25">
      <c r="A1344">
        <v>899.18201599999998</v>
      </c>
      <c r="B1344" s="1">
        <f>DATE(2012,10,16) + TIME(4,22,6)</f>
        <v>41198.182013888887</v>
      </c>
      <c r="C1344">
        <v>80</v>
      </c>
      <c r="D1344">
        <v>79.957862853999998</v>
      </c>
      <c r="E1344">
        <v>50</v>
      </c>
      <c r="F1344">
        <v>40.967510222999998</v>
      </c>
      <c r="G1344">
        <v>1385.4465332</v>
      </c>
      <c r="H1344">
        <v>1370.2791748</v>
      </c>
      <c r="I1344">
        <v>1274.1263428</v>
      </c>
      <c r="J1344">
        <v>1247.9794922000001</v>
      </c>
      <c r="K1344">
        <v>2750</v>
      </c>
      <c r="L1344">
        <v>0</v>
      </c>
      <c r="M1344">
        <v>0</v>
      </c>
      <c r="N1344">
        <v>2750</v>
      </c>
    </row>
    <row r="1345" spans="1:14" x14ac:dyDescent="0.25">
      <c r="A1345">
        <v>901.36948700000005</v>
      </c>
      <c r="B1345" s="1">
        <f>DATE(2012,10,18) + TIME(8,52,3)</f>
        <v>41200.369479166664</v>
      </c>
      <c r="C1345">
        <v>80</v>
      </c>
      <c r="D1345">
        <v>79.957923889</v>
      </c>
      <c r="E1345">
        <v>50</v>
      </c>
      <c r="F1345">
        <v>41.026943207000002</v>
      </c>
      <c r="G1345">
        <v>1385.4112548999999</v>
      </c>
      <c r="H1345">
        <v>1370.246582</v>
      </c>
      <c r="I1345">
        <v>1274.0947266000001</v>
      </c>
      <c r="J1345">
        <v>1247.9375</v>
      </c>
      <c r="K1345">
        <v>2750</v>
      </c>
      <c r="L1345">
        <v>0</v>
      </c>
      <c r="M1345">
        <v>0</v>
      </c>
      <c r="N1345">
        <v>2750</v>
      </c>
    </row>
    <row r="1346" spans="1:14" x14ac:dyDescent="0.25">
      <c r="A1346">
        <v>903.564886</v>
      </c>
      <c r="B1346" s="1">
        <f>DATE(2012,10,20) + TIME(13,33,26)</f>
        <v>41202.564884259256</v>
      </c>
      <c r="C1346">
        <v>80</v>
      </c>
      <c r="D1346">
        <v>79.957969665999997</v>
      </c>
      <c r="E1346">
        <v>50</v>
      </c>
      <c r="F1346">
        <v>41.122207641999999</v>
      </c>
      <c r="G1346">
        <v>1385.3411865</v>
      </c>
      <c r="H1346">
        <v>1370.1820068</v>
      </c>
      <c r="I1346">
        <v>1274.050293</v>
      </c>
      <c r="J1346">
        <v>1247.871582</v>
      </c>
      <c r="K1346">
        <v>2750</v>
      </c>
      <c r="L1346">
        <v>0</v>
      </c>
      <c r="M1346">
        <v>0</v>
      </c>
      <c r="N1346">
        <v>2750</v>
      </c>
    </row>
    <row r="1347" spans="1:14" x14ac:dyDescent="0.25">
      <c r="A1347">
        <v>905.80703400000004</v>
      </c>
      <c r="B1347" s="1">
        <f>DATE(2012,10,22) + TIME(19,22,7)</f>
        <v>41204.807025462964</v>
      </c>
      <c r="C1347">
        <v>80</v>
      </c>
      <c r="D1347">
        <v>79.958023071</v>
      </c>
      <c r="E1347">
        <v>50</v>
      </c>
      <c r="F1347">
        <v>41.237277984999999</v>
      </c>
      <c r="G1347">
        <v>1385.2714844</v>
      </c>
      <c r="H1347">
        <v>1370.1174315999999</v>
      </c>
      <c r="I1347">
        <v>1274.0074463000001</v>
      </c>
      <c r="J1347">
        <v>1247.8142089999999</v>
      </c>
      <c r="K1347">
        <v>2750</v>
      </c>
      <c r="L1347">
        <v>0</v>
      </c>
      <c r="M1347">
        <v>0</v>
      </c>
      <c r="N1347">
        <v>2750</v>
      </c>
    </row>
    <row r="1348" spans="1:14" x14ac:dyDescent="0.25">
      <c r="A1348">
        <v>908.10124099999996</v>
      </c>
      <c r="B1348" s="1">
        <f>DATE(2012,10,25) + TIME(2,25,47)</f>
        <v>41207.101238425923</v>
      </c>
      <c r="C1348">
        <v>80</v>
      </c>
      <c r="D1348">
        <v>79.958076477000006</v>
      </c>
      <c r="E1348">
        <v>50</v>
      </c>
      <c r="F1348">
        <v>41.368873596</v>
      </c>
      <c r="G1348">
        <v>1385.2009277</v>
      </c>
      <c r="H1348">
        <v>1370.052124</v>
      </c>
      <c r="I1348">
        <v>1273.9680175999999</v>
      </c>
      <c r="J1348">
        <v>1247.7662353999999</v>
      </c>
      <c r="K1348">
        <v>2750</v>
      </c>
      <c r="L1348">
        <v>0</v>
      </c>
      <c r="M1348">
        <v>0</v>
      </c>
      <c r="N1348">
        <v>2750</v>
      </c>
    </row>
    <row r="1349" spans="1:14" x14ac:dyDescent="0.25">
      <c r="A1349">
        <v>910.45410100000004</v>
      </c>
      <c r="B1349" s="1">
        <f>DATE(2012,10,27) + TIME(10,53,54)</f>
        <v>41209.454097222224</v>
      </c>
      <c r="C1349">
        <v>80</v>
      </c>
      <c r="D1349">
        <v>79.958129882999998</v>
      </c>
      <c r="E1349">
        <v>50</v>
      </c>
      <c r="F1349">
        <v>41.51625061</v>
      </c>
      <c r="G1349">
        <v>1385.1296387</v>
      </c>
      <c r="H1349">
        <v>1369.9862060999999</v>
      </c>
      <c r="I1349">
        <v>1273.9328613</v>
      </c>
      <c r="J1349">
        <v>1247.7282714999999</v>
      </c>
      <c r="K1349">
        <v>2750</v>
      </c>
      <c r="L1349">
        <v>0</v>
      </c>
      <c r="M1349">
        <v>0</v>
      </c>
      <c r="N1349">
        <v>2750</v>
      </c>
    </row>
    <row r="1350" spans="1:14" x14ac:dyDescent="0.25">
      <c r="A1350">
        <v>912.83098700000005</v>
      </c>
      <c r="B1350" s="1">
        <f>DATE(2012,10,29) + TIME(19,56,37)</f>
        <v>41211.830983796295</v>
      </c>
      <c r="C1350">
        <v>80</v>
      </c>
      <c r="D1350">
        <v>79.958190918</v>
      </c>
      <c r="E1350">
        <v>50</v>
      </c>
      <c r="F1350">
        <v>41.678535461000003</v>
      </c>
      <c r="G1350">
        <v>1385.0573730000001</v>
      </c>
      <c r="H1350">
        <v>1369.9193115</v>
      </c>
      <c r="I1350">
        <v>1273.9019774999999</v>
      </c>
      <c r="J1350">
        <v>1247.7004394999999</v>
      </c>
      <c r="K1350">
        <v>2750</v>
      </c>
      <c r="L1350">
        <v>0</v>
      </c>
      <c r="M1350">
        <v>0</v>
      </c>
      <c r="N1350">
        <v>2750</v>
      </c>
    </row>
    <row r="1351" spans="1:14" x14ac:dyDescent="0.25">
      <c r="A1351">
        <v>915</v>
      </c>
      <c r="B1351" s="1">
        <f>DATE(2012,11,1) + TIME(0,0,0)</f>
        <v>41214</v>
      </c>
      <c r="C1351">
        <v>80</v>
      </c>
      <c r="D1351">
        <v>79.958236693999993</v>
      </c>
      <c r="E1351">
        <v>50</v>
      </c>
      <c r="F1351">
        <v>41.849311829000001</v>
      </c>
      <c r="G1351">
        <v>1384.9854736</v>
      </c>
      <c r="H1351">
        <v>1369.8526611</v>
      </c>
      <c r="I1351">
        <v>1273.8767089999999</v>
      </c>
      <c r="J1351">
        <v>1247.6829834</v>
      </c>
      <c r="K1351">
        <v>2750</v>
      </c>
      <c r="L1351">
        <v>0</v>
      </c>
      <c r="M1351">
        <v>0</v>
      </c>
      <c r="N1351">
        <v>2750</v>
      </c>
    </row>
    <row r="1352" spans="1:14" x14ac:dyDescent="0.25">
      <c r="A1352">
        <v>915.000001</v>
      </c>
      <c r="B1352" s="1">
        <f>DATE(2012,11,1) + TIME(0,0,0)</f>
        <v>41214</v>
      </c>
      <c r="C1352">
        <v>80</v>
      </c>
      <c r="D1352">
        <v>79.958091736</v>
      </c>
      <c r="E1352">
        <v>50</v>
      </c>
      <c r="F1352">
        <v>41.849449157999999</v>
      </c>
      <c r="G1352">
        <v>1368.8536377</v>
      </c>
      <c r="H1352">
        <v>1354.980957</v>
      </c>
      <c r="I1352">
        <v>1301.1107178</v>
      </c>
      <c r="J1352">
        <v>1274.9200439000001</v>
      </c>
      <c r="K1352">
        <v>0</v>
      </c>
      <c r="L1352">
        <v>2750</v>
      </c>
      <c r="M1352">
        <v>2750</v>
      </c>
      <c r="N1352">
        <v>0</v>
      </c>
    </row>
    <row r="1353" spans="1:14" x14ac:dyDescent="0.25">
      <c r="A1353">
        <v>915.00000399999999</v>
      </c>
      <c r="B1353" s="1">
        <f>DATE(2012,11,1) + TIME(0,0,0)</f>
        <v>41214</v>
      </c>
      <c r="C1353">
        <v>80</v>
      </c>
      <c r="D1353">
        <v>79.957733153999996</v>
      </c>
      <c r="E1353">
        <v>50</v>
      </c>
      <c r="F1353">
        <v>41.849826813</v>
      </c>
      <c r="G1353">
        <v>1366.3298339999999</v>
      </c>
      <c r="H1353">
        <v>1352.456543</v>
      </c>
      <c r="I1353">
        <v>1303.8581543</v>
      </c>
      <c r="J1353">
        <v>1277.7445068</v>
      </c>
      <c r="K1353">
        <v>0</v>
      </c>
      <c r="L1353">
        <v>2750</v>
      </c>
      <c r="M1353">
        <v>2750</v>
      </c>
      <c r="N1353">
        <v>0</v>
      </c>
    </row>
    <row r="1354" spans="1:14" x14ac:dyDescent="0.25">
      <c r="A1354">
        <v>915.00001299999997</v>
      </c>
      <c r="B1354" s="1">
        <f>DATE(2012,11,1) + TIME(0,0,1)</f>
        <v>41214.000011574077</v>
      </c>
      <c r="C1354">
        <v>80</v>
      </c>
      <c r="D1354">
        <v>79.957008361999996</v>
      </c>
      <c r="E1354">
        <v>50</v>
      </c>
      <c r="F1354">
        <v>41.850723266999999</v>
      </c>
      <c r="G1354">
        <v>1361.2352295000001</v>
      </c>
      <c r="H1354">
        <v>1347.3614502</v>
      </c>
      <c r="I1354">
        <v>1310.2602539</v>
      </c>
      <c r="J1354">
        <v>1284.2832031</v>
      </c>
      <c r="K1354">
        <v>0</v>
      </c>
      <c r="L1354">
        <v>2750</v>
      </c>
      <c r="M1354">
        <v>2750</v>
      </c>
      <c r="N1354">
        <v>0</v>
      </c>
    </row>
    <row r="1355" spans="1:14" x14ac:dyDescent="0.25">
      <c r="A1355">
        <v>915.00004000000001</v>
      </c>
      <c r="B1355" s="1">
        <f>DATE(2012,11,1) + TIME(0,0,3)</f>
        <v>41214.000034722223</v>
      </c>
      <c r="C1355">
        <v>80</v>
      </c>
      <c r="D1355">
        <v>79.955947875999996</v>
      </c>
      <c r="E1355">
        <v>50</v>
      </c>
      <c r="F1355">
        <v>41.852409363</v>
      </c>
      <c r="G1355">
        <v>1353.7923584</v>
      </c>
      <c r="H1355">
        <v>1339.9208983999999</v>
      </c>
      <c r="I1355">
        <v>1321.546875</v>
      </c>
      <c r="J1355">
        <v>1295.6770019999999</v>
      </c>
      <c r="K1355">
        <v>0</v>
      </c>
      <c r="L1355">
        <v>2750</v>
      </c>
      <c r="M1355">
        <v>2750</v>
      </c>
      <c r="N1355">
        <v>0</v>
      </c>
    </row>
    <row r="1356" spans="1:14" x14ac:dyDescent="0.25">
      <c r="A1356">
        <v>915.00012100000004</v>
      </c>
      <c r="B1356" s="1">
        <f>DATE(2012,11,1) + TIME(0,0,10)</f>
        <v>41214.000115740739</v>
      </c>
      <c r="C1356">
        <v>80</v>
      </c>
      <c r="D1356">
        <v>79.954757689999994</v>
      </c>
      <c r="E1356">
        <v>50</v>
      </c>
      <c r="F1356">
        <v>41.855079650999997</v>
      </c>
      <c r="G1356">
        <v>1345.5100098</v>
      </c>
      <c r="H1356">
        <v>1331.6442870999999</v>
      </c>
      <c r="I1356">
        <v>1336.0040283000001</v>
      </c>
      <c r="J1356">
        <v>1310.1595459</v>
      </c>
      <c r="K1356">
        <v>0</v>
      </c>
      <c r="L1356">
        <v>2750</v>
      </c>
      <c r="M1356">
        <v>2750</v>
      </c>
      <c r="N1356">
        <v>0</v>
      </c>
    </row>
    <row r="1357" spans="1:14" x14ac:dyDescent="0.25">
      <c r="A1357">
        <v>915.00036399999999</v>
      </c>
      <c r="B1357" s="1">
        <f>DATE(2012,11,1) + TIME(0,0,31)</f>
        <v>41214.000358796293</v>
      </c>
      <c r="C1357">
        <v>80</v>
      </c>
      <c r="D1357">
        <v>79.953521729000002</v>
      </c>
      <c r="E1357">
        <v>50</v>
      </c>
      <c r="F1357">
        <v>41.859676360999998</v>
      </c>
      <c r="G1357">
        <v>1337.1855469</v>
      </c>
      <c r="H1357">
        <v>1323.3277588000001</v>
      </c>
      <c r="I1357">
        <v>1351.2829589999999</v>
      </c>
      <c r="J1357">
        <v>1325.4511719</v>
      </c>
      <c r="K1357">
        <v>0</v>
      </c>
      <c r="L1357">
        <v>2750</v>
      </c>
      <c r="M1357">
        <v>2750</v>
      </c>
      <c r="N1357">
        <v>0</v>
      </c>
    </row>
    <row r="1358" spans="1:14" x14ac:dyDescent="0.25">
      <c r="A1358">
        <v>915.00109299999997</v>
      </c>
      <c r="B1358" s="1">
        <f>DATE(2012,11,1) + TIME(0,1,34)</f>
        <v>41214.001087962963</v>
      </c>
      <c r="C1358">
        <v>80</v>
      </c>
      <c r="D1358">
        <v>79.952171325999998</v>
      </c>
      <c r="E1358">
        <v>50</v>
      </c>
      <c r="F1358">
        <v>41.869789124</v>
      </c>
      <c r="G1358">
        <v>1328.8226318</v>
      </c>
      <c r="H1358">
        <v>1314.9511719</v>
      </c>
      <c r="I1358">
        <v>1366.8408202999999</v>
      </c>
      <c r="J1358">
        <v>1341.012207</v>
      </c>
      <c r="K1358">
        <v>0</v>
      </c>
      <c r="L1358">
        <v>2750</v>
      </c>
      <c r="M1358">
        <v>2750</v>
      </c>
      <c r="N1358">
        <v>0</v>
      </c>
    </row>
    <row r="1359" spans="1:14" x14ac:dyDescent="0.25">
      <c r="A1359">
        <v>915.00328000000002</v>
      </c>
      <c r="B1359" s="1">
        <f>DATE(2012,11,1) + TIME(0,4,43)</f>
        <v>41214.003275462965</v>
      </c>
      <c r="C1359">
        <v>80</v>
      </c>
      <c r="D1359">
        <v>79.950447083</v>
      </c>
      <c r="E1359">
        <v>50</v>
      </c>
      <c r="F1359">
        <v>41.896362304999997</v>
      </c>
      <c r="G1359">
        <v>1320.1431885</v>
      </c>
      <c r="H1359">
        <v>1306.1713867000001</v>
      </c>
      <c r="I1359">
        <v>1382.7062988</v>
      </c>
      <c r="J1359">
        <v>1356.8157959</v>
      </c>
      <c r="K1359">
        <v>0</v>
      </c>
      <c r="L1359">
        <v>2750</v>
      </c>
      <c r="M1359">
        <v>2750</v>
      </c>
      <c r="N1359">
        <v>0</v>
      </c>
    </row>
    <row r="1360" spans="1:14" x14ac:dyDescent="0.25">
      <c r="A1360">
        <v>915.00984100000005</v>
      </c>
      <c r="B1360" s="1">
        <f>DATE(2012,11,1) + TIME(0,14,10)</f>
        <v>41214.009837962964</v>
      </c>
      <c r="C1360">
        <v>80</v>
      </c>
      <c r="D1360">
        <v>79.947708129999995</v>
      </c>
      <c r="E1360">
        <v>50</v>
      </c>
      <c r="F1360">
        <v>41.971893311000002</v>
      </c>
      <c r="G1360">
        <v>1311.2117920000001</v>
      </c>
      <c r="H1360">
        <v>1297.0966797000001</v>
      </c>
      <c r="I1360">
        <v>1397.6820068</v>
      </c>
      <c r="J1360">
        <v>1371.6682129000001</v>
      </c>
      <c r="K1360">
        <v>0</v>
      </c>
      <c r="L1360">
        <v>2750</v>
      </c>
      <c r="M1360">
        <v>2750</v>
      </c>
      <c r="N1360">
        <v>0</v>
      </c>
    </row>
    <row r="1361" spans="1:14" x14ac:dyDescent="0.25">
      <c r="A1361">
        <v>915.02952400000004</v>
      </c>
      <c r="B1361" s="1">
        <f>DATE(2012,11,1) + TIME(0,42,30)</f>
        <v>41214.029513888891</v>
      </c>
      <c r="C1361">
        <v>80</v>
      </c>
      <c r="D1361">
        <v>79.942276000999996</v>
      </c>
      <c r="E1361">
        <v>50</v>
      </c>
      <c r="F1361">
        <v>42.189643859999997</v>
      </c>
      <c r="G1361">
        <v>1303.6328125</v>
      </c>
      <c r="H1361">
        <v>1289.4387207</v>
      </c>
      <c r="I1361">
        <v>1408.5233154</v>
      </c>
      <c r="J1361">
        <v>1382.4588623</v>
      </c>
      <c r="K1361">
        <v>0</v>
      </c>
      <c r="L1361">
        <v>2750</v>
      </c>
      <c r="M1361">
        <v>2750</v>
      </c>
      <c r="N1361">
        <v>0</v>
      </c>
    </row>
    <row r="1362" spans="1:14" x14ac:dyDescent="0.25">
      <c r="A1362">
        <v>915.07590400000004</v>
      </c>
      <c r="B1362" s="1">
        <f>DATE(2012,11,1) + TIME(1,49,18)</f>
        <v>41214.075902777775</v>
      </c>
      <c r="C1362">
        <v>80</v>
      </c>
      <c r="D1362">
        <v>79.931869507000002</v>
      </c>
      <c r="E1362">
        <v>50</v>
      </c>
      <c r="F1362">
        <v>42.670089722</v>
      </c>
      <c r="G1362">
        <v>1299.8076172000001</v>
      </c>
      <c r="H1362">
        <v>1285.5898437999999</v>
      </c>
      <c r="I1362">
        <v>1412.6153564000001</v>
      </c>
      <c r="J1362">
        <v>1386.7038574000001</v>
      </c>
      <c r="K1362">
        <v>0</v>
      </c>
      <c r="L1362">
        <v>2750</v>
      </c>
      <c r="M1362">
        <v>2750</v>
      </c>
      <c r="N1362">
        <v>0</v>
      </c>
    </row>
    <row r="1363" spans="1:14" x14ac:dyDescent="0.25">
      <c r="A1363">
        <v>915.12467200000003</v>
      </c>
      <c r="B1363" s="1">
        <f>DATE(2012,11,1) + TIME(2,59,31)</f>
        <v>41214.124664351853</v>
      </c>
      <c r="C1363">
        <v>80</v>
      </c>
      <c r="D1363">
        <v>79.921531677000004</v>
      </c>
      <c r="E1363">
        <v>50</v>
      </c>
      <c r="F1363">
        <v>43.142799377000003</v>
      </c>
      <c r="G1363">
        <v>1298.7960204999999</v>
      </c>
      <c r="H1363">
        <v>1284.5732422000001</v>
      </c>
      <c r="I1363">
        <v>1413.1088867000001</v>
      </c>
      <c r="J1363">
        <v>1387.3886719</v>
      </c>
      <c r="K1363">
        <v>0</v>
      </c>
      <c r="L1363">
        <v>2750</v>
      </c>
      <c r="M1363">
        <v>2750</v>
      </c>
      <c r="N1363">
        <v>0</v>
      </c>
    </row>
    <row r="1364" spans="1:14" x14ac:dyDescent="0.25">
      <c r="A1364">
        <v>915.17582400000003</v>
      </c>
      <c r="B1364" s="1">
        <f>DATE(2012,11,1) + TIME(4,13,11)</f>
        <v>41214.175821759258</v>
      </c>
      <c r="C1364">
        <v>80</v>
      </c>
      <c r="D1364">
        <v>79.911003113000007</v>
      </c>
      <c r="E1364">
        <v>50</v>
      </c>
      <c r="F1364">
        <v>43.605369568</v>
      </c>
      <c r="G1364">
        <v>1298.5008545000001</v>
      </c>
      <c r="H1364">
        <v>1284.2764893000001</v>
      </c>
      <c r="I1364">
        <v>1412.8955077999999</v>
      </c>
      <c r="J1364">
        <v>1387.3709716999999</v>
      </c>
      <c r="K1364">
        <v>0</v>
      </c>
      <c r="L1364">
        <v>2750</v>
      </c>
      <c r="M1364">
        <v>2750</v>
      </c>
      <c r="N1364">
        <v>0</v>
      </c>
    </row>
    <row r="1365" spans="1:14" x14ac:dyDescent="0.25">
      <c r="A1365">
        <v>915.22957899999994</v>
      </c>
      <c r="B1365" s="1">
        <f>DATE(2012,11,1) + TIME(5,30,35)</f>
        <v>41214.229571759257</v>
      </c>
      <c r="C1365">
        <v>80</v>
      </c>
      <c r="D1365">
        <v>79.900184631000002</v>
      </c>
      <c r="E1365">
        <v>50</v>
      </c>
      <c r="F1365">
        <v>44.057319640999999</v>
      </c>
      <c r="G1365">
        <v>1298.4061279</v>
      </c>
      <c r="H1365">
        <v>1284.1807861</v>
      </c>
      <c r="I1365">
        <v>1412.5633545000001</v>
      </c>
      <c r="J1365">
        <v>1387.2297363</v>
      </c>
      <c r="K1365">
        <v>0</v>
      </c>
      <c r="L1365">
        <v>2750</v>
      </c>
      <c r="M1365">
        <v>2750</v>
      </c>
      <c r="N1365">
        <v>0</v>
      </c>
    </row>
    <row r="1366" spans="1:14" x14ac:dyDescent="0.25">
      <c r="A1366">
        <v>915.28624200000002</v>
      </c>
      <c r="B1366" s="1">
        <f>DATE(2012,11,1) + TIME(6,52,11)</f>
        <v>41214.286238425928</v>
      </c>
      <c r="C1366">
        <v>80</v>
      </c>
      <c r="D1366">
        <v>79.889022827000005</v>
      </c>
      <c r="E1366">
        <v>50</v>
      </c>
      <c r="F1366">
        <v>44.498508452999999</v>
      </c>
      <c r="G1366">
        <v>1298.3720702999999</v>
      </c>
      <c r="H1366">
        <v>1284.1461182</v>
      </c>
      <c r="I1366">
        <v>1412.2265625</v>
      </c>
      <c r="J1366">
        <v>1387.0777588000001</v>
      </c>
      <c r="K1366">
        <v>0</v>
      </c>
      <c r="L1366">
        <v>2750</v>
      </c>
      <c r="M1366">
        <v>2750</v>
      </c>
      <c r="N1366">
        <v>0</v>
      </c>
    </row>
    <row r="1367" spans="1:14" x14ac:dyDescent="0.25">
      <c r="A1367">
        <v>915.346182</v>
      </c>
      <c r="B1367" s="1">
        <f>DATE(2012,11,1) + TIME(8,18,30)</f>
        <v>41214.346180555556</v>
      </c>
      <c r="C1367">
        <v>80</v>
      </c>
      <c r="D1367">
        <v>79.877464294000006</v>
      </c>
      <c r="E1367">
        <v>50</v>
      </c>
      <c r="F1367">
        <v>44.928821564000003</v>
      </c>
      <c r="G1367">
        <v>1298.3580322</v>
      </c>
      <c r="H1367">
        <v>1284.1314697</v>
      </c>
      <c r="I1367">
        <v>1411.9025879000001</v>
      </c>
      <c r="J1367">
        <v>1386.9317627</v>
      </c>
      <c r="K1367">
        <v>0</v>
      </c>
      <c r="L1367">
        <v>2750</v>
      </c>
      <c r="M1367">
        <v>2750</v>
      </c>
      <c r="N1367">
        <v>0</v>
      </c>
    </row>
    <row r="1368" spans="1:14" x14ac:dyDescent="0.25">
      <c r="A1368">
        <v>915.40984500000002</v>
      </c>
      <c r="B1368" s="1">
        <f>DATE(2012,11,1) + TIME(9,50,10)</f>
        <v>41214.409837962965</v>
      </c>
      <c r="C1368">
        <v>80</v>
      </c>
      <c r="D1368">
        <v>79.865440368999998</v>
      </c>
      <c r="E1368">
        <v>50</v>
      </c>
      <c r="F1368">
        <v>45.348129272000001</v>
      </c>
      <c r="G1368">
        <v>1298.3508300999999</v>
      </c>
      <c r="H1368">
        <v>1284.1236572</v>
      </c>
      <c r="I1368">
        <v>1411.5908202999999</v>
      </c>
      <c r="J1368">
        <v>1386.791626</v>
      </c>
      <c r="K1368">
        <v>0</v>
      </c>
      <c r="L1368">
        <v>2750</v>
      </c>
      <c r="M1368">
        <v>2750</v>
      </c>
      <c r="N1368">
        <v>0</v>
      </c>
    </row>
    <row r="1369" spans="1:14" x14ac:dyDescent="0.25">
      <c r="A1369">
        <v>915.47776799999997</v>
      </c>
      <c r="B1369" s="1">
        <f>DATE(2012,11,1) + TIME(11,27,59)</f>
        <v>41214.477766203701</v>
      </c>
      <c r="C1369">
        <v>80</v>
      </c>
      <c r="D1369">
        <v>79.852890015</v>
      </c>
      <c r="E1369">
        <v>50</v>
      </c>
      <c r="F1369">
        <v>45.756240845000001</v>
      </c>
      <c r="G1369">
        <v>1298.3459473</v>
      </c>
      <c r="H1369">
        <v>1284.1181641000001</v>
      </c>
      <c r="I1369">
        <v>1411.2894286999999</v>
      </c>
      <c r="J1369">
        <v>1386.6555175999999</v>
      </c>
      <c r="K1369">
        <v>0</v>
      </c>
      <c r="L1369">
        <v>2750</v>
      </c>
      <c r="M1369">
        <v>2750</v>
      </c>
      <c r="N1369">
        <v>0</v>
      </c>
    </row>
    <row r="1370" spans="1:14" x14ac:dyDescent="0.25">
      <c r="A1370">
        <v>915.55060700000001</v>
      </c>
      <c r="B1370" s="1">
        <f>DATE(2012,11,1) + TIME(13,12,52)</f>
        <v>41214.55060185185</v>
      </c>
      <c r="C1370">
        <v>80</v>
      </c>
      <c r="D1370">
        <v>79.839729309000006</v>
      </c>
      <c r="E1370">
        <v>50</v>
      </c>
      <c r="F1370">
        <v>46.152912139999998</v>
      </c>
      <c r="G1370">
        <v>1298.3417969</v>
      </c>
      <c r="H1370">
        <v>1284.1134033000001</v>
      </c>
      <c r="I1370">
        <v>1410.9967041</v>
      </c>
      <c r="J1370">
        <v>1386.5220947</v>
      </c>
      <c r="K1370">
        <v>0</v>
      </c>
      <c r="L1370">
        <v>2750</v>
      </c>
      <c r="M1370">
        <v>2750</v>
      </c>
      <c r="N1370">
        <v>0</v>
      </c>
    </row>
    <row r="1371" spans="1:14" x14ac:dyDescent="0.25">
      <c r="A1371">
        <v>915.62917800000002</v>
      </c>
      <c r="B1371" s="1">
        <f>DATE(2012,11,1) + TIME(15,6,0)</f>
        <v>41214.629166666666</v>
      </c>
      <c r="C1371">
        <v>80</v>
      </c>
      <c r="D1371">
        <v>79.825851439999994</v>
      </c>
      <c r="E1371">
        <v>50</v>
      </c>
      <c r="F1371">
        <v>46.537834167</v>
      </c>
      <c r="G1371">
        <v>1298.3376464999999</v>
      </c>
      <c r="H1371">
        <v>1284.1085204999999</v>
      </c>
      <c r="I1371">
        <v>1410.7120361</v>
      </c>
      <c r="J1371">
        <v>1386.3905029</v>
      </c>
      <c r="K1371">
        <v>0</v>
      </c>
      <c r="L1371">
        <v>2750</v>
      </c>
      <c r="M1371">
        <v>2750</v>
      </c>
      <c r="N1371">
        <v>0</v>
      </c>
    </row>
    <row r="1372" spans="1:14" x14ac:dyDescent="0.25">
      <c r="A1372">
        <v>915.71450300000004</v>
      </c>
      <c r="B1372" s="1">
        <f>DATE(2012,11,1) + TIME(17,8,53)</f>
        <v>41214.714502314811</v>
      </c>
      <c r="C1372">
        <v>80</v>
      </c>
      <c r="D1372">
        <v>79.811134338000002</v>
      </c>
      <c r="E1372">
        <v>50</v>
      </c>
      <c r="F1372">
        <v>46.910598755000002</v>
      </c>
      <c r="G1372">
        <v>1298.333374</v>
      </c>
      <c r="H1372">
        <v>1284.1035156</v>
      </c>
      <c r="I1372">
        <v>1410.4346923999999</v>
      </c>
      <c r="J1372">
        <v>1386.2602539</v>
      </c>
      <c r="K1372">
        <v>0</v>
      </c>
      <c r="L1372">
        <v>2750</v>
      </c>
      <c r="M1372">
        <v>2750</v>
      </c>
      <c r="N1372">
        <v>0</v>
      </c>
    </row>
    <row r="1373" spans="1:14" x14ac:dyDescent="0.25">
      <c r="A1373">
        <v>915.80787399999997</v>
      </c>
      <c r="B1373" s="1">
        <f>DATE(2012,11,1) + TIME(19,23,20)</f>
        <v>41214.807870370372</v>
      </c>
      <c r="C1373">
        <v>80</v>
      </c>
      <c r="D1373">
        <v>79.795410156000003</v>
      </c>
      <c r="E1373">
        <v>50</v>
      </c>
      <c r="F1373">
        <v>47.270622252999999</v>
      </c>
      <c r="G1373">
        <v>1298.3287353999999</v>
      </c>
      <c r="H1373">
        <v>1284.0981445</v>
      </c>
      <c r="I1373">
        <v>1410.1640625</v>
      </c>
      <c r="J1373">
        <v>1386.1308594</v>
      </c>
      <c r="K1373">
        <v>0</v>
      </c>
      <c r="L1373">
        <v>2750</v>
      </c>
      <c r="M1373">
        <v>2750</v>
      </c>
      <c r="N1373">
        <v>0</v>
      </c>
    </row>
    <row r="1374" spans="1:14" x14ac:dyDescent="0.25">
      <c r="A1374">
        <v>915.91102000000001</v>
      </c>
      <c r="B1374" s="1">
        <f>DATE(2012,11,1) + TIME(21,51,52)</f>
        <v>41214.91101851852</v>
      </c>
      <c r="C1374">
        <v>80</v>
      </c>
      <c r="D1374">
        <v>79.778480529999996</v>
      </c>
      <c r="E1374">
        <v>50</v>
      </c>
      <c r="F1374">
        <v>47.617324828999998</v>
      </c>
      <c r="G1374">
        <v>1298.3237305</v>
      </c>
      <c r="H1374">
        <v>1284.0922852000001</v>
      </c>
      <c r="I1374">
        <v>1409.8996582</v>
      </c>
      <c r="J1374">
        <v>1386.0019531</v>
      </c>
      <c r="K1374">
        <v>0</v>
      </c>
      <c r="L1374">
        <v>2750</v>
      </c>
      <c r="M1374">
        <v>2750</v>
      </c>
      <c r="N1374">
        <v>0</v>
      </c>
    </row>
    <row r="1375" spans="1:14" x14ac:dyDescent="0.25">
      <c r="A1375">
        <v>916.02623700000004</v>
      </c>
      <c r="B1375" s="1">
        <f>DATE(2012,11,2) + TIME(0,37,46)</f>
        <v>41215.026226851849</v>
      </c>
      <c r="C1375">
        <v>80</v>
      </c>
      <c r="D1375">
        <v>79.760070800999998</v>
      </c>
      <c r="E1375">
        <v>50</v>
      </c>
      <c r="F1375">
        <v>47.949882506999998</v>
      </c>
      <c r="G1375">
        <v>1298.3182373</v>
      </c>
      <c r="H1375">
        <v>1284.0859375</v>
      </c>
      <c r="I1375">
        <v>1409.6411132999999</v>
      </c>
      <c r="J1375">
        <v>1385.8728027</v>
      </c>
      <c r="K1375">
        <v>0</v>
      </c>
      <c r="L1375">
        <v>2750</v>
      </c>
      <c r="M1375">
        <v>2750</v>
      </c>
      <c r="N1375">
        <v>0</v>
      </c>
    </row>
    <row r="1376" spans="1:14" x14ac:dyDescent="0.25">
      <c r="A1376">
        <v>916.15668900000003</v>
      </c>
      <c r="B1376" s="1">
        <f>DATE(2012,11,2) + TIME(3,45,37)</f>
        <v>41215.156678240739</v>
      </c>
      <c r="C1376">
        <v>80</v>
      </c>
      <c r="D1376">
        <v>79.739830017000003</v>
      </c>
      <c r="E1376">
        <v>50</v>
      </c>
      <c r="F1376">
        <v>48.267242432000003</v>
      </c>
      <c r="G1376">
        <v>1298.3120117000001</v>
      </c>
      <c r="H1376">
        <v>1284.0787353999999</v>
      </c>
      <c r="I1376">
        <v>1409.3876952999999</v>
      </c>
      <c r="J1376">
        <v>1385.7429199000001</v>
      </c>
      <c r="K1376">
        <v>0</v>
      </c>
      <c r="L1376">
        <v>2750</v>
      </c>
      <c r="M1376">
        <v>2750</v>
      </c>
      <c r="N1376">
        <v>0</v>
      </c>
    </row>
    <row r="1377" spans="1:14" x14ac:dyDescent="0.25">
      <c r="A1377">
        <v>916.30688999999995</v>
      </c>
      <c r="B1377" s="1">
        <f>DATE(2012,11,2) + TIME(7,21,55)</f>
        <v>41215.306886574072</v>
      </c>
      <c r="C1377">
        <v>80</v>
      </c>
      <c r="D1377">
        <v>79.717247009000005</v>
      </c>
      <c r="E1377">
        <v>50</v>
      </c>
      <c r="F1377">
        <v>48.568019866999997</v>
      </c>
      <c r="G1377">
        <v>1298.3051757999999</v>
      </c>
      <c r="H1377">
        <v>1284.0708007999999</v>
      </c>
      <c r="I1377">
        <v>1409.1390381000001</v>
      </c>
      <c r="J1377">
        <v>1385.6114502</v>
      </c>
      <c r="K1377">
        <v>0</v>
      </c>
      <c r="L1377">
        <v>2750</v>
      </c>
      <c r="M1377">
        <v>2750</v>
      </c>
      <c r="N1377">
        <v>0</v>
      </c>
    </row>
    <row r="1378" spans="1:14" x14ac:dyDescent="0.25">
      <c r="A1378">
        <v>916.48355300000003</v>
      </c>
      <c r="B1378" s="1">
        <f>DATE(2012,11,2) + TIME(11,36,18)</f>
        <v>41215.483541666668</v>
      </c>
      <c r="C1378">
        <v>80</v>
      </c>
      <c r="D1378">
        <v>79.691612243999998</v>
      </c>
      <c r="E1378">
        <v>50</v>
      </c>
      <c r="F1378">
        <v>48.850399017000001</v>
      </c>
      <c r="G1378">
        <v>1298.2972411999999</v>
      </c>
      <c r="H1378">
        <v>1284.0616454999999</v>
      </c>
      <c r="I1378">
        <v>1408.8941649999999</v>
      </c>
      <c r="J1378">
        <v>1385.4772949000001</v>
      </c>
      <c r="K1378">
        <v>0</v>
      </c>
      <c r="L1378">
        <v>2750</v>
      </c>
      <c r="M1378">
        <v>2750</v>
      </c>
      <c r="N1378">
        <v>0</v>
      </c>
    </row>
    <row r="1379" spans="1:14" x14ac:dyDescent="0.25">
      <c r="A1379">
        <v>916.66738199999998</v>
      </c>
      <c r="B1379" s="1">
        <f>DATE(2012,11,2) + TIME(16,1,1)</f>
        <v>41215.667372685188</v>
      </c>
      <c r="C1379">
        <v>80</v>
      </c>
      <c r="D1379">
        <v>79.665168761999993</v>
      </c>
      <c r="E1379">
        <v>50</v>
      </c>
      <c r="F1379">
        <v>49.083030700999998</v>
      </c>
      <c r="G1379">
        <v>1298.2879639</v>
      </c>
      <c r="H1379">
        <v>1284.0511475000001</v>
      </c>
      <c r="I1379">
        <v>1408.6748047000001</v>
      </c>
      <c r="J1379">
        <v>1385.3497314000001</v>
      </c>
      <c r="K1379">
        <v>0</v>
      </c>
      <c r="L1379">
        <v>2750</v>
      </c>
      <c r="M1379">
        <v>2750</v>
      </c>
      <c r="N1379">
        <v>0</v>
      </c>
    </row>
    <row r="1380" spans="1:14" x14ac:dyDescent="0.25">
      <c r="A1380">
        <v>916.85409300000003</v>
      </c>
      <c r="B1380" s="1">
        <f>DATE(2012,11,2) + TIME(20,29,53)</f>
        <v>41215.854085648149</v>
      </c>
      <c r="C1380">
        <v>80</v>
      </c>
      <c r="D1380">
        <v>79.638420104999994</v>
      </c>
      <c r="E1380">
        <v>50</v>
      </c>
      <c r="F1380">
        <v>49.269489288000003</v>
      </c>
      <c r="G1380">
        <v>1298.2781981999999</v>
      </c>
      <c r="H1380">
        <v>1284.0402832</v>
      </c>
      <c r="I1380">
        <v>1408.4835204999999</v>
      </c>
      <c r="J1380">
        <v>1385.2331543</v>
      </c>
      <c r="K1380">
        <v>0</v>
      </c>
      <c r="L1380">
        <v>2750</v>
      </c>
      <c r="M1380">
        <v>2750</v>
      </c>
      <c r="N1380">
        <v>0</v>
      </c>
    </row>
    <row r="1381" spans="1:14" x14ac:dyDescent="0.25">
      <c r="A1381">
        <v>917.04625599999997</v>
      </c>
      <c r="B1381" s="1">
        <f>DATE(2012,11,3) + TIME(1,6,36)</f>
        <v>41216.046249999999</v>
      </c>
      <c r="C1381">
        <v>80</v>
      </c>
      <c r="D1381">
        <v>79.611091614000003</v>
      </c>
      <c r="E1381">
        <v>50</v>
      </c>
      <c r="F1381">
        <v>49.420013427999997</v>
      </c>
      <c r="G1381">
        <v>1298.2684326000001</v>
      </c>
      <c r="H1381">
        <v>1284.0292969</v>
      </c>
      <c r="I1381">
        <v>1408.3150635</v>
      </c>
      <c r="J1381">
        <v>1385.1264647999999</v>
      </c>
      <c r="K1381">
        <v>0</v>
      </c>
      <c r="L1381">
        <v>2750</v>
      </c>
      <c r="M1381">
        <v>2750</v>
      </c>
      <c r="N1381">
        <v>0</v>
      </c>
    </row>
    <row r="1382" spans="1:14" x14ac:dyDescent="0.25">
      <c r="A1382">
        <v>917.24584300000004</v>
      </c>
      <c r="B1382" s="1">
        <f>DATE(2012,11,3) + TIME(5,54,0)</f>
        <v>41216.245833333334</v>
      </c>
      <c r="C1382">
        <v>80</v>
      </c>
      <c r="D1382">
        <v>79.582977295000006</v>
      </c>
      <c r="E1382">
        <v>50</v>
      </c>
      <c r="F1382">
        <v>49.541648864999999</v>
      </c>
      <c r="G1382">
        <v>1298.2584228999999</v>
      </c>
      <c r="H1382">
        <v>1284.0180664</v>
      </c>
      <c r="I1382">
        <v>1408.1644286999999</v>
      </c>
      <c r="J1382">
        <v>1385.0273437999999</v>
      </c>
      <c r="K1382">
        <v>0</v>
      </c>
      <c r="L1382">
        <v>2750</v>
      </c>
      <c r="M1382">
        <v>2750</v>
      </c>
      <c r="N1382">
        <v>0</v>
      </c>
    </row>
    <row r="1383" spans="1:14" x14ac:dyDescent="0.25">
      <c r="A1383">
        <v>917.45501300000001</v>
      </c>
      <c r="B1383" s="1">
        <f>DATE(2012,11,3) + TIME(10,55,13)</f>
        <v>41216.455011574071</v>
      </c>
      <c r="C1383">
        <v>80</v>
      </c>
      <c r="D1383">
        <v>79.553840636999993</v>
      </c>
      <c r="E1383">
        <v>50</v>
      </c>
      <c r="F1383">
        <v>49.639804839999996</v>
      </c>
      <c r="G1383">
        <v>1298.2481689000001</v>
      </c>
      <c r="H1383">
        <v>1284.0063477000001</v>
      </c>
      <c r="I1383">
        <v>1408.0280762</v>
      </c>
      <c r="J1383">
        <v>1384.934082</v>
      </c>
      <c r="K1383">
        <v>0</v>
      </c>
      <c r="L1383">
        <v>2750</v>
      </c>
      <c r="M1383">
        <v>2750</v>
      </c>
      <c r="N1383">
        <v>0</v>
      </c>
    </row>
    <row r="1384" spans="1:14" x14ac:dyDescent="0.25">
      <c r="A1384">
        <v>917.67619500000001</v>
      </c>
      <c r="B1384" s="1">
        <f>DATE(2012,11,3) + TIME(16,13,43)</f>
        <v>41216.676192129627</v>
      </c>
      <c r="C1384">
        <v>80</v>
      </c>
      <c r="D1384">
        <v>79.523429871000005</v>
      </c>
      <c r="E1384">
        <v>50</v>
      </c>
      <c r="F1384">
        <v>49.718711853000002</v>
      </c>
      <c r="G1384">
        <v>1298.2374268000001</v>
      </c>
      <c r="H1384">
        <v>1283.9942627</v>
      </c>
      <c r="I1384">
        <v>1407.9029541</v>
      </c>
      <c r="J1384">
        <v>1384.8454589999999</v>
      </c>
      <c r="K1384">
        <v>0</v>
      </c>
      <c r="L1384">
        <v>2750</v>
      </c>
      <c r="M1384">
        <v>2750</v>
      </c>
      <c r="N1384">
        <v>0</v>
      </c>
    </row>
    <row r="1385" spans="1:14" x14ac:dyDescent="0.25">
      <c r="A1385">
        <v>917.912237</v>
      </c>
      <c r="B1385" s="1">
        <f>DATE(2012,11,3) + TIME(21,53,37)</f>
        <v>41216.912233796298</v>
      </c>
      <c r="C1385">
        <v>80</v>
      </c>
      <c r="D1385">
        <v>79.491439818999993</v>
      </c>
      <c r="E1385">
        <v>50</v>
      </c>
      <c r="F1385">
        <v>49.781749724999997</v>
      </c>
      <c r="G1385">
        <v>1298.2260742000001</v>
      </c>
      <c r="H1385">
        <v>1283.9815673999999</v>
      </c>
      <c r="I1385">
        <v>1407.7867432</v>
      </c>
      <c r="J1385">
        <v>1384.7601318</v>
      </c>
      <c r="K1385">
        <v>0</v>
      </c>
      <c r="L1385">
        <v>2750</v>
      </c>
      <c r="M1385">
        <v>2750</v>
      </c>
      <c r="N1385">
        <v>0</v>
      </c>
    </row>
    <row r="1386" spans="1:14" x14ac:dyDescent="0.25">
      <c r="A1386">
        <v>918.16664000000003</v>
      </c>
      <c r="B1386" s="1">
        <f>DATE(2012,11,4) + TIME(3,59,57)</f>
        <v>41217.166631944441</v>
      </c>
      <c r="C1386">
        <v>80</v>
      </c>
      <c r="D1386">
        <v>79.457511901999993</v>
      </c>
      <c r="E1386">
        <v>50</v>
      </c>
      <c r="F1386">
        <v>49.831665039000001</v>
      </c>
      <c r="G1386">
        <v>1298.2141113</v>
      </c>
      <c r="H1386">
        <v>1283.9680175999999</v>
      </c>
      <c r="I1386">
        <v>1407.6772461</v>
      </c>
      <c r="J1386">
        <v>1384.6770019999999</v>
      </c>
      <c r="K1386">
        <v>0</v>
      </c>
      <c r="L1386">
        <v>2750</v>
      </c>
      <c r="M1386">
        <v>2750</v>
      </c>
      <c r="N1386">
        <v>0</v>
      </c>
    </row>
    <row r="1387" spans="1:14" x14ac:dyDescent="0.25">
      <c r="A1387">
        <v>918.440834</v>
      </c>
      <c r="B1387" s="1">
        <f>DATE(2012,11,4) + TIME(10,34,48)</f>
        <v>41217.440833333334</v>
      </c>
      <c r="C1387">
        <v>80</v>
      </c>
      <c r="D1387">
        <v>79.421478270999998</v>
      </c>
      <c r="E1387">
        <v>50</v>
      </c>
      <c r="F1387">
        <v>49.870426178000002</v>
      </c>
      <c r="G1387">
        <v>1298.2012939000001</v>
      </c>
      <c r="H1387">
        <v>1283.9534911999999</v>
      </c>
      <c r="I1387">
        <v>1407.572876</v>
      </c>
      <c r="J1387">
        <v>1384.5952147999999</v>
      </c>
      <c r="K1387">
        <v>0</v>
      </c>
      <c r="L1387">
        <v>2750</v>
      </c>
      <c r="M1387">
        <v>2750</v>
      </c>
      <c r="N1387">
        <v>0</v>
      </c>
    </row>
    <row r="1388" spans="1:14" x14ac:dyDescent="0.25">
      <c r="A1388">
        <v>918.73652200000004</v>
      </c>
      <c r="B1388" s="1">
        <f>DATE(2012,11,4) + TIME(17,40,35)</f>
        <v>41217.736516203702</v>
      </c>
      <c r="C1388">
        <v>80</v>
      </c>
      <c r="D1388">
        <v>79.383148192999997</v>
      </c>
      <c r="E1388">
        <v>50</v>
      </c>
      <c r="F1388">
        <v>49.899936676000003</v>
      </c>
      <c r="G1388">
        <v>1298.1876221</v>
      </c>
      <c r="H1388">
        <v>1283.9378661999999</v>
      </c>
      <c r="I1388">
        <v>1407.4725341999999</v>
      </c>
      <c r="J1388">
        <v>1384.5146483999999</v>
      </c>
      <c r="K1388">
        <v>0</v>
      </c>
      <c r="L1388">
        <v>2750</v>
      </c>
      <c r="M1388">
        <v>2750</v>
      </c>
      <c r="N1388">
        <v>0</v>
      </c>
    </row>
    <row r="1389" spans="1:14" x14ac:dyDescent="0.25">
      <c r="A1389">
        <v>919.05887199999995</v>
      </c>
      <c r="B1389" s="1">
        <f>DATE(2012,11,5) + TIME(1,24,46)</f>
        <v>41218.058865740742</v>
      </c>
      <c r="C1389">
        <v>80</v>
      </c>
      <c r="D1389">
        <v>79.342025757000002</v>
      </c>
      <c r="E1389">
        <v>50</v>
      </c>
      <c r="F1389">
        <v>49.922100067000002</v>
      </c>
      <c r="G1389">
        <v>1298.1727295000001</v>
      </c>
      <c r="H1389">
        <v>1283.9211425999999</v>
      </c>
      <c r="I1389">
        <v>1407.3754882999999</v>
      </c>
      <c r="J1389">
        <v>1384.4346923999999</v>
      </c>
      <c r="K1389">
        <v>0</v>
      </c>
      <c r="L1389">
        <v>2750</v>
      </c>
      <c r="M1389">
        <v>2750</v>
      </c>
      <c r="N1389">
        <v>0</v>
      </c>
    </row>
    <row r="1390" spans="1:14" x14ac:dyDescent="0.25">
      <c r="A1390">
        <v>919.41424700000005</v>
      </c>
      <c r="B1390" s="1">
        <f>DATE(2012,11,5) + TIME(9,56,30)</f>
        <v>41218.414236111108</v>
      </c>
      <c r="C1390">
        <v>80</v>
      </c>
      <c r="D1390">
        <v>79.297523498999993</v>
      </c>
      <c r="E1390">
        <v>50</v>
      </c>
      <c r="F1390">
        <v>49.938453674000002</v>
      </c>
      <c r="G1390">
        <v>1298.1567382999999</v>
      </c>
      <c r="H1390">
        <v>1283.9030762</v>
      </c>
      <c r="I1390">
        <v>1407.2797852000001</v>
      </c>
      <c r="J1390">
        <v>1384.3544922000001</v>
      </c>
      <c r="K1390">
        <v>0</v>
      </c>
      <c r="L1390">
        <v>2750</v>
      </c>
      <c r="M1390">
        <v>2750</v>
      </c>
      <c r="N1390">
        <v>0</v>
      </c>
    </row>
    <row r="1391" spans="1:14" x14ac:dyDescent="0.25">
      <c r="A1391">
        <v>919.80289000000005</v>
      </c>
      <c r="B1391" s="1">
        <f>DATE(2012,11,5) + TIME(19,16,9)</f>
        <v>41218.802881944444</v>
      </c>
      <c r="C1391">
        <v>80</v>
      </c>
      <c r="D1391">
        <v>79.249511718999997</v>
      </c>
      <c r="E1391">
        <v>50</v>
      </c>
      <c r="F1391">
        <v>49.950111389</v>
      </c>
      <c r="G1391">
        <v>1298.1391602000001</v>
      </c>
      <c r="H1391">
        <v>1283.8831786999999</v>
      </c>
      <c r="I1391">
        <v>1407.1842041</v>
      </c>
      <c r="J1391">
        <v>1384.2731934000001</v>
      </c>
      <c r="K1391">
        <v>0</v>
      </c>
      <c r="L1391">
        <v>2750</v>
      </c>
      <c r="M1391">
        <v>2750</v>
      </c>
      <c r="N1391">
        <v>0</v>
      </c>
    </row>
    <row r="1392" spans="1:14" x14ac:dyDescent="0.25">
      <c r="A1392">
        <v>920.19872299999997</v>
      </c>
      <c r="B1392" s="1">
        <f>DATE(2012,11,6) + TIME(4,46,9)</f>
        <v>41219.19871527778</v>
      </c>
      <c r="C1392">
        <v>80</v>
      </c>
      <c r="D1392">
        <v>79.199981688999998</v>
      </c>
      <c r="E1392">
        <v>50</v>
      </c>
      <c r="F1392">
        <v>49.957828522</v>
      </c>
      <c r="G1392">
        <v>1298.119751</v>
      </c>
      <c r="H1392">
        <v>1283.8615723</v>
      </c>
      <c r="I1392">
        <v>1407.0892334</v>
      </c>
      <c r="J1392">
        <v>1384.1912841999999</v>
      </c>
      <c r="K1392">
        <v>0</v>
      </c>
      <c r="L1392">
        <v>2750</v>
      </c>
      <c r="M1392">
        <v>2750</v>
      </c>
      <c r="N1392">
        <v>0</v>
      </c>
    </row>
    <row r="1393" spans="1:14" x14ac:dyDescent="0.25">
      <c r="A1393">
        <v>920.60367799999995</v>
      </c>
      <c r="B1393" s="1">
        <f>DATE(2012,11,6) + TIME(14,29,17)</f>
        <v>41219.603668981479</v>
      </c>
      <c r="C1393">
        <v>80</v>
      </c>
      <c r="D1393">
        <v>79.149131775000001</v>
      </c>
      <c r="E1393">
        <v>50</v>
      </c>
      <c r="F1393">
        <v>49.962947845000002</v>
      </c>
      <c r="G1393">
        <v>1298.1002197</v>
      </c>
      <c r="H1393">
        <v>1283.8395995999999</v>
      </c>
      <c r="I1393">
        <v>1407.0002440999999</v>
      </c>
      <c r="J1393">
        <v>1384.1142577999999</v>
      </c>
      <c r="K1393">
        <v>0</v>
      </c>
      <c r="L1393">
        <v>2750</v>
      </c>
      <c r="M1393">
        <v>2750</v>
      </c>
      <c r="N1393">
        <v>0</v>
      </c>
    </row>
    <row r="1394" spans="1:14" x14ac:dyDescent="0.25">
      <c r="A1394">
        <v>921.01839500000006</v>
      </c>
      <c r="B1394" s="1">
        <f>DATE(2012,11,7) + TIME(0,26,29)</f>
        <v>41220.018391203703</v>
      </c>
      <c r="C1394">
        <v>80</v>
      </c>
      <c r="D1394">
        <v>79.097145080999994</v>
      </c>
      <c r="E1394">
        <v>50</v>
      </c>
      <c r="F1394">
        <v>49.966346741000002</v>
      </c>
      <c r="G1394">
        <v>1298.0802002</v>
      </c>
      <c r="H1394">
        <v>1283.8172606999999</v>
      </c>
      <c r="I1394">
        <v>1406.9158935999999</v>
      </c>
      <c r="J1394">
        <v>1384.0408935999999</v>
      </c>
      <c r="K1394">
        <v>0</v>
      </c>
      <c r="L1394">
        <v>2750</v>
      </c>
      <c r="M1394">
        <v>2750</v>
      </c>
      <c r="N1394">
        <v>0</v>
      </c>
    </row>
    <row r="1395" spans="1:14" x14ac:dyDescent="0.25">
      <c r="A1395">
        <v>921.44740899999999</v>
      </c>
      <c r="B1395" s="1">
        <f>DATE(2012,11,7) + TIME(10,44,16)</f>
        <v>41220.44740740741</v>
      </c>
      <c r="C1395">
        <v>80</v>
      </c>
      <c r="D1395">
        <v>79.043800353999998</v>
      </c>
      <c r="E1395">
        <v>50</v>
      </c>
      <c r="F1395">
        <v>49.968616486000002</v>
      </c>
      <c r="G1395">
        <v>1298.0599365</v>
      </c>
      <c r="H1395">
        <v>1283.7943115</v>
      </c>
      <c r="I1395">
        <v>1406.8354492000001</v>
      </c>
      <c r="J1395">
        <v>1383.9709473</v>
      </c>
      <c r="K1395">
        <v>0</v>
      </c>
      <c r="L1395">
        <v>2750</v>
      </c>
      <c r="M1395">
        <v>2750</v>
      </c>
      <c r="N1395">
        <v>0</v>
      </c>
    </row>
    <row r="1396" spans="1:14" x14ac:dyDescent="0.25">
      <c r="A1396">
        <v>921.89537700000005</v>
      </c>
      <c r="B1396" s="1">
        <f>DATE(2012,11,7) + TIME(21,29,20)</f>
        <v>41220.895370370374</v>
      </c>
      <c r="C1396">
        <v>80</v>
      </c>
      <c r="D1396">
        <v>78.988761901999993</v>
      </c>
      <c r="E1396">
        <v>50</v>
      </c>
      <c r="F1396">
        <v>49.970138550000001</v>
      </c>
      <c r="G1396">
        <v>1298.0389404</v>
      </c>
      <c r="H1396">
        <v>1283.7706298999999</v>
      </c>
      <c r="I1396">
        <v>1406.7578125</v>
      </c>
      <c r="J1396">
        <v>1383.9033202999999</v>
      </c>
      <c r="K1396">
        <v>0</v>
      </c>
      <c r="L1396">
        <v>2750</v>
      </c>
      <c r="M1396">
        <v>2750</v>
      </c>
      <c r="N1396">
        <v>0</v>
      </c>
    </row>
    <row r="1397" spans="1:14" x14ac:dyDescent="0.25">
      <c r="A1397">
        <v>922.36748899999998</v>
      </c>
      <c r="B1397" s="1">
        <f>DATE(2012,11,8) + TIME(8,49,11)</f>
        <v>41221.367488425924</v>
      </c>
      <c r="C1397">
        <v>80</v>
      </c>
      <c r="D1397">
        <v>78.931610106999997</v>
      </c>
      <c r="E1397">
        <v>50</v>
      </c>
      <c r="F1397">
        <v>49.971168517999999</v>
      </c>
      <c r="G1397">
        <v>1298.0170897999999</v>
      </c>
      <c r="H1397">
        <v>1283.7459716999999</v>
      </c>
      <c r="I1397">
        <v>1406.6816406</v>
      </c>
      <c r="J1397">
        <v>1383.8370361</v>
      </c>
      <c r="K1397">
        <v>0</v>
      </c>
      <c r="L1397">
        <v>2750</v>
      </c>
      <c r="M1397">
        <v>2750</v>
      </c>
      <c r="N1397">
        <v>0</v>
      </c>
    </row>
    <row r="1398" spans="1:14" x14ac:dyDescent="0.25">
      <c r="A1398">
        <v>922.869776</v>
      </c>
      <c r="B1398" s="1">
        <f>DATE(2012,11,8) + TIME(20,52,28)</f>
        <v>41221.869768518518</v>
      </c>
      <c r="C1398">
        <v>80</v>
      </c>
      <c r="D1398">
        <v>78.871810913000004</v>
      </c>
      <c r="E1398">
        <v>50</v>
      </c>
      <c r="F1398">
        <v>49.971870422000002</v>
      </c>
      <c r="G1398">
        <v>1297.9941406</v>
      </c>
      <c r="H1398">
        <v>1283.7200928</v>
      </c>
      <c r="I1398">
        <v>1406.6063231999999</v>
      </c>
      <c r="J1398">
        <v>1383.7716064000001</v>
      </c>
      <c r="K1398">
        <v>0</v>
      </c>
      <c r="L1398">
        <v>2750</v>
      </c>
      <c r="M1398">
        <v>2750</v>
      </c>
      <c r="N1398">
        <v>0</v>
      </c>
    </row>
    <row r="1399" spans="1:14" x14ac:dyDescent="0.25">
      <c r="A1399">
        <v>923.40982899999995</v>
      </c>
      <c r="B1399" s="1">
        <f>DATE(2012,11,9) + TIME(9,50,9)</f>
        <v>41222.409826388888</v>
      </c>
      <c r="C1399">
        <v>80</v>
      </c>
      <c r="D1399">
        <v>78.808700561999999</v>
      </c>
      <c r="E1399">
        <v>50</v>
      </c>
      <c r="F1399">
        <v>49.972347259999999</v>
      </c>
      <c r="G1399">
        <v>1297.9698486</v>
      </c>
      <c r="H1399">
        <v>1283.6926269999999</v>
      </c>
      <c r="I1399">
        <v>1406.5308838000001</v>
      </c>
      <c r="J1399">
        <v>1383.7060547000001</v>
      </c>
      <c r="K1399">
        <v>0</v>
      </c>
      <c r="L1399">
        <v>2750</v>
      </c>
      <c r="M1399">
        <v>2750</v>
      </c>
      <c r="N1399">
        <v>0</v>
      </c>
    </row>
    <row r="1400" spans="1:14" x14ac:dyDescent="0.25">
      <c r="A1400">
        <v>923.99361699999997</v>
      </c>
      <c r="B1400" s="1">
        <f>DATE(2012,11,9) + TIME(23,50,48)</f>
        <v>41222.993611111109</v>
      </c>
      <c r="C1400">
        <v>80</v>
      </c>
      <c r="D1400">
        <v>78.741676330999994</v>
      </c>
      <c r="E1400">
        <v>50</v>
      </c>
      <c r="F1400">
        <v>49.972679137999997</v>
      </c>
      <c r="G1400">
        <v>1297.9437256000001</v>
      </c>
      <c r="H1400">
        <v>1283.6630858999999</v>
      </c>
      <c r="I1400">
        <v>1406.4545897999999</v>
      </c>
      <c r="J1400">
        <v>1383.6400146000001</v>
      </c>
      <c r="K1400">
        <v>0</v>
      </c>
      <c r="L1400">
        <v>2750</v>
      </c>
      <c r="M1400">
        <v>2750</v>
      </c>
      <c r="N1400">
        <v>0</v>
      </c>
    </row>
    <row r="1401" spans="1:14" x14ac:dyDescent="0.25">
      <c r="A1401">
        <v>924.60093400000005</v>
      </c>
      <c r="B1401" s="1">
        <f>DATE(2012,11,10) + TIME(14,25,20)</f>
        <v>41223.600925925923</v>
      </c>
      <c r="C1401">
        <v>80</v>
      </c>
      <c r="D1401">
        <v>78.671752929999997</v>
      </c>
      <c r="E1401">
        <v>50</v>
      </c>
      <c r="F1401">
        <v>49.972900391000003</v>
      </c>
      <c r="G1401">
        <v>1297.9154053</v>
      </c>
      <c r="H1401">
        <v>1283.6312256000001</v>
      </c>
      <c r="I1401">
        <v>1406.3769531</v>
      </c>
      <c r="J1401">
        <v>1383.5729980000001</v>
      </c>
      <c r="K1401">
        <v>0</v>
      </c>
      <c r="L1401">
        <v>2750</v>
      </c>
      <c r="M1401">
        <v>2750</v>
      </c>
      <c r="N1401">
        <v>0</v>
      </c>
    </row>
    <row r="1402" spans="1:14" x14ac:dyDescent="0.25">
      <c r="A1402">
        <v>925.22380799999996</v>
      </c>
      <c r="B1402" s="1">
        <f>DATE(2012,11,11) + TIME(5,22,16)</f>
        <v>41224.223796296297</v>
      </c>
      <c r="C1402">
        <v>80</v>
      </c>
      <c r="D1402">
        <v>78.599800110000004</v>
      </c>
      <c r="E1402">
        <v>50</v>
      </c>
      <c r="F1402">
        <v>49.973049164000003</v>
      </c>
      <c r="G1402">
        <v>1297.8859863</v>
      </c>
      <c r="H1402">
        <v>1283.5981445</v>
      </c>
      <c r="I1402">
        <v>1406.3011475000001</v>
      </c>
      <c r="J1402">
        <v>1383.5074463000001</v>
      </c>
      <c r="K1402">
        <v>0</v>
      </c>
      <c r="L1402">
        <v>2750</v>
      </c>
      <c r="M1402">
        <v>2750</v>
      </c>
      <c r="N1402">
        <v>0</v>
      </c>
    </row>
    <row r="1403" spans="1:14" x14ac:dyDescent="0.25">
      <c r="A1403">
        <v>925.87062300000002</v>
      </c>
      <c r="B1403" s="1">
        <f>DATE(2012,11,11) + TIME(20,53,41)</f>
        <v>41224.870613425926</v>
      </c>
      <c r="C1403">
        <v>80</v>
      </c>
      <c r="D1403">
        <v>78.525718689000001</v>
      </c>
      <c r="E1403">
        <v>50</v>
      </c>
      <c r="F1403">
        <v>49.973155974999997</v>
      </c>
      <c r="G1403">
        <v>1297.8558350000001</v>
      </c>
      <c r="H1403">
        <v>1283.5640868999999</v>
      </c>
      <c r="I1403">
        <v>1406.2277832</v>
      </c>
      <c r="J1403">
        <v>1383.4443358999999</v>
      </c>
      <c r="K1403">
        <v>0</v>
      </c>
      <c r="L1403">
        <v>2750</v>
      </c>
      <c r="M1403">
        <v>2750</v>
      </c>
      <c r="N1403">
        <v>0</v>
      </c>
    </row>
    <row r="1404" spans="1:14" x14ac:dyDescent="0.25">
      <c r="A1404">
        <v>926.53717099999994</v>
      </c>
      <c r="B1404" s="1">
        <f>DATE(2012,11,12) + TIME(12,53,31)</f>
        <v>41225.537164351852</v>
      </c>
      <c r="C1404">
        <v>80</v>
      </c>
      <c r="D1404">
        <v>78.449813843000001</v>
      </c>
      <c r="E1404">
        <v>50</v>
      </c>
      <c r="F1404">
        <v>49.973228454999997</v>
      </c>
      <c r="G1404">
        <v>1297.8245850000001</v>
      </c>
      <c r="H1404">
        <v>1283.5288086</v>
      </c>
      <c r="I1404">
        <v>1406.1558838000001</v>
      </c>
      <c r="J1404">
        <v>1383.3825684000001</v>
      </c>
      <c r="K1404">
        <v>0</v>
      </c>
      <c r="L1404">
        <v>2750</v>
      </c>
      <c r="M1404">
        <v>2750</v>
      </c>
      <c r="N1404">
        <v>0</v>
      </c>
    </row>
    <row r="1405" spans="1:14" x14ac:dyDescent="0.25">
      <c r="A1405">
        <v>927.22218799999996</v>
      </c>
      <c r="B1405" s="1">
        <f>DATE(2012,11,13) + TIME(5,19,57)</f>
        <v>41226.222187500003</v>
      </c>
      <c r="C1405">
        <v>80</v>
      </c>
      <c r="D1405">
        <v>78.372322083</v>
      </c>
      <c r="E1405">
        <v>50</v>
      </c>
      <c r="F1405">
        <v>49.973285675</v>
      </c>
      <c r="G1405">
        <v>1297.7922363</v>
      </c>
      <c r="H1405">
        <v>1283.4923096</v>
      </c>
      <c r="I1405">
        <v>1406.0858154</v>
      </c>
      <c r="J1405">
        <v>1383.3223877</v>
      </c>
      <c r="K1405">
        <v>0</v>
      </c>
      <c r="L1405">
        <v>2750</v>
      </c>
      <c r="M1405">
        <v>2750</v>
      </c>
      <c r="N1405">
        <v>0</v>
      </c>
    </row>
    <row r="1406" spans="1:14" x14ac:dyDescent="0.25">
      <c r="A1406">
        <v>927.93320400000005</v>
      </c>
      <c r="B1406" s="1">
        <f>DATE(2012,11,13) + TIME(22,23,48)</f>
        <v>41226.933194444442</v>
      </c>
      <c r="C1406">
        <v>80</v>
      </c>
      <c r="D1406">
        <v>78.292945861999996</v>
      </c>
      <c r="E1406">
        <v>50</v>
      </c>
      <c r="F1406">
        <v>49.973323821999998</v>
      </c>
      <c r="G1406">
        <v>1297.7591553</v>
      </c>
      <c r="H1406">
        <v>1283.4548339999999</v>
      </c>
      <c r="I1406">
        <v>1406.0175781</v>
      </c>
      <c r="J1406">
        <v>1383.2640381000001</v>
      </c>
      <c r="K1406">
        <v>0</v>
      </c>
      <c r="L1406">
        <v>2750</v>
      </c>
      <c r="M1406">
        <v>2750</v>
      </c>
      <c r="N1406">
        <v>0</v>
      </c>
    </row>
    <row r="1407" spans="1:14" x14ac:dyDescent="0.25">
      <c r="A1407">
        <v>928.67834100000005</v>
      </c>
      <c r="B1407" s="1">
        <f>DATE(2012,11,14) + TIME(16,16,48)</f>
        <v>41227.678333333337</v>
      </c>
      <c r="C1407">
        <v>80</v>
      </c>
      <c r="D1407">
        <v>78.211143493999998</v>
      </c>
      <c r="E1407">
        <v>50</v>
      </c>
      <c r="F1407">
        <v>49.973358154000003</v>
      </c>
      <c r="G1407">
        <v>1297.7247314000001</v>
      </c>
      <c r="H1407">
        <v>1283.4157714999999</v>
      </c>
      <c r="I1407">
        <v>1405.9504394999999</v>
      </c>
      <c r="J1407">
        <v>1383.2066649999999</v>
      </c>
      <c r="K1407">
        <v>0</v>
      </c>
      <c r="L1407">
        <v>2750</v>
      </c>
      <c r="M1407">
        <v>2750</v>
      </c>
      <c r="N1407">
        <v>0</v>
      </c>
    </row>
    <row r="1408" spans="1:14" x14ac:dyDescent="0.25">
      <c r="A1408">
        <v>929.46696999999995</v>
      </c>
      <c r="B1408" s="1">
        <f>DATE(2012,11,15) + TIME(11,12,26)</f>
        <v>41228.466967592591</v>
      </c>
      <c r="C1408">
        <v>80</v>
      </c>
      <c r="D1408">
        <v>78.126190186000002</v>
      </c>
      <c r="E1408">
        <v>50</v>
      </c>
      <c r="F1408">
        <v>49.973381042</v>
      </c>
      <c r="G1408">
        <v>1297.6885986</v>
      </c>
      <c r="H1408">
        <v>1283.3747559000001</v>
      </c>
      <c r="I1408">
        <v>1405.8836670000001</v>
      </c>
      <c r="J1408">
        <v>1383.1496582</v>
      </c>
      <c r="K1408">
        <v>0</v>
      </c>
      <c r="L1408">
        <v>2750</v>
      </c>
      <c r="M1408">
        <v>2750</v>
      </c>
      <c r="N1408">
        <v>0</v>
      </c>
    </row>
    <row r="1409" spans="1:14" x14ac:dyDescent="0.25">
      <c r="A1409">
        <v>930.31065699999999</v>
      </c>
      <c r="B1409" s="1">
        <f>DATE(2012,11,16) + TIME(7,27,20)</f>
        <v>41229.310648148145</v>
      </c>
      <c r="C1409">
        <v>80</v>
      </c>
      <c r="D1409">
        <v>78.037178040000001</v>
      </c>
      <c r="E1409">
        <v>50</v>
      </c>
      <c r="F1409">
        <v>49.973403931</v>
      </c>
      <c r="G1409">
        <v>1297.6503906</v>
      </c>
      <c r="H1409">
        <v>1283.3311768000001</v>
      </c>
      <c r="I1409">
        <v>1405.8164062000001</v>
      </c>
      <c r="J1409">
        <v>1383.0922852000001</v>
      </c>
      <c r="K1409">
        <v>0</v>
      </c>
      <c r="L1409">
        <v>2750</v>
      </c>
      <c r="M1409">
        <v>2750</v>
      </c>
      <c r="N1409">
        <v>0</v>
      </c>
    </row>
    <row r="1410" spans="1:14" x14ac:dyDescent="0.25">
      <c r="A1410">
        <v>931.18446200000005</v>
      </c>
      <c r="B1410" s="1">
        <f>DATE(2012,11,17) + TIME(4,25,37)</f>
        <v>41230.18445601852</v>
      </c>
      <c r="C1410">
        <v>80</v>
      </c>
      <c r="D1410">
        <v>77.944839478000006</v>
      </c>
      <c r="E1410">
        <v>50</v>
      </c>
      <c r="F1410">
        <v>49.973423003999997</v>
      </c>
      <c r="G1410">
        <v>1297.6091309000001</v>
      </c>
      <c r="H1410">
        <v>1283.2845459</v>
      </c>
      <c r="I1410">
        <v>1405.7480469</v>
      </c>
      <c r="J1410">
        <v>1383.0341797000001</v>
      </c>
      <c r="K1410">
        <v>0</v>
      </c>
      <c r="L1410">
        <v>2750</v>
      </c>
      <c r="M1410">
        <v>2750</v>
      </c>
      <c r="N1410">
        <v>0</v>
      </c>
    </row>
    <row r="1411" spans="1:14" x14ac:dyDescent="0.25">
      <c r="A1411">
        <v>932.09990100000005</v>
      </c>
      <c r="B1411" s="1">
        <f>DATE(2012,11,18) + TIME(2,23,51)</f>
        <v>41231.099895833337</v>
      </c>
      <c r="C1411">
        <v>80</v>
      </c>
      <c r="D1411">
        <v>77.849243164000001</v>
      </c>
      <c r="E1411">
        <v>50</v>
      </c>
      <c r="F1411">
        <v>49.973442077999998</v>
      </c>
      <c r="G1411">
        <v>1297.5665283000001</v>
      </c>
      <c r="H1411">
        <v>1283.2359618999999</v>
      </c>
      <c r="I1411">
        <v>1405.6807861</v>
      </c>
      <c r="J1411">
        <v>1382.9770507999999</v>
      </c>
      <c r="K1411">
        <v>0</v>
      </c>
      <c r="L1411">
        <v>2750</v>
      </c>
      <c r="M1411">
        <v>2750</v>
      </c>
      <c r="N1411">
        <v>0</v>
      </c>
    </row>
    <row r="1412" spans="1:14" x14ac:dyDescent="0.25">
      <c r="A1412">
        <v>933.03067699999997</v>
      </c>
      <c r="B1412" s="1">
        <f>DATE(2012,11,19) + TIME(0,44,10)</f>
        <v>41232.030671296299</v>
      </c>
      <c r="C1412">
        <v>80</v>
      </c>
      <c r="D1412">
        <v>77.751564025999997</v>
      </c>
      <c r="E1412">
        <v>50</v>
      </c>
      <c r="F1412">
        <v>49.973457336000003</v>
      </c>
      <c r="G1412">
        <v>1297.5214844</v>
      </c>
      <c r="H1412">
        <v>1283.1848144999999</v>
      </c>
      <c r="I1412">
        <v>1405.6137695</v>
      </c>
      <c r="J1412">
        <v>1382.9201660000001</v>
      </c>
      <c r="K1412">
        <v>0</v>
      </c>
      <c r="L1412">
        <v>2750</v>
      </c>
      <c r="M1412">
        <v>2750</v>
      </c>
      <c r="N1412">
        <v>0</v>
      </c>
    </row>
    <row r="1413" spans="1:14" x14ac:dyDescent="0.25">
      <c r="A1413">
        <v>933.98075400000005</v>
      </c>
      <c r="B1413" s="1">
        <f>DATE(2012,11,19) + TIME(23,32,17)</f>
        <v>41232.980752314812</v>
      </c>
      <c r="C1413">
        <v>80</v>
      </c>
      <c r="D1413">
        <v>77.652519225999995</v>
      </c>
      <c r="E1413">
        <v>50</v>
      </c>
      <c r="F1413">
        <v>49.973472594999997</v>
      </c>
      <c r="G1413">
        <v>1297.4755858999999</v>
      </c>
      <c r="H1413">
        <v>1283.1324463000001</v>
      </c>
      <c r="I1413">
        <v>1405.5489502</v>
      </c>
      <c r="J1413">
        <v>1382.8652344</v>
      </c>
      <c r="K1413">
        <v>0</v>
      </c>
      <c r="L1413">
        <v>2750</v>
      </c>
      <c r="M1413">
        <v>2750</v>
      </c>
      <c r="N1413">
        <v>0</v>
      </c>
    </row>
    <row r="1414" spans="1:14" x14ac:dyDescent="0.25">
      <c r="A1414">
        <v>934.96052799999995</v>
      </c>
      <c r="B1414" s="1">
        <f>DATE(2012,11,20) + TIME(23,3,9)</f>
        <v>41233.960520833331</v>
      </c>
      <c r="C1414">
        <v>80</v>
      </c>
      <c r="D1414">
        <v>77.551925659000005</v>
      </c>
      <c r="E1414">
        <v>50</v>
      </c>
      <c r="F1414">
        <v>49.973487853999998</v>
      </c>
      <c r="G1414">
        <v>1297.4284668</v>
      </c>
      <c r="H1414">
        <v>1283.0786132999999</v>
      </c>
      <c r="I1414">
        <v>1405.4859618999999</v>
      </c>
      <c r="J1414">
        <v>1382.8117675999999</v>
      </c>
      <c r="K1414">
        <v>0</v>
      </c>
      <c r="L1414">
        <v>2750</v>
      </c>
      <c r="M1414">
        <v>2750</v>
      </c>
      <c r="N1414">
        <v>0</v>
      </c>
    </row>
    <row r="1415" spans="1:14" x14ac:dyDescent="0.25">
      <c r="A1415">
        <v>935.98105099999998</v>
      </c>
      <c r="B1415" s="1">
        <f>DATE(2012,11,21) + TIME(23,32,42)</f>
        <v>41234.981041666666</v>
      </c>
      <c r="C1415">
        <v>80</v>
      </c>
      <c r="D1415">
        <v>77.449150084999999</v>
      </c>
      <c r="E1415">
        <v>50</v>
      </c>
      <c r="F1415">
        <v>49.973503113</v>
      </c>
      <c r="G1415">
        <v>1297.3796387</v>
      </c>
      <c r="H1415">
        <v>1283.0227050999999</v>
      </c>
      <c r="I1415">
        <v>1405.4238281</v>
      </c>
      <c r="J1415">
        <v>1382.7591553</v>
      </c>
      <c r="K1415">
        <v>0</v>
      </c>
      <c r="L1415">
        <v>2750</v>
      </c>
      <c r="M1415">
        <v>2750</v>
      </c>
      <c r="N1415">
        <v>0</v>
      </c>
    </row>
    <row r="1416" spans="1:14" x14ac:dyDescent="0.25">
      <c r="A1416">
        <v>937.05488100000002</v>
      </c>
      <c r="B1416" s="1">
        <f>DATE(2012,11,23) + TIME(1,19,1)</f>
        <v>41236.054872685185</v>
      </c>
      <c r="C1416">
        <v>80</v>
      </c>
      <c r="D1416">
        <v>77.343269348000007</v>
      </c>
      <c r="E1416">
        <v>50</v>
      </c>
      <c r="F1416">
        <v>49.973518372000001</v>
      </c>
      <c r="G1416">
        <v>1297.3286132999999</v>
      </c>
      <c r="H1416">
        <v>1282.9638672000001</v>
      </c>
      <c r="I1416">
        <v>1405.3620605000001</v>
      </c>
      <c r="J1416">
        <v>1382.7069091999999</v>
      </c>
      <c r="K1416">
        <v>0</v>
      </c>
      <c r="L1416">
        <v>2750</v>
      </c>
      <c r="M1416">
        <v>2750</v>
      </c>
      <c r="N1416">
        <v>0</v>
      </c>
    </row>
    <row r="1417" spans="1:14" x14ac:dyDescent="0.25">
      <c r="A1417">
        <v>938.18003099999999</v>
      </c>
      <c r="B1417" s="1">
        <f>DATE(2012,11,24) + TIME(4,19,14)</f>
        <v>41237.180023148147</v>
      </c>
      <c r="C1417">
        <v>80</v>
      </c>
      <c r="D1417">
        <v>77.233840942</v>
      </c>
      <c r="E1417">
        <v>50</v>
      </c>
      <c r="F1417">
        <v>49.973537444999998</v>
      </c>
      <c r="G1417">
        <v>1297.2744141000001</v>
      </c>
      <c r="H1417">
        <v>1282.9016113</v>
      </c>
      <c r="I1417">
        <v>1405.2998047000001</v>
      </c>
      <c r="J1417">
        <v>1382.6542969</v>
      </c>
      <c r="K1417">
        <v>0</v>
      </c>
      <c r="L1417">
        <v>2750</v>
      </c>
      <c r="M1417">
        <v>2750</v>
      </c>
      <c r="N1417">
        <v>0</v>
      </c>
    </row>
    <row r="1418" spans="1:14" x14ac:dyDescent="0.25">
      <c r="A1418">
        <v>939.34649100000001</v>
      </c>
      <c r="B1418" s="1">
        <f>DATE(2012,11,25) + TIME(8,18,56)</f>
        <v>41238.34648148148</v>
      </c>
      <c r="C1418">
        <v>80</v>
      </c>
      <c r="D1418">
        <v>77.121154785000002</v>
      </c>
      <c r="E1418">
        <v>50</v>
      </c>
      <c r="F1418">
        <v>49.973556518999999</v>
      </c>
      <c r="G1418">
        <v>1297.2171631000001</v>
      </c>
      <c r="H1418">
        <v>1282.8355713000001</v>
      </c>
      <c r="I1418">
        <v>1405.2375488</v>
      </c>
      <c r="J1418">
        <v>1382.6016846</v>
      </c>
      <c r="K1418">
        <v>0</v>
      </c>
      <c r="L1418">
        <v>2750</v>
      </c>
      <c r="M1418">
        <v>2750</v>
      </c>
      <c r="N1418">
        <v>0</v>
      </c>
    </row>
    <row r="1419" spans="1:14" x14ac:dyDescent="0.25">
      <c r="A1419">
        <v>940.57100600000001</v>
      </c>
      <c r="B1419" s="1">
        <f>DATE(2012,11,26) + TIME(13,42,14)</f>
        <v>41239.57099537037</v>
      </c>
      <c r="C1419">
        <v>80</v>
      </c>
      <c r="D1419">
        <v>77.005004882999998</v>
      </c>
      <c r="E1419">
        <v>50</v>
      </c>
      <c r="F1419">
        <v>49.973575592000003</v>
      </c>
      <c r="G1419">
        <v>1297.1572266000001</v>
      </c>
      <c r="H1419">
        <v>1282.7663574000001</v>
      </c>
      <c r="I1419">
        <v>1405.1756591999999</v>
      </c>
      <c r="J1419">
        <v>1382.5495605000001</v>
      </c>
      <c r="K1419">
        <v>0</v>
      </c>
      <c r="L1419">
        <v>2750</v>
      </c>
      <c r="M1419">
        <v>2750</v>
      </c>
      <c r="N1419">
        <v>0</v>
      </c>
    </row>
    <row r="1420" spans="1:14" x14ac:dyDescent="0.25">
      <c r="A1420">
        <v>941.81834000000003</v>
      </c>
      <c r="B1420" s="1">
        <f>DATE(2012,11,27) + TIME(19,38,24)</f>
        <v>41240.818333333336</v>
      </c>
      <c r="C1420">
        <v>80</v>
      </c>
      <c r="D1420">
        <v>76.886260985999996</v>
      </c>
      <c r="E1420">
        <v>50</v>
      </c>
      <c r="F1420">
        <v>49.973594665999997</v>
      </c>
      <c r="G1420">
        <v>1297.09375</v>
      </c>
      <c r="H1420">
        <v>1282.6928711</v>
      </c>
      <c r="I1420">
        <v>1405.1136475000001</v>
      </c>
      <c r="J1420">
        <v>1382.4970702999999</v>
      </c>
      <c r="K1420">
        <v>0</v>
      </c>
      <c r="L1420">
        <v>2750</v>
      </c>
      <c r="M1420">
        <v>2750</v>
      </c>
      <c r="N1420">
        <v>0</v>
      </c>
    </row>
    <row r="1421" spans="1:14" x14ac:dyDescent="0.25">
      <c r="A1421">
        <v>943.08848899999998</v>
      </c>
      <c r="B1421" s="1">
        <f>DATE(2012,11,29) + TIME(2,7,25)</f>
        <v>41242.088483796295</v>
      </c>
      <c r="C1421">
        <v>80</v>
      </c>
      <c r="D1421">
        <v>76.766166686999995</v>
      </c>
      <c r="E1421">
        <v>50</v>
      </c>
      <c r="F1421">
        <v>49.973613739000001</v>
      </c>
      <c r="G1421">
        <v>1297.0283202999999</v>
      </c>
      <c r="H1421">
        <v>1282.6168213000001</v>
      </c>
      <c r="I1421">
        <v>1405.0529785000001</v>
      </c>
      <c r="J1421">
        <v>1382.4459228999999</v>
      </c>
      <c r="K1421">
        <v>0</v>
      </c>
      <c r="L1421">
        <v>2750</v>
      </c>
      <c r="M1421">
        <v>2750</v>
      </c>
      <c r="N1421">
        <v>0</v>
      </c>
    </row>
    <row r="1422" spans="1:14" x14ac:dyDescent="0.25">
      <c r="A1422">
        <v>944.39516100000003</v>
      </c>
      <c r="B1422" s="1">
        <f>DATE(2012,11,30) + TIME(9,29,1)</f>
        <v>41243.395150462966</v>
      </c>
      <c r="C1422">
        <v>80</v>
      </c>
      <c r="D1422">
        <v>76.644752502000003</v>
      </c>
      <c r="E1422">
        <v>50</v>
      </c>
      <c r="F1422">
        <v>49.973636626999998</v>
      </c>
      <c r="G1422">
        <v>1296.9609375</v>
      </c>
      <c r="H1422">
        <v>1282.5380858999999</v>
      </c>
      <c r="I1422">
        <v>1404.9938964999999</v>
      </c>
      <c r="J1422">
        <v>1382.3961182</v>
      </c>
      <c r="K1422">
        <v>0</v>
      </c>
      <c r="L1422">
        <v>2750</v>
      </c>
      <c r="M1422">
        <v>2750</v>
      </c>
      <c r="N1422">
        <v>0</v>
      </c>
    </row>
    <row r="1423" spans="1:14" x14ac:dyDescent="0.25">
      <c r="A1423">
        <v>945</v>
      </c>
      <c r="B1423" s="1">
        <f>DATE(2012,12,1) + TIME(0,0,0)</f>
        <v>41244</v>
      </c>
      <c r="C1423">
        <v>80</v>
      </c>
      <c r="D1423">
        <v>76.559059142999999</v>
      </c>
      <c r="E1423">
        <v>50</v>
      </c>
      <c r="F1423">
        <v>49.973640441999997</v>
      </c>
      <c r="G1423">
        <v>1296.8891602000001</v>
      </c>
      <c r="H1423">
        <v>1282.4588623</v>
      </c>
      <c r="I1423">
        <v>1404.9351807</v>
      </c>
      <c r="J1423">
        <v>1382.3464355000001</v>
      </c>
      <c r="K1423">
        <v>0</v>
      </c>
      <c r="L1423">
        <v>2750</v>
      </c>
      <c r="M1423">
        <v>2750</v>
      </c>
      <c r="N1423">
        <v>0</v>
      </c>
    </row>
    <row r="1424" spans="1:14" x14ac:dyDescent="0.25">
      <c r="A1424">
        <v>946.35771</v>
      </c>
      <c r="B1424" s="1">
        <f>DATE(2012,12,2) + TIME(8,35,6)</f>
        <v>41245.357708333337</v>
      </c>
      <c r="C1424">
        <v>80</v>
      </c>
      <c r="D1424">
        <v>76.454811096</v>
      </c>
      <c r="E1424">
        <v>50</v>
      </c>
      <c r="F1424">
        <v>49.973667145</v>
      </c>
      <c r="G1424">
        <v>1296.8575439000001</v>
      </c>
      <c r="H1424">
        <v>1282.4151611</v>
      </c>
      <c r="I1424">
        <v>1404.9093018000001</v>
      </c>
      <c r="J1424">
        <v>1382.324707</v>
      </c>
      <c r="K1424">
        <v>0</v>
      </c>
      <c r="L1424">
        <v>2750</v>
      </c>
      <c r="M1424">
        <v>2750</v>
      </c>
      <c r="N1424">
        <v>0</v>
      </c>
    </row>
    <row r="1425" spans="1:14" x14ac:dyDescent="0.25">
      <c r="A1425">
        <v>947.82031099999995</v>
      </c>
      <c r="B1425" s="1">
        <f>DATE(2012,12,3) + TIME(19,41,14)</f>
        <v>41246.820300925923</v>
      </c>
      <c r="C1425">
        <v>80</v>
      </c>
      <c r="D1425">
        <v>76.334480286000002</v>
      </c>
      <c r="E1425">
        <v>50</v>
      </c>
      <c r="F1425">
        <v>49.973693848000003</v>
      </c>
      <c r="G1425">
        <v>1296.7835693</v>
      </c>
      <c r="H1425">
        <v>1282.3288574000001</v>
      </c>
      <c r="I1425">
        <v>1404.8521728999999</v>
      </c>
      <c r="J1425">
        <v>1382.2763672000001</v>
      </c>
      <c r="K1425">
        <v>0</v>
      </c>
      <c r="L1425">
        <v>2750</v>
      </c>
      <c r="M1425">
        <v>2750</v>
      </c>
      <c r="N1425">
        <v>0</v>
      </c>
    </row>
    <row r="1426" spans="1:14" x14ac:dyDescent="0.25">
      <c r="A1426">
        <v>949.35076400000003</v>
      </c>
      <c r="B1426" s="1">
        <f>DATE(2012,12,5) + TIME(8,25,6)</f>
        <v>41248.350763888891</v>
      </c>
      <c r="C1426">
        <v>80</v>
      </c>
      <c r="D1426">
        <v>76.204353333</v>
      </c>
      <c r="E1426">
        <v>50</v>
      </c>
      <c r="F1426">
        <v>49.973720551</v>
      </c>
      <c r="G1426">
        <v>1296.7023925999999</v>
      </c>
      <c r="H1426">
        <v>1282.2333983999999</v>
      </c>
      <c r="I1426">
        <v>1404.7928466999999</v>
      </c>
      <c r="J1426">
        <v>1382.2263184000001</v>
      </c>
      <c r="K1426">
        <v>0</v>
      </c>
      <c r="L1426">
        <v>2750</v>
      </c>
      <c r="M1426">
        <v>2750</v>
      </c>
      <c r="N1426">
        <v>0</v>
      </c>
    </row>
    <row r="1427" spans="1:14" x14ac:dyDescent="0.25">
      <c r="A1427">
        <v>950.91432499999996</v>
      </c>
      <c r="B1427" s="1">
        <f>DATE(2012,12,6) + TIME(21,56,37)</f>
        <v>41249.914317129631</v>
      </c>
      <c r="C1427">
        <v>80</v>
      </c>
      <c r="D1427">
        <v>76.069122313999998</v>
      </c>
      <c r="E1427">
        <v>50</v>
      </c>
      <c r="F1427">
        <v>49.973747252999999</v>
      </c>
      <c r="G1427">
        <v>1296.6159668</v>
      </c>
      <c r="H1427">
        <v>1282.1312256000001</v>
      </c>
      <c r="I1427">
        <v>1404.7331543</v>
      </c>
      <c r="J1427">
        <v>1382.1759033000001</v>
      </c>
      <c r="K1427">
        <v>0</v>
      </c>
      <c r="L1427">
        <v>2750</v>
      </c>
      <c r="M1427">
        <v>2750</v>
      </c>
      <c r="N1427">
        <v>0</v>
      </c>
    </row>
    <row r="1428" spans="1:14" x14ac:dyDescent="0.25">
      <c r="A1428">
        <v>952.50402299999996</v>
      </c>
      <c r="B1428" s="1">
        <f>DATE(2012,12,8) + TIME(12,5,47)</f>
        <v>41251.504016203704</v>
      </c>
      <c r="C1428">
        <v>80</v>
      </c>
      <c r="D1428">
        <v>75.931770325000002</v>
      </c>
      <c r="E1428">
        <v>50</v>
      </c>
      <c r="F1428">
        <v>49.973777771000002</v>
      </c>
      <c r="G1428">
        <v>1296.5261230000001</v>
      </c>
      <c r="H1428">
        <v>1282.0241699000001</v>
      </c>
      <c r="I1428">
        <v>1404.6745605000001</v>
      </c>
      <c r="J1428">
        <v>1382.1263428</v>
      </c>
      <c r="K1428">
        <v>0</v>
      </c>
      <c r="L1428">
        <v>2750</v>
      </c>
      <c r="M1428">
        <v>2750</v>
      </c>
      <c r="N1428">
        <v>0</v>
      </c>
    </row>
    <row r="1429" spans="1:14" x14ac:dyDescent="0.25">
      <c r="A1429">
        <v>954.13304200000005</v>
      </c>
      <c r="B1429" s="1">
        <f>DATE(2012,12,10) + TIME(3,11,34)</f>
        <v>41253.133032407408</v>
      </c>
      <c r="C1429">
        <v>80</v>
      </c>
      <c r="D1429">
        <v>75.793167113999999</v>
      </c>
      <c r="E1429">
        <v>50</v>
      </c>
      <c r="F1429">
        <v>49.973804473999998</v>
      </c>
      <c r="G1429">
        <v>1296.4331055</v>
      </c>
      <c r="H1429">
        <v>1281.9127197</v>
      </c>
      <c r="I1429">
        <v>1404.6171875</v>
      </c>
      <c r="J1429">
        <v>1382.0778809000001</v>
      </c>
      <c r="K1429">
        <v>0</v>
      </c>
      <c r="L1429">
        <v>2750</v>
      </c>
      <c r="M1429">
        <v>2750</v>
      </c>
      <c r="N1429">
        <v>0</v>
      </c>
    </row>
    <row r="1430" spans="1:14" x14ac:dyDescent="0.25">
      <c r="A1430">
        <v>955.81088899999997</v>
      </c>
      <c r="B1430" s="1">
        <f>DATE(2012,12,11) + TIME(19,27,40)</f>
        <v>41254.810879629629</v>
      </c>
      <c r="C1430">
        <v>80</v>
      </c>
      <c r="D1430">
        <v>75.652984618999994</v>
      </c>
      <c r="E1430">
        <v>50</v>
      </c>
      <c r="F1430">
        <v>49.973834990999997</v>
      </c>
      <c r="G1430">
        <v>1296.3359375</v>
      </c>
      <c r="H1430">
        <v>1281.7957764</v>
      </c>
      <c r="I1430">
        <v>1404.5606689000001</v>
      </c>
      <c r="J1430">
        <v>1382.0300293</v>
      </c>
      <c r="K1430">
        <v>0</v>
      </c>
      <c r="L1430">
        <v>2750</v>
      </c>
      <c r="M1430">
        <v>2750</v>
      </c>
      <c r="N1430">
        <v>0</v>
      </c>
    </row>
    <row r="1431" spans="1:14" x14ac:dyDescent="0.25">
      <c r="A1431">
        <v>957.55683099999999</v>
      </c>
      <c r="B1431" s="1">
        <f>DATE(2012,12,13) + TIME(13,21,50)</f>
        <v>41256.556828703702</v>
      </c>
      <c r="C1431">
        <v>80</v>
      </c>
      <c r="D1431">
        <v>75.510391235</v>
      </c>
      <c r="E1431">
        <v>50</v>
      </c>
      <c r="F1431">
        <v>49.973865508999999</v>
      </c>
      <c r="G1431">
        <v>1296.2338867000001</v>
      </c>
      <c r="H1431">
        <v>1281.6723632999999</v>
      </c>
      <c r="I1431">
        <v>1404.5045166</v>
      </c>
      <c r="J1431">
        <v>1381.9824219</v>
      </c>
      <c r="K1431">
        <v>0</v>
      </c>
      <c r="L1431">
        <v>2750</v>
      </c>
      <c r="M1431">
        <v>2750</v>
      </c>
      <c r="N1431">
        <v>0</v>
      </c>
    </row>
    <row r="1432" spans="1:14" x14ac:dyDescent="0.25">
      <c r="A1432">
        <v>959.39290000000005</v>
      </c>
      <c r="B1432" s="1">
        <f>DATE(2012,12,15) + TIME(9,25,46)</f>
        <v>41258.392893518518</v>
      </c>
      <c r="C1432">
        <v>80</v>
      </c>
      <c r="D1432">
        <v>75.364067078000005</v>
      </c>
      <c r="E1432">
        <v>50</v>
      </c>
      <c r="F1432">
        <v>49.973899840999998</v>
      </c>
      <c r="G1432">
        <v>1296.1256103999999</v>
      </c>
      <c r="H1432">
        <v>1281.5406493999999</v>
      </c>
      <c r="I1432">
        <v>1404.4481201000001</v>
      </c>
      <c r="J1432">
        <v>1381.9346923999999</v>
      </c>
      <c r="K1432">
        <v>0</v>
      </c>
      <c r="L1432">
        <v>2750</v>
      </c>
      <c r="M1432">
        <v>2750</v>
      </c>
      <c r="N1432">
        <v>0</v>
      </c>
    </row>
    <row r="1433" spans="1:14" x14ac:dyDescent="0.25">
      <c r="A1433">
        <v>961.27294500000005</v>
      </c>
      <c r="B1433" s="1">
        <f>DATE(2012,12,17) + TIME(6,33,2)</f>
        <v>41260.272939814815</v>
      </c>
      <c r="C1433">
        <v>80</v>
      </c>
      <c r="D1433">
        <v>75.214012146000002</v>
      </c>
      <c r="E1433">
        <v>50</v>
      </c>
      <c r="F1433">
        <v>49.973934174</v>
      </c>
      <c r="G1433">
        <v>1296.0092772999999</v>
      </c>
      <c r="H1433">
        <v>1281.3986815999999</v>
      </c>
      <c r="I1433">
        <v>1404.3908690999999</v>
      </c>
      <c r="J1433">
        <v>1381.8862305</v>
      </c>
      <c r="K1433">
        <v>0</v>
      </c>
      <c r="L1433">
        <v>2750</v>
      </c>
      <c r="M1433">
        <v>2750</v>
      </c>
      <c r="N1433">
        <v>0</v>
      </c>
    </row>
    <row r="1434" spans="1:14" x14ac:dyDescent="0.25">
      <c r="A1434">
        <v>963.16637500000002</v>
      </c>
      <c r="B1434" s="1">
        <f>DATE(2012,12,19) + TIME(3,59,34)</f>
        <v>41262.166365740741</v>
      </c>
      <c r="C1434">
        <v>80</v>
      </c>
      <c r="D1434">
        <v>75.062614440999994</v>
      </c>
      <c r="E1434">
        <v>50</v>
      </c>
      <c r="F1434">
        <v>49.973968505999999</v>
      </c>
      <c r="G1434">
        <v>1295.8873291</v>
      </c>
      <c r="H1434">
        <v>1281.2490233999999</v>
      </c>
      <c r="I1434">
        <v>1404.3343506000001</v>
      </c>
      <c r="J1434">
        <v>1381.8381348</v>
      </c>
      <c r="K1434">
        <v>0</v>
      </c>
      <c r="L1434">
        <v>2750</v>
      </c>
      <c r="M1434">
        <v>2750</v>
      </c>
      <c r="N1434">
        <v>0</v>
      </c>
    </row>
    <row r="1435" spans="1:14" x14ac:dyDescent="0.25">
      <c r="A1435">
        <v>965.09299099999998</v>
      </c>
      <c r="B1435" s="1">
        <f>DATE(2012,12,21) + TIME(2,13,54)</f>
        <v>41264.092986111114</v>
      </c>
      <c r="C1435">
        <v>80</v>
      </c>
      <c r="D1435">
        <v>74.911148071</v>
      </c>
      <c r="E1435">
        <v>50</v>
      </c>
      <c r="F1435">
        <v>49.974006653000004</v>
      </c>
      <c r="G1435">
        <v>1295.7615966999999</v>
      </c>
      <c r="H1435">
        <v>1281.0936279</v>
      </c>
      <c r="I1435">
        <v>1404.2794189000001</v>
      </c>
      <c r="J1435">
        <v>1381.7915039</v>
      </c>
      <c r="K1435">
        <v>0</v>
      </c>
      <c r="L1435">
        <v>2750</v>
      </c>
      <c r="M1435">
        <v>2750</v>
      </c>
      <c r="N1435">
        <v>0</v>
      </c>
    </row>
    <row r="1436" spans="1:14" x14ac:dyDescent="0.25">
      <c r="A1436">
        <v>967.07289900000001</v>
      </c>
      <c r="B1436" s="1">
        <f>DATE(2012,12,23) + TIME(1,44,58)</f>
        <v>41266.072893518518</v>
      </c>
      <c r="C1436">
        <v>80</v>
      </c>
      <c r="D1436">
        <v>74.758811950999998</v>
      </c>
      <c r="E1436">
        <v>50</v>
      </c>
      <c r="F1436">
        <v>49.974040985000002</v>
      </c>
      <c r="G1436">
        <v>1295.6304932</v>
      </c>
      <c r="H1436">
        <v>1280.9309082</v>
      </c>
      <c r="I1436">
        <v>1404.2253418</v>
      </c>
      <c r="J1436">
        <v>1381.7454834</v>
      </c>
      <c r="K1436">
        <v>0</v>
      </c>
      <c r="L1436">
        <v>2750</v>
      </c>
      <c r="M1436">
        <v>2750</v>
      </c>
      <c r="N1436">
        <v>0</v>
      </c>
    </row>
    <row r="1437" spans="1:14" x14ac:dyDescent="0.25">
      <c r="A1437">
        <v>969.10376699999995</v>
      </c>
      <c r="B1437" s="1">
        <f>DATE(2012,12,25) + TIME(2,29,25)</f>
        <v>41268.103761574072</v>
      </c>
      <c r="C1437">
        <v>80</v>
      </c>
      <c r="D1437">
        <v>74.604766846000004</v>
      </c>
      <c r="E1437">
        <v>50</v>
      </c>
      <c r="F1437">
        <v>49.974079132</v>
      </c>
      <c r="G1437">
        <v>1295.4925536999999</v>
      </c>
      <c r="H1437">
        <v>1280.7587891000001</v>
      </c>
      <c r="I1437">
        <v>1404.1715088000001</v>
      </c>
      <c r="J1437">
        <v>1381.6995850000001</v>
      </c>
      <c r="K1437">
        <v>0</v>
      </c>
      <c r="L1437">
        <v>2750</v>
      </c>
      <c r="M1437">
        <v>2750</v>
      </c>
      <c r="N1437">
        <v>0</v>
      </c>
    </row>
    <row r="1438" spans="1:14" x14ac:dyDescent="0.25">
      <c r="A1438">
        <v>971.16035499999998</v>
      </c>
      <c r="B1438" s="1">
        <f>DATE(2012,12,27) + TIME(3,50,54)</f>
        <v>41270.16034722222</v>
      </c>
      <c r="C1438">
        <v>80</v>
      </c>
      <c r="D1438">
        <v>74.449363708000007</v>
      </c>
      <c r="E1438">
        <v>50</v>
      </c>
      <c r="F1438">
        <v>49.974117278999998</v>
      </c>
      <c r="G1438">
        <v>1295.3475341999999</v>
      </c>
      <c r="H1438">
        <v>1280.5770264</v>
      </c>
      <c r="I1438">
        <v>1404.1181641000001</v>
      </c>
      <c r="J1438">
        <v>1381.6540527</v>
      </c>
      <c r="K1438">
        <v>0</v>
      </c>
      <c r="L1438">
        <v>2750</v>
      </c>
      <c r="M1438">
        <v>2750</v>
      </c>
      <c r="N1438">
        <v>0</v>
      </c>
    </row>
    <row r="1439" spans="1:14" x14ac:dyDescent="0.25">
      <c r="A1439">
        <v>973.24686799999995</v>
      </c>
      <c r="B1439" s="1">
        <f>DATE(2012,12,29) + TIME(5,55,29)</f>
        <v>41272.246863425928</v>
      </c>
      <c r="C1439">
        <v>80</v>
      </c>
      <c r="D1439">
        <v>74.293479919000006</v>
      </c>
      <c r="E1439">
        <v>50</v>
      </c>
      <c r="F1439">
        <v>49.974155426000003</v>
      </c>
      <c r="G1439">
        <v>1295.1968993999999</v>
      </c>
      <c r="H1439">
        <v>1280.3870850000001</v>
      </c>
      <c r="I1439">
        <v>1404.0657959</v>
      </c>
      <c r="J1439">
        <v>1381.609375</v>
      </c>
      <c r="K1439">
        <v>0</v>
      </c>
      <c r="L1439">
        <v>2750</v>
      </c>
      <c r="M1439">
        <v>2750</v>
      </c>
      <c r="N1439">
        <v>0</v>
      </c>
    </row>
    <row r="1440" spans="1:14" x14ac:dyDescent="0.25">
      <c r="A1440">
        <v>975.36682499999995</v>
      </c>
      <c r="B1440" s="1">
        <f>DATE(2012,12,31) + TIME(8,48,13)</f>
        <v>41274.36681712963</v>
      </c>
      <c r="C1440">
        <v>80</v>
      </c>
      <c r="D1440">
        <v>74.137069702000005</v>
      </c>
      <c r="E1440">
        <v>50</v>
      </c>
      <c r="F1440">
        <v>49.974197388</v>
      </c>
      <c r="G1440">
        <v>1295.0402832</v>
      </c>
      <c r="H1440">
        <v>1280.1884766000001</v>
      </c>
      <c r="I1440">
        <v>1404.0142822</v>
      </c>
      <c r="J1440">
        <v>1381.5653076000001</v>
      </c>
      <c r="K1440">
        <v>0</v>
      </c>
      <c r="L1440">
        <v>2750</v>
      </c>
      <c r="M1440">
        <v>2750</v>
      </c>
      <c r="N1440">
        <v>0</v>
      </c>
    </row>
    <row r="1441" spans="1:14" x14ac:dyDescent="0.25">
      <c r="A1441">
        <v>976</v>
      </c>
      <c r="B1441" s="1">
        <f>DATE(2013,1,1) + TIME(0,0,0)</f>
        <v>41275</v>
      </c>
      <c r="C1441">
        <v>80</v>
      </c>
      <c r="D1441">
        <v>74.040054321</v>
      </c>
      <c r="E1441">
        <v>50</v>
      </c>
      <c r="F1441">
        <v>49.974201202000003</v>
      </c>
      <c r="G1441">
        <v>1294.8803711</v>
      </c>
      <c r="H1441">
        <v>1279.9958495999999</v>
      </c>
      <c r="I1441">
        <v>1403.9627685999999</v>
      </c>
      <c r="J1441">
        <v>1381.5211182</v>
      </c>
      <c r="K1441">
        <v>0</v>
      </c>
      <c r="L1441">
        <v>2750</v>
      </c>
      <c r="M1441">
        <v>2750</v>
      </c>
      <c r="N1441">
        <v>0</v>
      </c>
    </row>
    <row r="1442" spans="1:14" x14ac:dyDescent="0.25">
      <c r="A1442">
        <v>978.14531299999999</v>
      </c>
      <c r="B1442" s="1">
        <f>DATE(2013,1,3) + TIME(3,29,15)</f>
        <v>41277.145312499997</v>
      </c>
      <c r="C1442">
        <v>80</v>
      </c>
      <c r="D1442">
        <v>73.920562743999994</v>
      </c>
      <c r="E1442">
        <v>50</v>
      </c>
      <c r="F1442">
        <v>49.974246979</v>
      </c>
      <c r="G1442">
        <v>1294.8227539</v>
      </c>
      <c r="H1442">
        <v>1279.9074707</v>
      </c>
      <c r="I1442">
        <v>1403.9486084</v>
      </c>
      <c r="J1442">
        <v>1381.5090332</v>
      </c>
      <c r="K1442">
        <v>0</v>
      </c>
      <c r="L1442">
        <v>2750</v>
      </c>
      <c r="M1442">
        <v>2750</v>
      </c>
      <c r="N1442">
        <v>0</v>
      </c>
    </row>
    <row r="1443" spans="1:14" x14ac:dyDescent="0.25">
      <c r="A1443">
        <v>980.32158900000002</v>
      </c>
      <c r="B1443" s="1">
        <f>DATE(2013,1,5) + TIME(7,43,5)</f>
        <v>41279.321585648147</v>
      </c>
      <c r="C1443">
        <v>80</v>
      </c>
      <c r="D1443">
        <v>73.773101807000003</v>
      </c>
      <c r="E1443">
        <v>50</v>
      </c>
      <c r="F1443">
        <v>49.974288940000001</v>
      </c>
      <c r="G1443">
        <v>1294.6552733999999</v>
      </c>
      <c r="H1443">
        <v>1279.6954346</v>
      </c>
      <c r="I1443">
        <v>1403.8991699000001</v>
      </c>
      <c r="J1443">
        <v>1381.4666748</v>
      </c>
      <c r="K1443">
        <v>0</v>
      </c>
      <c r="L1443">
        <v>2750</v>
      </c>
      <c r="M1443">
        <v>2750</v>
      </c>
      <c r="N1443">
        <v>0</v>
      </c>
    </row>
    <row r="1444" spans="1:14" x14ac:dyDescent="0.25">
      <c r="A1444">
        <v>982.51870099999996</v>
      </c>
      <c r="B1444" s="1">
        <f>DATE(2013,1,7) + TIME(12,26,55)</f>
        <v>41281.518692129626</v>
      </c>
      <c r="C1444">
        <v>80</v>
      </c>
      <c r="D1444">
        <v>73.617942810000002</v>
      </c>
      <c r="E1444">
        <v>50</v>
      </c>
      <c r="F1444">
        <v>49.974330901999998</v>
      </c>
      <c r="G1444">
        <v>1294.4785156</v>
      </c>
      <c r="H1444">
        <v>1279.4685059000001</v>
      </c>
      <c r="I1444">
        <v>1403.8503418</v>
      </c>
      <c r="J1444">
        <v>1381.4246826000001</v>
      </c>
      <c r="K1444">
        <v>0</v>
      </c>
      <c r="L1444">
        <v>2750</v>
      </c>
      <c r="M1444">
        <v>2750</v>
      </c>
      <c r="N1444">
        <v>0</v>
      </c>
    </row>
    <row r="1445" spans="1:14" x14ac:dyDescent="0.25">
      <c r="A1445">
        <v>984.74157600000001</v>
      </c>
      <c r="B1445" s="1">
        <f>DATE(2013,1,9) + TIME(17,47,52)</f>
        <v>41283.741574074076</v>
      </c>
      <c r="C1445">
        <v>80</v>
      </c>
      <c r="D1445">
        <v>73.460502625000004</v>
      </c>
      <c r="E1445">
        <v>50</v>
      </c>
      <c r="F1445">
        <v>49.974372864000003</v>
      </c>
      <c r="G1445">
        <v>1294.2949219</v>
      </c>
      <c r="H1445">
        <v>1279.230957</v>
      </c>
      <c r="I1445">
        <v>1403.8023682</v>
      </c>
      <c r="J1445">
        <v>1381.3834228999999</v>
      </c>
      <c r="K1445">
        <v>0</v>
      </c>
      <c r="L1445">
        <v>2750</v>
      </c>
      <c r="M1445">
        <v>2750</v>
      </c>
      <c r="N1445">
        <v>0</v>
      </c>
    </row>
    <row r="1446" spans="1:14" x14ac:dyDescent="0.25">
      <c r="A1446">
        <v>986.99388399999998</v>
      </c>
      <c r="B1446" s="1">
        <f>DATE(2013,1,11) + TIME(23,51,11)</f>
        <v>41285.993877314817</v>
      </c>
      <c r="C1446">
        <v>80</v>
      </c>
      <c r="D1446">
        <v>73.301795959000003</v>
      </c>
      <c r="E1446">
        <v>50</v>
      </c>
      <c r="F1446">
        <v>49.974414824999997</v>
      </c>
      <c r="G1446">
        <v>1294.1043701000001</v>
      </c>
      <c r="H1446">
        <v>1278.9832764</v>
      </c>
      <c r="I1446">
        <v>1403.755249</v>
      </c>
      <c r="J1446">
        <v>1381.3427733999999</v>
      </c>
      <c r="K1446">
        <v>0</v>
      </c>
      <c r="L1446">
        <v>2750</v>
      </c>
      <c r="M1446">
        <v>2750</v>
      </c>
      <c r="N1446">
        <v>0</v>
      </c>
    </row>
    <row r="1447" spans="1:14" x14ac:dyDescent="0.25">
      <c r="A1447">
        <v>989.26867000000004</v>
      </c>
      <c r="B1447" s="1">
        <f>DATE(2013,1,14) + TIME(6,26,53)</f>
        <v>41288.26866898148</v>
      </c>
      <c r="C1447">
        <v>80</v>
      </c>
      <c r="D1447">
        <v>73.141967773000005</v>
      </c>
      <c r="E1447">
        <v>50</v>
      </c>
      <c r="F1447">
        <v>49.974456787000001</v>
      </c>
      <c r="G1447">
        <v>1293.9064940999999</v>
      </c>
      <c r="H1447">
        <v>1278.7249756000001</v>
      </c>
      <c r="I1447">
        <v>1403.7086182</v>
      </c>
      <c r="J1447">
        <v>1381.3026123</v>
      </c>
      <c r="K1447">
        <v>0</v>
      </c>
      <c r="L1447">
        <v>2750</v>
      </c>
      <c r="M1447">
        <v>2750</v>
      </c>
      <c r="N1447">
        <v>0</v>
      </c>
    </row>
    <row r="1448" spans="1:14" x14ac:dyDescent="0.25">
      <c r="A1448">
        <v>991.57070999999996</v>
      </c>
      <c r="B1448" s="1">
        <f>DATE(2013,1,16) + TIME(13,41,49)</f>
        <v>41290.570706018516</v>
      </c>
      <c r="C1448">
        <v>80</v>
      </c>
      <c r="D1448">
        <v>72.981048584000007</v>
      </c>
      <c r="E1448">
        <v>50</v>
      </c>
      <c r="F1448">
        <v>49.974498748999999</v>
      </c>
      <c r="G1448">
        <v>1293.7017822</v>
      </c>
      <c r="H1448">
        <v>1278.4562988</v>
      </c>
      <c r="I1448">
        <v>1403.6627197</v>
      </c>
      <c r="J1448">
        <v>1381.2629394999999</v>
      </c>
      <c r="K1448">
        <v>0</v>
      </c>
      <c r="L1448">
        <v>2750</v>
      </c>
      <c r="M1448">
        <v>2750</v>
      </c>
      <c r="N1448">
        <v>0</v>
      </c>
    </row>
    <row r="1449" spans="1:14" x14ac:dyDescent="0.25">
      <c r="A1449">
        <v>993.90455999999995</v>
      </c>
      <c r="B1449" s="1">
        <f>DATE(2013,1,18) + TIME(21,42,33)</f>
        <v>41292.904548611114</v>
      </c>
      <c r="C1449">
        <v>80</v>
      </c>
      <c r="D1449">
        <v>72.818641662999994</v>
      </c>
      <c r="E1449">
        <v>50</v>
      </c>
      <c r="F1449">
        <v>49.974544524999999</v>
      </c>
      <c r="G1449">
        <v>1293.489624</v>
      </c>
      <c r="H1449">
        <v>1278.1768798999999</v>
      </c>
      <c r="I1449">
        <v>1403.6174315999999</v>
      </c>
      <c r="J1449">
        <v>1381.2237548999999</v>
      </c>
      <c r="K1449">
        <v>0</v>
      </c>
      <c r="L1449">
        <v>2750</v>
      </c>
      <c r="M1449">
        <v>2750</v>
      </c>
      <c r="N1449">
        <v>0</v>
      </c>
    </row>
    <row r="1450" spans="1:14" x14ac:dyDescent="0.25">
      <c r="A1450">
        <v>996.27446299999997</v>
      </c>
      <c r="B1450" s="1">
        <f>DATE(2013,1,21) + TIME(6,35,13)</f>
        <v>41295.274456018517</v>
      </c>
      <c r="C1450">
        <v>80</v>
      </c>
      <c r="D1450">
        <v>72.654235839999998</v>
      </c>
      <c r="E1450">
        <v>50</v>
      </c>
      <c r="F1450">
        <v>49.974586487000003</v>
      </c>
      <c r="G1450">
        <v>1293.2694091999999</v>
      </c>
      <c r="H1450">
        <v>1277.8856201000001</v>
      </c>
      <c r="I1450">
        <v>1403.5725098</v>
      </c>
      <c r="J1450">
        <v>1381.1848144999999</v>
      </c>
      <c r="K1450">
        <v>0</v>
      </c>
      <c r="L1450">
        <v>2750</v>
      </c>
      <c r="M1450">
        <v>2750</v>
      </c>
      <c r="N1450">
        <v>0</v>
      </c>
    </row>
    <row r="1451" spans="1:14" x14ac:dyDescent="0.25">
      <c r="A1451">
        <v>998.68029999999999</v>
      </c>
      <c r="B1451" s="1">
        <f>DATE(2013,1,23) + TIME(16,19,37)</f>
        <v>41297.680289351854</v>
      </c>
      <c r="C1451">
        <v>80</v>
      </c>
      <c r="D1451">
        <v>72.487350464000002</v>
      </c>
      <c r="E1451">
        <v>50</v>
      </c>
      <c r="F1451">
        <v>49.974632262999997</v>
      </c>
      <c r="G1451">
        <v>1293.0405272999999</v>
      </c>
      <c r="H1451">
        <v>1277.5817870999999</v>
      </c>
      <c r="I1451">
        <v>1403.5280762</v>
      </c>
      <c r="J1451">
        <v>1381.1462402</v>
      </c>
      <c r="K1451">
        <v>0</v>
      </c>
      <c r="L1451">
        <v>2750</v>
      </c>
      <c r="M1451">
        <v>2750</v>
      </c>
      <c r="N1451">
        <v>0</v>
      </c>
    </row>
    <row r="1452" spans="1:14" x14ac:dyDescent="0.25">
      <c r="A1452">
        <v>1001.1129089999999</v>
      </c>
      <c r="B1452" s="1">
        <f>DATE(2013,1,26) + TIME(2,42,35)</f>
        <v>41300.112905092596</v>
      </c>
      <c r="C1452">
        <v>80</v>
      </c>
      <c r="D1452">
        <v>72.317794800000001</v>
      </c>
      <c r="E1452">
        <v>50</v>
      </c>
      <c r="F1452">
        <v>49.974678040000001</v>
      </c>
      <c r="G1452">
        <v>1292.8029785000001</v>
      </c>
      <c r="H1452">
        <v>1277.2650146000001</v>
      </c>
      <c r="I1452">
        <v>1403.4838867000001</v>
      </c>
      <c r="J1452">
        <v>1381.1079102000001</v>
      </c>
      <c r="K1452">
        <v>0</v>
      </c>
      <c r="L1452">
        <v>2750</v>
      </c>
      <c r="M1452">
        <v>2750</v>
      </c>
      <c r="N1452">
        <v>0</v>
      </c>
    </row>
    <row r="1453" spans="1:14" x14ac:dyDescent="0.25">
      <c r="A1453">
        <v>1003.57213</v>
      </c>
      <c r="B1453" s="1">
        <f>DATE(2013,1,28) + TIME(13,43,52)</f>
        <v>41302.572129629632</v>
      </c>
      <c r="C1453">
        <v>80</v>
      </c>
      <c r="D1453">
        <v>72.145622252999999</v>
      </c>
      <c r="E1453">
        <v>50</v>
      </c>
      <c r="F1453">
        <v>49.974723816000001</v>
      </c>
      <c r="G1453">
        <v>1292.557251</v>
      </c>
      <c r="H1453">
        <v>1276.9360352000001</v>
      </c>
      <c r="I1453">
        <v>1403.4401855000001</v>
      </c>
      <c r="J1453">
        <v>1381.0698242000001</v>
      </c>
      <c r="K1453">
        <v>0</v>
      </c>
      <c r="L1453">
        <v>2750</v>
      </c>
      <c r="M1453">
        <v>2750</v>
      </c>
      <c r="N1453">
        <v>0</v>
      </c>
    </row>
    <row r="1454" spans="1:14" x14ac:dyDescent="0.25">
      <c r="A1454">
        <v>1006.057336</v>
      </c>
      <c r="B1454" s="1">
        <f>DATE(2013,1,31) + TIME(1,22,33)</f>
        <v>41305.057326388887</v>
      </c>
      <c r="C1454">
        <v>80</v>
      </c>
      <c r="D1454">
        <v>71.970588684000006</v>
      </c>
      <c r="E1454">
        <v>50</v>
      </c>
      <c r="F1454">
        <v>49.974769592000001</v>
      </c>
      <c r="G1454">
        <v>1292.3032227000001</v>
      </c>
      <c r="H1454">
        <v>1276.5948486</v>
      </c>
      <c r="I1454">
        <v>1403.3969727000001</v>
      </c>
      <c r="J1454">
        <v>1381.0322266000001</v>
      </c>
      <c r="K1454">
        <v>0</v>
      </c>
      <c r="L1454">
        <v>2750</v>
      </c>
      <c r="M1454">
        <v>2750</v>
      </c>
      <c r="N1454">
        <v>0</v>
      </c>
    </row>
    <row r="1455" spans="1:14" x14ac:dyDescent="0.25">
      <c r="A1455">
        <v>1007</v>
      </c>
      <c r="B1455" s="1">
        <f>DATE(2013,2,1) + TIME(0,0,0)</f>
        <v>41306</v>
      </c>
      <c r="C1455">
        <v>80</v>
      </c>
      <c r="D1455">
        <v>71.840881347999996</v>
      </c>
      <c r="E1455">
        <v>50</v>
      </c>
      <c r="F1455">
        <v>49.974781036000003</v>
      </c>
      <c r="G1455">
        <v>1292.0493164</v>
      </c>
      <c r="H1455">
        <v>1276.2646483999999</v>
      </c>
      <c r="I1455">
        <v>1403.3535156</v>
      </c>
      <c r="J1455">
        <v>1380.9941406</v>
      </c>
      <c r="K1455">
        <v>0</v>
      </c>
      <c r="L1455">
        <v>2750</v>
      </c>
      <c r="M1455">
        <v>2750</v>
      </c>
      <c r="N1455">
        <v>0</v>
      </c>
    </row>
    <row r="1456" spans="1:14" x14ac:dyDescent="0.25">
      <c r="A1456">
        <v>1009.513519</v>
      </c>
      <c r="B1456" s="1">
        <f>DATE(2013,2,3) + TIME(12,19,28)</f>
        <v>41308.513518518521</v>
      </c>
      <c r="C1456">
        <v>80</v>
      </c>
      <c r="D1456">
        <v>71.710021972999996</v>
      </c>
      <c r="E1456">
        <v>50</v>
      </c>
      <c r="F1456">
        <v>49.974834442000002</v>
      </c>
      <c r="G1456">
        <v>1291.9288329999999</v>
      </c>
      <c r="H1456">
        <v>1276.083374</v>
      </c>
      <c r="I1456">
        <v>1403.3382568</v>
      </c>
      <c r="J1456">
        <v>1380.9808350000001</v>
      </c>
      <c r="K1456">
        <v>0</v>
      </c>
      <c r="L1456">
        <v>2750</v>
      </c>
      <c r="M1456">
        <v>2750</v>
      </c>
      <c r="N1456">
        <v>0</v>
      </c>
    </row>
    <row r="1457" spans="1:14" x14ac:dyDescent="0.25">
      <c r="A1457">
        <v>1012.075119</v>
      </c>
      <c r="B1457" s="1">
        <f>DATE(2013,2,6) + TIME(1,48,10)</f>
        <v>41311.075115740743</v>
      </c>
      <c r="C1457">
        <v>80</v>
      </c>
      <c r="D1457">
        <v>71.537788391000007</v>
      </c>
      <c r="E1457">
        <v>50</v>
      </c>
      <c r="F1457">
        <v>49.974880218999999</v>
      </c>
      <c r="G1457">
        <v>1291.6641846</v>
      </c>
      <c r="H1457">
        <v>1275.7293701000001</v>
      </c>
      <c r="I1457">
        <v>1403.2961425999999</v>
      </c>
      <c r="J1457">
        <v>1380.9440918</v>
      </c>
      <c r="K1457">
        <v>0</v>
      </c>
      <c r="L1457">
        <v>2750</v>
      </c>
      <c r="M1457">
        <v>2750</v>
      </c>
      <c r="N1457">
        <v>0</v>
      </c>
    </row>
    <row r="1458" spans="1:14" x14ac:dyDescent="0.25">
      <c r="A1458">
        <v>1014.675933</v>
      </c>
      <c r="B1458" s="1">
        <f>DATE(2013,2,8) + TIME(16,13,20)</f>
        <v>41313.675925925927</v>
      </c>
      <c r="C1458">
        <v>80</v>
      </c>
      <c r="D1458">
        <v>71.351760863999999</v>
      </c>
      <c r="E1458">
        <v>50</v>
      </c>
      <c r="F1458">
        <v>49.974925995</v>
      </c>
      <c r="G1458">
        <v>1291.3824463000001</v>
      </c>
      <c r="H1458">
        <v>1275.347168</v>
      </c>
      <c r="I1458">
        <v>1403.2540283000001</v>
      </c>
      <c r="J1458">
        <v>1380.9072266000001</v>
      </c>
      <c r="K1458">
        <v>0</v>
      </c>
      <c r="L1458">
        <v>2750</v>
      </c>
      <c r="M1458">
        <v>2750</v>
      </c>
      <c r="N1458">
        <v>0</v>
      </c>
    </row>
    <row r="1459" spans="1:14" x14ac:dyDescent="0.25">
      <c r="A1459">
        <v>1017.3119830000001</v>
      </c>
      <c r="B1459" s="1">
        <f>DATE(2013,2,11) + TIME(7,29,15)</f>
        <v>41316.311979166669</v>
      </c>
      <c r="C1459">
        <v>80</v>
      </c>
      <c r="D1459">
        <v>71.158248900999993</v>
      </c>
      <c r="E1459">
        <v>50</v>
      </c>
      <c r="F1459">
        <v>49.974975585999999</v>
      </c>
      <c r="G1459">
        <v>1291.0891113</v>
      </c>
      <c r="H1459">
        <v>1274.9470214999999</v>
      </c>
      <c r="I1459">
        <v>1403.2121582</v>
      </c>
      <c r="J1459">
        <v>1380.8703613</v>
      </c>
      <c r="K1459">
        <v>0</v>
      </c>
      <c r="L1459">
        <v>2750</v>
      </c>
      <c r="M1459">
        <v>2750</v>
      </c>
      <c r="N1459">
        <v>0</v>
      </c>
    </row>
    <row r="1460" spans="1:14" x14ac:dyDescent="0.25">
      <c r="A1460">
        <v>1019.969887</v>
      </c>
      <c r="B1460" s="1">
        <f>DATE(2013,2,13) + TIME(23,16,38)</f>
        <v>41318.969884259262</v>
      </c>
      <c r="C1460">
        <v>80</v>
      </c>
      <c r="D1460">
        <v>70.958602905000006</v>
      </c>
      <c r="E1460">
        <v>50</v>
      </c>
      <c r="F1460">
        <v>49.975025176999999</v>
      </c>
      <c r="G1460">
        <v>1290.7856445</v>
      </c>
      <c r="H1460">
        <v>1274.5316161999999</v>
      </c>
      <c r="I1460">
        <v>1403.1702881000001</v>
      </c>
      <c r="J1460">
        <v>1380.8336182</v>
      </c>
      <c r="K1460">
        <v>0</v>
      </c>
      <c r="L1460">
        <v>2750</v>
      </c>
      <c r="M1460">
        <v>2750</v>
      </c>
      <c r="N1460">
        <v>0</v>
      </c>
    </row>
    <row r="1461" spans="1:14" x14ac:dyDescent="0.25">
      <c r="A1461">
        <v>1022.651784</v>
      </c>
      <c r="B1461" s="1">
        <f>DATE(2013,2,16) + TIME(15,38,34)</f>
        <v>41321.651782407411</v>
      </c>
      <c r="C1461">
        <v>80</v>
      </c>
      <c r="D1461">
        <v>70.753242493000002</v>
      </c>
      <c r="E1461">
        <v>50</v>
      </c>
      <c r="F1461">
        <v>49.975070952999999</v>
      </c>
      <c r="G1461">
        <v>1290.4736327999999</v>
      </c>
      <c r="H1461">
        <v>1274.1029053</v>
      </c>
      <c r="I1461">
        <v>1403.1289062000001</v>
      </c>
      <c r="J1461">
        <v>1380.7971190999999</v>
      </c>
      <c r="K1461">
        <v>0</v>
      </c>
      <c r="L1461">
        <v>2750</v>
      </c>
      <c r="M1461">
        <v>2750</v>
      </c>
      <c r="N1461">
        <v>0</v>
      </c>
    </row>
    <row r="1462" spans="1:14" x14ac:dyDescent="0.25">
      <c r="A1462">
        <v>1025.3632150000001</v>
      </c>
      <c r="B1462" s="1">
        <f>DATE(2013,2,19) + TIME(8,43,1)</f>
        <v>41324.363206018519</v>
      </c>
      <c r="C1462">
        <v>80</v>
      </c>
      <c r="D1462">
        <v>70.541648864999999</v>
      </c>
      <c r="E1462">
        <v>50</v>
      </c>
      <c r="F1462">
        <v>49.975120543999999</v>
      </c>
      <c r="G1462">
        <v>1290.1531981999999</v>
      </c>
      <c r="H1462">
        <v>1273.6608887</v>
      </c>
      <c r="I1462">
        <v>1403.0877685999999</v>
      </c>
      <c r="J1462">
        <v>1380.7608643000001</v>
      </c>
      <c r="K1462">
        <v>0</v>
      </c>
      <c r="L1462">
        <v>2750</v>
      </c>
      <c r="M1462">
        <v>2750</v>
      </c>
      <c r="N1462">
        <v>0</v>
      </c>
    </row>
    <row r="1463" spans="1:14" x14ac:dyDescent="0.25">
      <c r="A1463">
        <v>1028.1095519999999</v>
      </c>
      <c r="B1463" s="1">
        <f>DATE(2013,2,22) + TIME(2,37,45)</f>
        <v>41327.109548611108</v>
      </c>
      <c r="C1463">
        <v>80</v>
      </c>
      <c r="D1463">
        <v>70.322906493999994</v>
      </c>
      <c r="E1463">
        <v>50</v>
      </c>
      <c r="F1463">
        <v>49.975170134999999</v>
      </c>
      <c r="G1463">
        <v>1289.8236084</v>
      </c>
      <c r="H1463">
        <v>1273.2047118999999</v>
      </c>
      <c r="I1463">
        <v>1403.046875</v>
      </c>
      <c r="J1463">
        <v>1380.7247314000001</v>
      </c>
      <c r="K1463">
        <v>0</v>
      </c>
      <c r="L1463">
        <v>2750</v>
      </c>
      <c r="M1463">
        <v>2750</v>
      </c>
      <c r="N1463">
        <v>0</v>
      </c>
    </row>
    <row r="1464" spans="1:14" x14ac:dyDescent="0.25">
      <c r="A1464">
        <v>1030.8961079999999</v>
      </c>
      <c r="B1464" s="1">
        <f>DATE(2013,2,24) + TIME(21,30,23)</f>
        <v>41329.896099537036</v>
      </c>
      <c r="C1464">
        <v>80</v>
      </c>
      <c r="D1464">
        <v>70.096054077000005</v>
      </c>
      <c r="E1464">
        <v>50</v>
      </c>
      <c r="F1464">
        <v>49.975219727000002</v>
      </c>
      <c r="G1464">
        <v>1289.4841309000001</v>
      </c>
      <c r="H1464">
        <v>1272.7335204999999</v>
      </c>
      <c r="I1464">
        <v>1403.0059814000001</v>
      </c>
      <c r="J1464">
        <v>1380.6885986</v>
      </c>
      <c r="K1464">
        <v>0</v>
      </c>
      <c r="L1464">
        <v>2750</v>
      </c>
      <c r="M1464">
        <v>2750</v>
      </c>
      <c r="N1464">
        <v>0</v>
      </c>
    </row>
    <row r="1465" spans="1:14" x14ac:dyDescent="0.25">
      <c r="A1465">
        <v>1033.712587</v>
      </c>
      <c r="B1465" s="1">
        <f>DATE(2013,2,27) + TIME(17,6,7)</f>
        <v>41332.712581018517</v>
      </c>
      <c r="C1465">
        <v>80</v>
      </c>
      <c r="D1465">
        <v>69.860214232999994</v>
      </c>
      <c r="E1465">
        <v>50</v>
      </c>
      <c r="F1465">
        <v>49.975269318000002</v>
      </c>
      <c r="G1465">
        <v>1289.1343993999999</v>
      </c>
      <c r="H1465">
        <v>1272.2462158000001</v>
      </c>
      <c r="I1465">
        <v>1402.9650879000001</v>
      </c>
      <c r="J1465">
        <v>1380.6523437999999</v>
      </c>
      <c r="K1465">
        <v>0</v>
      </c>
      <c r="L1465">
        <v>2750</v>
      </c>
      <c r="M1465">
        <v>2750</v>
      </c>
      <c r="N1465">
        <v>0</v>
      </c>
    </row>
    <row r="1466" spans="1:14" x14ac:dyDescent="0.25">
      <c r="A1466">
        <v>1035</v>
      </c>
      <c r="B1466" s="1">
        <f>DATE(2013,3,1) + TIME(0,0,0)</f>
        <v>41334</v>
      </c>
      <c r="C1466">
        <v>80</v>
      </c>
      <c r="D1466">
        <v>69.662094116000006</v>
      </c>
      <c r="E1466">
        <v>50</v>
      </c>
      <c r="F1466">
        <v>49.975288390999999</v>
      </c>
      <c r="G1466">
        <v>1288.7849120999999</v>
      </c>
      <c r="H1466">
        <v>1271.7716064000001</v>
      </c>
      <c r="I1466">
        <v>1402.9235839999999</v>
      </c>
      <c r="J1466">
        <v>1380.6154785000001</v>
      </c>
      <c r="K1466">
        <v>0</v>
      </c>
      <c r="L1466">
        <v>2750</v>
      </c>
      <c r="M1466">
        <v>2750</v>
      </c>
      <c r="N1466">
        <v>0</v>
      </c>
    </row>
    <row r="1467" spans="1:14" x14ac:dyDescent="0.25">
      <c r="A1467">
        <v>1037.8443709999999</v>
      </c>
      <c r="B1467" s="1">
        <f>DATE(2013,3,3) + TIME(20,15,53)</f>
        <v>41336.844363425924</v>
      </c>
      <c r="C1467">
        <v>80</v>
      </c>
      <c r="D1467">
        <v>69.482444763000004</v>
      </c>
      <c r="E1467">
        <v>50</v>
      </c>
      <c r="F1467">
        <v>49.975341796999999</v>
      </c>
      <c r="G1467">
        <v>1288.5930175999999</v>
      </c>
      <c r="H1467">
        <v>1271.4804687999999</v>
      </c>
      <c r="I1467">
        <v>1402.9057617000001</v>
      </c>
      <c r="J1467">
        <v>1380.5997314000001</v>
      </c>
      <c r="K1467">
        <v>0</v>
      </c>
      <c r="L1467">
        <v>2750</v>
      </c>
      <c r="M1467">
        <v>2750</v>
      </c>
      <c r="N1467">
        <v>0</v>
      </c>
    </row>
    <row r="1468" spans="1:14" x14ac:dyDescent="0.25">
      <c r="A1468">
        <v>1040.7407780000001</v>
      </c>
      <c r="B1468" s="1">
        <f>DATE(2013,3,6) + TIME(17,46,43)</f>
        <v>41339.74077546296</v>
      </c>
      <c r="C1468">
        <v>80</v>
      </c>
      <c r="D1468">
        <v>69.237113953000005</v>
      </c>
      <c r="E1468">
        <v>50</v>
      </c>
      <c r="F1468">
        <v>49.975391387999998</v>
      </c>
      <c r="G1468">
        <v>1288.2354736</v>
      </c>
      <c r="H1468">
        <v>1270.9847411999999</v>
      </c>
      <c r="I1468">
        <v>1402.8652344</v>
      </c>
      <c r="J1468">
        <v>1380.5635986</v>
      </c>
      <c r="K1468">
        <v>0</v>
      </c>
      <c r="L1468">
        <v>2750</v>
      </c>
      <c r="M1468">
        <v>2750</v>
      </c>
      <c r="N1468">
        <v>0</v>
      </c>
    </row>
    <row r="1469" spans="1:14" x14ac:dyDescent="0.25">
      <c r="A1469">
        <v>1043.6788429999999</v>
      </c>
      <c r="B1469" s="1">
        <f>DATE(2013,3,9) + TIME(16,17,32)</f>
        <v>41342.678842592592</v>
      </c>
      <c r="C1469">
        <v>80</v>
      </c>
      <c r="D1469">
        <v>68.968200683999996</v>
      </c>
      <c r="E1469">
        <v>50</v>
      </c>
      <c r="F1469">
        <v>49.975444793999998</v>
      </c>
      <c r="G1469">
        <v>1287.8562012</v>
      </c>
      <c r="H1469">
        <v>1270.4516602000001</v>
      </c>
      <c r="I1469">
        <v>1402.8243408000001</v>
      </c>
      <c r="J1469">
        <v>1380.5272216999999</v>
      </c>
      <c r="K1469">
        <v>0</v>
      </c>
      <c r="L1469">
        <v>2750</v>
      </c>
      <c r="M1469">
        <v>2750</v>
      </c>
      <c r="N1469">
        <v>0</v>
      </c>
    </row>
    <row r="1470" spans="1:14" x14ac:dyDescent="0.25">
      <c r="A1470">
        <v>1046.664923</v>
      </c>
      <c r="B1470" s="1">
        <f>DATE(2013,3,12) + TIME(15,57,29)</f>
        <v>41345.664918981478</v>
      </c>
      <c r="C1470">
        <v>80</v>
      </c>
      <c r="D1470">
        <v>68.684150696000003</v>
      </c>
      <c r="E1470">
        <v>50</v>
      </c>
      <c r="F1470">
        <v>49.975494384999998</v>
      </c>
      <c r="G1470">
        <v>1287.4643555</v>
      </c>
      <c r="H1470">
        <v>1269.8978271000001</v>
      </c>
      <c r="I1470">
        <v>1402.7834473</v>
      </c>
      <c r="J1470">
        <v>1380.4907227000001</v>
      </c>
      <c r="K1470">
        <v>0</v>
      </c>
      <c r="L1470">
        <v>2750</v>
      </c>
      <c r="M1470">
        <v>2750</v>
      </c>
      <c r="N1470">
        <v>0</v>
      </c>
    </row>
    <row r="1471" spans="1:14" x14ac:dyDescent="0.25">
      <c r="A1471">
        <v>1049.6963760000001</v>
      </c>
      <c r="B1471" s="1">
        <f>DATE(2013,3,15) + TIME(16,42,46)</f>
        <v>41348.69636574074</v>
      </c>
      <c r="C1471">
        <v>80</v>
      </c>
      <c r="D1471">
        <v>68.385498046999999</v>
      </c>
      <c r="E1471">
        <v>50</v>
      </c>
      <c r="F1471">
        <v>49.975547790999997</v>
      </c>
      <c r="G1471">
        <v>1287.0611572</v>
      </c>
      <c r="H1471">
        <v>1269.3258057</v>
      </c>
      <c r="I1471">
        <v>1402.7420654</v>
      </c>
      <c r="J1471">
        <v>1380.4537353999999</v>
      </c>
      <c r="K1471">
        <v>0</v>
      </c>
      <c r="L1471">
        <v>2750</v>
      </c>
      <c r="M1471">
        <v>2750</v>
      </c>
      <c r="N1471">
        <v>0</v>
      </c>
    </row>
    <row r="1472" spans="1:14" x14ac:dyDescent="0.25">
      <c r="A1472">
        <v>1052.7713000000001</v>
      </c>
      <c r="B1472" s="1">
        <f>DATE(2013,3,18) + TIME(18,30,40)</f>
        <v>41351.771296296298</v>
      </c>
      <c r="C1472">
        <v>80</v>
      </c>
      <c r="D1472">
        <v>68.071891785000005</v>
      </c>
      <c r="E1472">
        <v>50</v>
      </c>
      <c r="F1472">
        <v>49.975601196</v>
      </c>
      <c r="G1472">
        <v>1286.6470947</v>
      </c>
      <c r="H1472">
        <v>1268.7363281</v>
      </c>
      <c r="I1472">
        <v>1402.7005615</v>
      </c>
      <c r="J1472">
        <v>1380.416626</v>
      </c>
      <c r="K1472">
        <v>0</v>
      </c>
      <c r="L1472">
        <v>2750</v>
      </c>
      <c r="M1472">
        <v>2750</v>
      </c>
      <c r="N1472">
        <v>0</v>
      </c>
    </row>
    <row r="1473" spans="1:14" x14ac:dyDescent="0.25">
      <c r="A1473">
        <v>1055.887641</v>
      </c>
      <c r="B1473" s="1">
        <f>DATE(2013,3,21) + TIME(21,18,12)</f>
        <v>41354.887638888889</v>
      </c>
      <c r="C1473">
        <v>80</v>
      </c>
      <c r="D1473">
        <v>67.742744446000003</v>
      </c>
      <c r="E1473">
        <v>50</v>
      </c>
      <c r="F1473">
        <v>49.975654601999999</v>
      </c>
      <c r="G1473">
        <v>1286.2229004000001</v>
      </c>
      <c r="H1473">
        <v>1268.130249</v>
      </c>
      <c r="I1473">
        <v>1402.6586914</v>
      </c>
      <c r="J1473">
        <v>1380.3790283000001</v>
      </c>
      <c r="K1473">
        <v>0</v>
      </c>
      <c r="L1473">
        <v>2750</v>
      </c>
      <c r="M1473">
        <v>2750</v>
      </c>
      <c r="N1473">
        <v>0</v>
      </c>
    </row>
    <row r="1474" spans="1:14" x14ac:dyDescent="0.25">
      <c r="A1474">
        <v>1059.0524660000001</v>
      </c>
      <c r="B1474" s="1">
        <f>DATE(2013,3,25) + TIME(1,15,33)</f>
        <v>41358.052465277775</v>
      </c>
      <c r="C1474">
        <v>80</v>
      </c>
      <c r="D1474">
        <v>67.397346497000001</v>
      </c>
      <c r="E1474">
        <v>50</v>
      </c>
      <c r="F1474">
        <v>49.975708007999998</v>
      </c>
      <c r="G1474">
        <v>1285.7890625</v>
      </c>
      <c r="H1474">
        <v>1267.5080565999999</v>
      </c>
      <c r="I1474">
        <v>1402.6165771000001</v>
      </c>
      <c r="J1474">
        <v>1380.3411865</v>
      </c>
      <c r="K1474">
        <v>0</v>
      </c>
      <c r="L1474">
        <v>2750</v>
      </c>
      <c r="M1474">
        <v>2750</v>
      </c>
      <c r="N1474">
        <v>0</v>
      </c>
    </row>
    <row r="1475" spans="1:14" x14ac:dyDescent="0.25">
      <c r="A1475">
        <v>1062.259229</v>
      </c>
      <c r="B1475" s="1">
        <f>DATE(2013,3,28) + TIME(6,13,17)</f>
        <v>41361.25922453704</v>
      </c>
      <c r="C1475">
        <v>80</v>
      </c>
      <c r="D1475">
        <v>67.034591675000001</v>
      </c>
      <c r="E1475">
        <v>50</v>
      </c>
      <c r="F1475">
        <v>49.975761413999997</v>
      </c>
      <c r="G1475">
        <v>1285.3450928</v>
      </c>
      <c r="H1475">
        <v>1266.8691406</v>
      </c>
      <c r="I1475">
        <v>1402.5740966999999</v>
      </c>
      <c r="J1475">
        <v>1380.3028564000001</v>
      </c>
      <c r="K1475">
        <v>0</v>
      </c>
      <c r="L1475">
        <v>2750</v>
      </c>
      <c r="M1475">
        <v>2750</v>
      </c>
      <c r="N1475">
        <v>0</v>
      </c>
    </row>
    <row r="1476" spans="1:14" x14ac:dyDescent="0.25">
      <c r="A1476">
        <v>1065.5134430000001</v>
      </c>
      <c r="B1476" s="1">
        <f>DATE(2013,3,31) + TIME(12,19,21)</f>
        <v>41364.513437499998</v>
      </c>
      <c r="C1476">
        <v>80</v>
      </c>
      <c r="D1476">
        <v>66.654136657999999</v>
      </c>
      <c r="E1476">
        <v>50</v>
      </c>
      <c r="F1476">
        <v>49.975814819</v>
      </c>
      <c r="G1476">
        <v>1284.8919678</v>
      </c>
      <c r="H1476">
        <v>1266.2145995999999</v>
      </c>
      <c r="I1476">
        <v>1402.53125</v>
      </c>
      <c r="J1476">
        <v>1380.2641602000001</v>
      </c>
      <c r="K1476">
        <v>0</v>
      </c>
      <c r="L1476">
        <v>2750</v>
      </c>
      <c r="M1476">
        <v>2750</v>
      </c>
      <c r="N1476">
        <v>0</v>
      </c>
    </row>
    <row r="1477" spans="1:14" x14ac:dyDescent="0.25">
      <c r="A1477">
        <v>1066</v>
      </c>
      <c r="B1477" s="1">
        <f>DATE(2013,4,1) + TIME(0,0,0)</f>
        <v>41365</v>
      </c>
      <c r="C1477">
        <v>80</v>
      </c>
      <c r="D1477">
        <v>66.450531006000006</v>
      </c>
      <c r="E1477">
        <v>50</v>
      </c>
      <c r="F1477">
        <v>49.975818633999999</v>
      </c>
      <c r="G1477">
        <v>1284.4598389</v>
      </c>
      <c r="H1477">
        <v>1265.6485596</v>
      </c>
      <c r="I1477">
        <v>1402.4871826000001</v>
      </c>
      <c r="J1477">
        <v>1380.2243652</v>
      </c>
      <c r="K1477">
        <v>0</v>
      </c>
      <c r="L1477">
        <v>2750</v>
      </c>
      <c r="M1477">
        <v>2750</v>
      </c>
      <c r="N1477">
        <v>0</v>
      </c>
    </row>
    <row r="1478" spans="1:14" x14ac:dyDescent="0.25">
      <c r="A1478">
        <v>1069.309499</v>
      </c>
      <c r="B1478" s="1">
        <f>DATE(2013,4,4) + TIME(7,25,40)</f>
        <v>41368.309490740743</v>
      </c>
      <c r="C1478">
        <v>80</v>
      </c>
      <c r="D1478">
        <v>66.169219971000004</v>
      </c>
      <c r="E1478">
        <v>50</v>
      </c>
      <c r="F1478">
        <v>49.975879669000001</v>
      </c>
      <c r="G1478">
        <v>1284.3406981999999</v>
      </c>
      <c r="H1478">
        <v>1265.4034423999999</v>
      </c>
      <c r="I1478">
        <v>1402.4813231999999</v>
      </c>
      <c r="J1478">
        <v>1380.2191161999999</v>
      </c>
      <c r="K1478">
        <v>0</v>
      </c>
      <c r="L1478">
        <v>2750</v>
      </c>
      <c r="M1478">
        <v>2750</v>
      </c>
      <c r="N1478">
        <v>0</v>
      </c>
    </row>
    <row r="1479" spans="1:14" x14ac:dyDescent="0.25">
      <c r="A1479">
        <v>1072.6931910000001</v>
      </c>
      <c r="B1479" s="1">
        <f>DATE(2013,4,7) + TIME(16,38,11)</f>
        <v>41371.693182870367</v>
      </c>
      <c r="C1479">
        <v>80</v>
      </c>
      <c r="D1479">
        <v>65.767539978000002</v>
      </c>
      <c r="E1479">
        <v>50</v>
      </c>
      <c r="F1479">
        <v>49.975933075</v>
      </c>
      <c r="G1479">
        <v>1283.8843993999999</v>
      </c>
      <c r="H1479">
        <v>1264.7482910000001</v>
      </c>
      <c r="I1479">
        <v>1402.4375</v>
      </c>
      <c r="J1479">
        <v>1380.1793213000001</v>
      </c>
      <c r="K1479">
        <v>0</v>
      </c>
      <c r="L1479">
        <v>2750</v>
      </c>
      <c r="M1479">
        <v>2750</v>
      </c>
      <c r="N1479">
        <v>0</v>
      </c>
    </row>
    <row r="1480" spans="1:14" x14ac:dyDescent="0.25">
      <c r="A1480">
        <v>1076.138498</v>
      </c>
      <c r="B1480" s="1">
        <f>DATE(2013,4,11) + TIME(3,19,26)</f>
        <v>41375.138495370367</v>
      </c>
      <c r="C1480">
        <v>80</v>
      </c>
      <c r="D1480">
        <v>65.326179503999995</v>
      </c>
      <c r="E1480">
        <v>50</v>
      </c>
      <c r="F1480">
        <v>49.975990295000003</v>
      </c>
      <c r="G1480">
        <v>1283.402832</v>
      </c>
      <c r="H1480">
        <v>1264.0461425999999</v>
      </c>
      <c r="I1480">
        <v>1402.3927002</v>
      </c>
      <c r="J1480">
        <v>1380.1386719</v>
      </c>
      <c r="K1480">
        <v>0</v>
      </c>
      <c r="L1480">
        <v>2750</v>
      </c>
      <c r="M1480">
        <v>2750</v>
      </c>
      <c r="N1480">
        <v>0</v>
      </c>
    </row>
    <row r="1481" spans="1:14" x14ac:dyDescent="0.25">
      <c r="A1481">
        <v>1079.6420230000001</v>
      </c>
      <c r="B1481" s="1">
        <f>DATE(2013,4,14) + TIME(15,24,30)</f>
        <v>41378.642013888886</v>
      </c>
      <c r="C1481">
        <v>80</v>
      </c>
      <c r="D1481">
        <v>64.859992981000005</v>
      </c>
      <c r="E1481">
        <v>50</v>
      </c>
      <c r="F1481">
        <v>49.976047516000001</v>
      </c>
      <c r="G1481">
        <v>1282.9091797000001</v>
      </c>
      <c r="H1481">
        <v>1263.3221435999999</v>
      </c>
      <c r="I1481">
        <v>1402.3470459</v>
      </c>
      <c r="J1481">
        <v>1380.097168</v>
      </c>
      <c r="K1481">
        <v>0</v>
      </c>
      <c r="L1481">
        <v>2750</v>
      </c>
      <c r="M1481">
        <v>2750</v>
      </c>
      <c r="N1481">
        <v>0</v>
      </c>
    </row>
    <row r="1482" spans="1:14" x14ac:dyDescent="0.25">
      <c r="A1482">
        <v>1083.2138460000001</v>
      </c>
      <c r="B1482" s="1">
        <f>DATE(2013,4,18) + TIME(5,7,56)</f>
        <v>41382.213842592595</v>
      </c>
      <c r="C1482">
        <v>80</v>
      </c>
      <c r="D1482">
        <v>64.371582031000003</v>
      </c>
      <c r="E1482">
        <v>50</v>
      </c>
      <c r="F1482">
        <v>49.976104736000003</v>
      </c>
      <c r="G1482">
        <v>1282.4064940999999</v>
      </c>
      <c r="H1482">
        <v>1262.5814209</v>
      </c>
      <c r="I1482">
        <v>1402.3007812000001</v>
      </c>
      <c r="J1482">
        <v>1380.0550536999999</v>
      </c>
      <c r="K1482">
        <v>0</v>
      </c>
      <c r="L1482">
        <v>2750</v>
      </c>
      <c r="M1482">
        <v>2750</v>
      </c>
      <c r="N1482">
        <v>0</v>
      </c>
    </row>
    <row r="1483" spans="1:14" x14ac:dyDescent="0.25">
      <c r="A1483">
        <v>1086.8650769999999</v>
      </c>
      <c r="B1483" s="1">
        <f>DATE(2013,4,21) + TIME(20,45,42)</f>
        <v>41385.865069444444</v>
      </c>
      <c r="C1483">
        <v>80</v>
      </c>
      <c r="D1483">
        <v>63.859802246000001</v>
      </c>
      <c r="E1483">
        <v>50</v>
      </c>
      <c r="F1483">
        <v>49.976165770999998</v>
      </c>
      <c r="G1483">
        <v>1281.8946533000001</v>
      </c>
      <c r="H1483">
        <v>1261.8242187999999</v>
      </c>
      <c r="I1483">
        <v>1402.2535399999999</v>
      </c>
      <c r="J1483">
        <v>1380.0118408000001</v>
      </c>
      <c r="K1483">
        <v>0</v>
      </c>
      <c r="L1483">
        <v>2750</v>
      </c>
      <c r="M1483">
        <v>2750</v>
      </c>
      <c r="N1483">
        <v>0</v>
      </c>
    </row>
    <row r="1484" spans="1:14" x14ac:dyDescent="0.25">
      <c r="A1484">
        <v>1090.593271</v>
      </c>
      <c r="B1484" s="1">
        <f>DATE(2013,4,25) + TIME(14,14,18)</f>
        <v>41389.593263888892</v>
      </c>
      <c r="C1484">
        <v>80</v>
      </c>
      <c r="D1484">
        <v>63.323688507</v>
      </c>
      <c r="E1484">
        <v>50</v>
      </c>
      <c r="F1484">
        <v>49.976222991999997</v>
      </c>
      <c r="G1484">
        <v>1281.3729248</v>
      </c>
      <c r="H1484">
        <v>1261.0494385</v>
      </c>
      <c r="I1484">
        <v>1402.2053223</v>
      </c>
      <c r="J1484">
        <v>1379.9676514</v>
      </c>
      <c r="K1484">
        <v>0</v>
      </c>
      <c r="L1484">
        <v>2750</v>
      </c>
      <c r="M1484">
        <v>2750</v>
      </c>
      <c r="N1484">
        <v>0</v>
      </c>
    </row>
    <row r="1485" spans="1:14" x14ac:dyDescent="0.25">
      <c r="A1485">
        <v>1094.3921660000001</v>
      </c>
      <c r="B1485" s="1">
        <f>DATE(2013,4,29) + TIME(9,24,43)</f>
        <v>41393.392164351855</v>
      </c>
      <c r="C1485">
        <v>80</v>
      </c>
      <c r="D1485">
        <v>62.763683319000002</v>
      </c>
      <c r="E1485">
        <v>50</v>
      </c>
      <c r="F1485">
        <v>49.976284026999998</v>
      </c>
      <c r="G1485">
        <v>1280.8426514</v>
      </c>
      <c r="H1485">
        <v>1260.2586670000001</v>
      </c>
      <c r="I1485">
        <v>1402.1558838000001</v>
      </c>
      <c r="J1485">
        <v>1379.9223632999999</v>
      </c>
      <c r="K1485">
        <v>0</v>
      </c>
      <c r="L1485">
        <v>2750</v>
      </c>
      <c r="M1485">
        <v>2750</v>
      </c>
      <c r="N1485">
        <v>0</v>
      </c>
    </row>
    <row r="1486" spans="1:14" x14ac:dyDescent="0.25">
      <c r="A1486">
        <v>1096</v>
      </c>
      <c r="B1486" s="1">
        <f>DATE(2013,5,1) + TIME(0,0,0)</f>
        <v>41395</v>
      </c>
      <c r="C1486">
        <v>80</v>
      </c>
      <c r="D1486">
        <v>62.277256012000002</v>
      </c>
      <c r="E1486">
        <v>50</v>
      </c>
      <c r="F1486">
        <v>49.976306915000002</v>
      </c>
      <c r="G1486">
        <v>1280.3155518000001</v>
      </c>
      <c r="H1486">
        <v>1259.5018310999999</v>
      </c>
      <c r="I1486">
        <v>1402.1049805</v>
      </c>
      <c r="J1486">
        <v>1379.8754882999999</v>
      </c>
      <c r="K1486">
        <v>0</v>
      </c>
      <c r="L1486">
        <v>2750</v>
      </c>
      <c r="M1486">
        <v>2750</v>
      </c>
      <c r="N1486">
        <v>0</v>
      </c>
    </row>
    <row r="1487" spans="1:14" x14ac:dyDescent="0.25">
      <c r="A1487">
        <v>1096.0000010000001</v>
      </c>
      <c r="B1487" s="1">
        <f>DATE(2013,5,1) + TIME(0,0,0)</f>
        <v>41395</v>
      </c>
      <c r="C1487">
        <v>80</v>
      </c>
      <c r="D1487">
        <v>62.277435302999997</v>
      </c>
      <c r="E1487">
        <v>50</v>
      </c>
      <c r="F1487">
        <v>49.976181029999999</v>
      </c>
      <c r="G1487">
        <v>1302.7517089999999</v>
      </c>
      <c r="H1487">
        <v>1281.472168</v>
      </c>
      <c r="I1487">
        <v>1378.8735352000001</v>
      </c>
      <c r="J1487">
        <v>1357.1708983999999</v>
      </c>
      <c r="K1487">
        <v>2750</v>
      </c>
      <c r="L1487">
        <v>0</v>
      </c>
      <c r="M1487">
        <v>0</v>
      </c>
      <c r="N1487">
        <v>2750</v>
      </c>
    </row>
    <row r="1488" spans="1:14" x14ac:dyDescent="0.25">
      <c r="A1488">
        <v>1096.000004</v>
      </c>
      <c r="B1488" s="1">
        <f>DATE(2013,5,1) + TIME(0,0,0)</f>
        <v>41395</v>
      </c>
      <c r="C1488">
        <v>80</v>
      </c>
      <c r="D1488">
        <v>62.277919769</v>
      </c>
      <c r="E1488">
        <v>50</v>
      </c>
      <c r="F1488">
        <v>49.975841522000003</v>
      </c>
      <c r="G1488">
        <v>1305.4686279</v>
      </c>
      <c r="H1488">
        <v>1284.4720459</v>
      </c>
      <c r="I1488">
        <v>1376.2008057</v>
      </c>
      <c r="J1488">
        <v>1354.4974365</v>
      </c>
      <c r="K1488">
        <v>2750</v>
      </c>
      <c r="L1488">
        <v>0</v>
      </c>
      <c r="M1488">
        <v>0</v>
      </c>
      <c r="N1488">
        <v>2750</v>
      </c>
    </row>
    <row r="1489" spans="1:14" x14ac:dyDescent="0.25">
      <c r="A1489">
        <v>1096.0000130000001</v>
      </c>
      <c r="B1489" s="1">
        <f>DATE(2013,5,1) + TIME(0,0,1)</f>
        <v>41395.000011574077</v>
      </c>
      <c r="C1489">
        <v>80</v>
      </c>
      <c r="D1489">
        <v>62.279014586999999</v>
      </c>
      <c r="E1489">
        <v>50</v>
      </c>
      <c r="F1489">
        <v>49.975086212000001</v>
      </c>
      <c r="G1489">
        <v>1311.4620361</v>
      </c>
      <c r="H1489">
        <v>1290.8516846</v>
      </c>
      <c r="I1489">
        <v>1370.2054443</v>
      </c>
      <c r="J1489">
        <v>1348.5009766000001</v>
      </c>
      <c r="K1489">
        <v>2750</v>
      </c>
      <c r="L1489">
        <v>0</v>
      </c>
      <c r="M1489">
        <v>0</v>
      </c>
      <c r="N1489">
        <v>2750</v>
      </c>
    </row>
    <row r="1490" spans="1:14" x14ac:dyDescent="0.25">
      <c r="A1490">
        <v>1096.0000399999999</v>
      </c>
      <c r="B1490" s="1">
        <f>DATE(2013,5,1) + TIME(0,0,3)</f>
        <v>41395.000034722223</v>
      </c>
      <c r="C1490">
        <v>80</v>
      </c>
      <c r="D1490">
        <v>62.281085967999999</v>
      </c>
      <c r="E1490">
        <v>50</v>
      </c>
      <c r="F1490">
        <v>49.973823547000002</v>
      </c>
      <c r="G1490">
        <v>1321.2901611</v>
      </c>
      <c r="H1490">
        <v>1300.8491211</v>
      </c>
      <c r="I1490">
        <v>1360.1866454999999</v>
      </c>
      <c r="J1490">
        <v>1338.4830322</v>
      </c>
      <c r="K1490">
        <v>2750</v>
      </c>
      <c r="L1490">
        <v>0</v>
      </c>
      <c r="M1490">
        <v>0</v>
      </c>
      <c r="N1490">
        <v>2750</v>
      </c>
    </row>
    <row r="1491" spans="1:14" x14ac:dyDescent="0.25">
      <c r="A1491">
        <v>1096.000121</v>
      </c>
      <c r="B1491" s="1">
        <f>DATE(2013,5,1) + TIME(0,0,10)</f>
        <v>41395.000115740739</v>
      </c>
      <c r="C1491">
        <v>80</v>
      </c>
      <c r="D1491">
        <v>62.284900665000002</v>
      </c>
      <c r="E1491">
        <v>50</v>
      </c>
      <c r="F1491">
        <v>49.972274779999999</v>
      </c>
      <c r="G1491">
        <v>1333.192749</v>
      </c>
      <c r="H1491">
        <v>1312.6376952999999</v>
      </c>
      <c r="I1491">
        <v>1347.9570312000001</v>
      </c>
      <c r="J1491">
        <v>1326.2584228999999</v>
      </c>
      <c r="K1491">
        <v>2750</v>
      </c>
      <c r="L1491">
        <v>0</v>
      </c>
      <c r="M1491">
        <v>0</v>
      </c>
      <c r="N1491">
        <v>2750</v>
      </c>
    </row>
    <row r="1492" spans="1:14" x14ac:dyDescent="0.25">
      <c r="A1492">
        <v>1096.000364</v>
      </c>
      <c r="B1492" s="1">
        <f>DATE(2013,5,1) + TIME(0,0,31)</f>
        <v>41395.000358796293</v>
      </c>
      <c r="C1492">
        <v>80</v>
      </c>
      <c r="D1492">
        <v>62.293312073000003</v>
      </c>
      <c r="E1492">
        <v>50</v>
      </c>
      <c r="F1492">
        <v>49.970661163000003</v>
      </c>
      <c r="G1492">
        <v>1345.5522461</v>
      </c>
      <c r="H1492">
        <v>1324.8312988</v>
      </c>
      <c r="I1492">
        <v>1335.3681641000001</v>
      </c>
      <c r="J1492">
        <v>1313.6794434000001</v>
      </c>
      <c r="K1492">
        <v>2750</v>
      </c>
      <c r="L1492">
        <v>0</v>
      </c>
      <c r="M1492">
        <v>0</v>
      </c>
      <c r="N1492">
        <v>2750</v>
      </c>
    </row>
    <row r="1493" spans="1:14" x14ac:dyDescent="0.25">
      <c r="A1493">
        <v>1096.0010930000001</v>
      </c>
      <c r="B1493" s="1">
        <f>DATE(2013,5,1) + TIME(0,1,34)</f>
        <v>41395.001087962963</v>
      </c>
      <c r="C1493">
        <v>80</v>
      </c>
      <c r="D1493">
        <v>62.315509796000001</v>
      </c>
      <c r="E1493">
        <v>50</v>
      </c>
      <c r="F1493">
        <v>49.968990325999997</v>
      </c>
      <c r="G1493">
        <v>1358.2403564000001</v>
      </c>
      <c r="H1493">
        <v>1337.3354492000001</v>
      </c>
      <c r="I1493">
        <v>1322.7915039</v>
      </c>
      <c r="J1493">
        <v>1301.1148682</v>
      </c>
      <c r="K1493">
        <v>2750</v>
      </c>
      <c r="L1493">
        <v>0</v>
      </c>
      <c r="M1493">
        <v>0</v>
      </c>
      <c r="N1493">
        <v>2750</v>
      </c>
    </row>
    <row r="1494" spans="1:14" x14ac:dyDescent="0.25">
      <c r="A1494">
        <v>1096.0032799999999</v>
      </c>
      <c r="B1494" s="1">
        <f>DATE(2013,5,1) + TIME(0,4,43)</f>
        <v>41395.003275462965</v>
      </c>
      <c r="C1494">
        <v>80</v>
      </c>
      <c r="D1494">
        <v>62.379344940000003</v>
      </c>
      <c r="E1494">
        <v>50</v>
      </c>
      <c r="F1494">
        <v>49.967128754000001</v>
      </c>
      <c r="G1494">
        <v>1371.6419678</v>
      </c>
      <c r="H1494">
        <v>1350.5192870999999</v>
      </c>
      <c r="I1494">
        <v>1310.1240233999999</v>
      </c>
      <c r="J1494">
        <v>1288.4353027</v>
      </c>
      <c r="K1494">
        <v>2750</v>
      </c>
      <c r="L1494">
        <v>0</v>
      </c>
      <c r="M1494">
        <v>0</v>
      </c>
      <c r="N1494">
        <v>2750</v>
      </c>
    </row>
    <row r="1495" spans="1:14" x14ac:dyDescent="0.25">
      <c r="A1495">
        <v>1096.0098410000001</v>
      </c>
      <c r="B1495" s="1">
        <f>DATE(2013,5,1) + TIME(0,14,10)</f>
        <v>41395.009837962964</v>
      </c>
      <c r="C1495">
        <v>80</v>
      </c>
      <c r="D1495">
        <v>62.567405700999998</v>
      </c>
      <c r="E1495">
        <v>50</v>
      </c>
      <c r="F1495">
        <v>49.964759827000002</v>
      </c>
      <c r="G1495">
        <v>1385.2330322</v>
      </c>
      <c r="H1495">
        <v>1363.9376221</v>
      </c>
      <c r="I1495">
        <v>1297.6407471</v>
      </c>
      <c r="J1495">
        <v>1275.8922118999999</v>
      </c>
      <c r="K1495">
        <v>2750</v>
      </c>
      <c r="L1495">
        <v>0</v>
      </c>
      <c r="M1495">
        <v>0</v>
      </c>
      <c r="N1495">
        <v>2750</v>
      </c>
    </row>
    <row r="1496" spans="1:14" x14ac:dyDescent="0.25">
      <c r="A1496">
        <v>1096.029524</v>
      </c>
      <c r="B1496" s="1">
        <f>DATE(2013,5,1) + TIME(0,42,30)</f>
        <v>41395.029513888891</v>
      </c>
      <c r="C1496">
        <v>80</v>
      </c>
      <c r="D1496">
        <v>63.113590240000001</v>
      </c>
      <c r="E1496">
        <v>50</v>
      </c>
      <c r="F1496">
        <v>49.961151123</v>
      </c>
      <c r="G1496">
        <v>1396.2735596</v>
      </c>
      <c r="H1496">
        <v>1375.0123291</v>
      </c>
      <c r="I1496">
        <v>1287.651001</v>
      </c>
      <c r="J1496">
        <v>1265.8452147999999</v>
      </c>
      <c r="K1496">
        <v>2750</v>
      </c>
      <c r="L1496">
        <v>0</v>
      </c>
      <c r="M1496">
        <v>0</v>
      </c>
      <c r="N1496">
        <v>2750</v>
      </c>
    </row>
    <row r="1497" spans="1:14" x14ac:dyDescent="0.25">
      <c r="A1497">
        <v>1096.052807</v>
      </c>
      <c r="B1497" s="1">
        <f>DATE(2013,5,1) + TIME(1,16,2)</f>
        <v>41395.052800925929</v>
      </c>
      <c r="C1497">
        <v>80</v>
      </c>
      <c r="D1497">
        <v>63.736076355000002</v>
      </c>
      <c r="E1497">
        <v>50</v>
      </c>
      <c r="F1497">
        <v>49.957923889</v>
      </c>
      <c r="G1497">
        <v>1400.5715332</v>
      </c>
      <c r="H1497">
        <v>1379.4577637</v>
      </c>
      <c r="I1497">
        <v>1284.0643310999999</v>
      </c>
      <c r="J1497">
        <v>1262.2395019999999</v>
      </c>
      <c r="K1497">
        <v>2750</v>
      </c>
      <c r="L1497">
        <v>0</v>
      </c>
      <c r="M1497">
        <v>0</v>
      </c>
      <c r="N1497">
        <v>2750</v>
      </c>
    </row>
    <row r="1498" spans="1:14" x14ac:dyDescent="0.25">
      <c r="A1498">
        <v>1096.0766450000001</v>
      </c>
      <c r="B1498" s="1">
        <f>DATE(2013,5,1) + TIME(1,50,22)</f>
        <v>41395.076643518521</v>
      </c>
      <c r="C1498">
        <v>80</v>
      </c>
      <c r="D1498">
        <v>64.349639893000003</v>
      </c>
      <c r="E1498">
        <v>50</v>
      </c>
      <c r="F1498">
        <v>49.954956054999997</v>
      </c>
      <c r="G1498">
        <v>1402.1882324000001</v>
      </c>
      <c r="H1498">
        <v>1381.2419434000001</v>
      </c>
      <c r="I1498">
        <v>1282.9204102000001</v>
      </c>
      <c r="J1498">
        <v>1261.0891113</v>
      </c>
      <c r="K1498">
        <v>2750</v>
      </c>
      <c r="L1498">
        <v>0</v>
      </c>
      <c r="M1498">
        <v>0</v>
      </c>
      <c r="N1498">
        <v>2750</v>
      </c>
    </row>
    <row r="1499" spans="1:14" x14ac:dyDescent="0.25">
      <c r="A1499">
        <v>1096.100995</v>
      </c>
      <c r="B1499" s="1">
        <f>DATE(2013,5,1) + TIME(2,25,25)</f>
        <v>41395.100983796299</v>
      </c>
      <c r="C1499">
        <v>80</v>
      </c>
      <c r="D1499">
        <v>64.952415466000005</v>
      </c>
      <c r="E1499">
        <v>50</v>
      </c>
      <c r="F1499">
        <v>49.952056884999998</v>
      </c>
      <c r="G1499">
        <v>1402.770874</v>
      </c>
      <c r="H1499">
        <v>1381.9943848</v>
      </c>
      <c r="I1499">
        <v>1282.6009521000001</v>
      </c>
      <c r="J1499">
        <v>1260.7673339999999</v>
      </c>
      <c r="K1499">
        <v>2750</v>
      </c>
      <c r="L1499">
        <v>0</v>
      </c>
      <c r="M1499">
        <v>0</v>
      </c>
      <c r="N1499">
        <v>2750</v>
      </c>
    </row>
    <row r="1500" spans="1:14" x14ac:dyDescent="0.25">
      <c r="A1500">
        <v>1096.125857</v>
      </c>
      <c r="B1500" s="1">
        <f>DATE(2013,5,1) + TIME(3,1,14)</f>
        <v>41395.125856481478</v>
      </c>
      <c r="C1500">
        <v>80</v>
      </c>
      <c r="D1500">
        <v>65.544052124000004</v>
      </c>
      <c r="E1500">
        <v>50</v>
      </c>
      <c r="F1500">
        <v>49.949157714999998</v>
      </c>
      <c r="G1500">
        <v>1402.9139404</v>
      </c>
      <c r="H1500">
        <v>1382.3039550999999</v>
      </c>
      <c r="I1500">
        <v>1282.552124</v>
      </c>
      <c r="J1500">
        <v>1260.7174072</v>
      </c>
      <c r="K1500">
        <v>2750</v>
      </c>
      <c r="L1500">
        <v>0</v>
      </c>
      <c r="M1500">
        <v>0</v>
      </c>
      <c r="N1500">
        <v>2750</v>
      </c>
    </row>
    <row r="1501" spans="1:14" x14ac:dyDescent="0.25">
      <c r="A1501">
        <v>1096.151253</v>
      </c>
      <c r="B1501" s="1">
        <f>DATE(2013,5,1) + TIME(3,37,48)</f>
        <v>41395.151250000003</v>
      </c>
      <c r="C1501">
        <v>80</v>
      </c>
      <c r="D1501">
        <v>66.124320983999993</v>
      </c>
      <c r="E1501">
        <v>50</v>
      </c>
      <c r="F1501">
        <v>49.946231842000003</v>
      </c>
      <c r="G1501">
        <v>1402.8583983999999</v>
      </c>
      <c r="H1501">
        <v>1382.4102783000001</v>
      </c>
      <c r="I1501">
        <v>1282.5793457</v>
      </c>
      <c r="J1501">
        <v>1260.7441406</v>
      </c>
      <c r="K1501">
        <v>2750</v>
      </c>
      <c r="L1501">
        <v>0</v>
      </c>
      <c r="M1501">
        <v>0</v>
      </c>
      <c r="N1501">
        <v>2750</v>
      </c>
    </row>
    <row r="1502" spans="1:14" x14ac:dyDescent="0.25">
      <c r="A1502">
        <v>1096.1772000000001</v>
      </c>
      <c r="B1502" s="1">
        <f>DATE(2013,5,1) + TIME(4,15,10)</f>
        <v>41395.177199074074</v>
      </c>
      <c r="C1502">
        <v>80</v>
      </c>
      <c r="D1502">
        <v>66.693107604999994</v>
      </c>
      <c r="E1502">
        <v>50</v>
      </c>
      <c r="F1502">
        <v>49.943275452000002</v>
      </c>
      <c r="G1502">
        <v>1402.7102050999999</v>
      </c>
      <c r="H1502">
        <v>1382.4188231999999</v>
      </c>
      <c r="I1502">
        <v>1282.6179199000001</v>
      </c>
      <c r="J1502">
        <v>1260.7823486</v>
      </c>
      <c r="K1502">
        <v>2750</v>
      </c>
      <c r="L1502">
        <v>0</v>
      </c>
      <c r="M1502">
        <v>0</v>
      </c>
      <c r="N1502">
        <v>2750</v>
      </c>
    </row>
    <row r="1503" spans="1:14" x14ac:dyDescent="0.25">
      <c r="A1503">
        <v>1096.2037350000001</v>
      </c>
      <c r="B1503" s="1">
        <f>DATE(2013,5,1) + TIME(4,53,22)</f>
        <v>41395.203726851854</v>
      </c>
      <c r="C1503">
        <v>80</v>
      </c>
      <c r="D1503">
        <v>67.250595093000001</v>
      </c>
      <c r="E1503">
        <v>50</v>
      </c>
      <c r="F1503">
        <v>49.940280913999999</v>
      </c>
      <c r="G1503">
        <v>1402.5184326000001</v>
      </c>
      <c r="H1503">
        <v>1382.378418</v>
      </c>
      <c r="I1503">
        <v>1282.6495361</v>
      </c>
      <c r="J1503">
        <v>1260.8137207</v>
      </c>
      <c r="K1503">
        <v>2750</v>
      </c>
      <c r="L1503">
        <v>0</v>
      </c>
      <c r="M1503">
        <v>0</v>
      </c>
      <c r="N1503">
        <v>2750</v>
      </c>
    </row>
    <row r="1504" spans="1:14" x14ac:dyDescent="0.25">
      <c r="A1504">
        <v>1096.23089</v>
      </c>
      <c r="B1504" s="1">
        <f>DATE(2013,5,1) + TIME(5,32,28)</f>
        <v>41395.230879629627</v>
      </c>
      <c r="C1504">
        <v>80</v>
      </c>
      <c r="D1504">
        <v>67.796844481999997</v>
      </c>
      <c r="E1504">
        <v>50</v>
      </c>
      <c r="F1504">
        <v>49.937244415000002</v>
      </c>
      <c r="G1504">
        <v>1402.3070068</v>
      </c>
      <c r="H1504">
        <v>1382.3131103999999</v>
      </c>
      <c r="I1504">
        <v>1282.6715088000001</v>
      </c>
      <c r="J1504">
        <v>1260.8354492000001</v>
      </c>
      <c r="K1504">
        <v>2750</v>
      </c>
      <c r="L1504">
        <v>0</v>
      </c>
      <c r="M1504">
        <v>0</v>
      </c>
      <c r="N1504">
        <v>2750</v>
      </c>
    </row>
    <row r="1505" spans="1:14" x14ac:dyDescent="0.25">
      <c r="A1505">
        <v>1096.258699</v>
      </c>
      <c r="B1505" s="1">
        <f>DATE(2013,5,1) + TIME(6,12,31)</f>
        <v>41395.258692129632</v>
      </c>
      <c r="C1505">
        <v>80</v>
      </c>
      <c r="D1505">
        <v>68.331932068</v>
      </c>
      <c r="E1505">
        <v>50</v>
      </c>
      <c r="F1505">
        <v>49.934162139999998</v>
      </c>
      <c r="G1505">
        <v>1402.0880127</v>
      </c>
      <c r="H1505">
        <v>1382.2353516000001</v>
      </c>
      <c r="I1505">
        <v>1282.6856689000001</v>
      </c>
      <c r="J1505">
        <v>1260.8492432</v>
      </c>
      <c r="K1505">
        <v>2750</v>
      </c>
      <c r="L1505">
        <v>0</v>
      </c>
      <c r="M1505">
        <v>0</v>
      </c>
      <c r="N1505">
        <v>2750</v>
      </c>
    </row>
    <row r="1506" spans="1:14" x14ac:dyDescent="0.25">
      <c r="A1506">
        <v>1096.2872030000001</v>
      </c>
      <c r="B1506" s="1">
        <f>DATE(2013,5,1) + TIME(6,53,34)</f>
        <v>41395.287199074075</v>
      </c>
      <c r="C1506">
        <v>80</v>
      </c>
      <c r="D1506">
        <v>68.855903624999996</v>
      </c>
      <c r="E1506">
        <v>50</v>
      </c>
      <c r="F1506">
        <v>49.931037903000004</v>
      </c>
      <c r="G1506">
        <v>1401.8679199000001</v>
      </c>
      <c r="H1506">
        <v>1382.1516113</v>
      </c>
      <c r="I1506">
        <v>1282.6943358999999</v>
      </c>
      <c r="J1506">
        <v>1260.8576660000001</v>
      </c>
      <c r="K1506">
        <v>2750</v>
      </c>
      <c r="L1506">
        <v>0</v>
      </c>
      <c r="M1506">
        <v>0</v>
      </c>
      <c r="N1506">
        <v>2750</v>
      </c>
    </row>
    <row r="1507" spans="1:14" x14ac:dyDescent="0.25">
      <c r="A1507">
        <v>1096.3164409999999</v>
      </c>
      <c r="B1507" s="1">
        <f>DATE(2013,5,1) + TIME(7,35,40)</f>
        <v>41395.316435185188</v>
      </c>
      <c r="C1507">
        <v>80</v>
      </c>
      <c r="D1507">
        <v>69.368812560999999</v>
      </c>
      <c r="E1507">
        <v>50</v>
      </c>
      <c r="F1507">
        <v>49.927860260000003</v>
      </c>
      <c r="G1507">
        <v>1401.6499022999999</v>
      </c>
      <c r="H1507">
        <v>1382.0653076000001</v>
      </c>
      <c r="I1507">
        <v>1282.6994629000001</v>
      </c>
      <c r="J1507">
        <v>1260.8625488</v>
      </c>
      <c r="K1507">
        <v>2750</v>
      </c>
      <c r="L1507">
        <v>0</v>
      </c>
      <c r="M1507">
        <v>0</v>
      </c>
      <c r="N1507">
        <v>2750</v>
      </c>
    </row>
    <row r="1508" spans="1:14" x14ac:dyDescent="0.25">
      <c r="A1508">
        <v>1096.34646</v>
      </c>
      <c r="B1508" s="1">
        <f>DATE(2013,5,1) + TIME(8,18,54)</f>
        <v>41395.346458333333</v>
      </c>
      <c r="C1508">
        <v>80</v>
      </c>
      <c r="D1508">
        <v>69.870704650999997</v>
      </c>
      <c r="E1508">
        <v>50</v>
      </c>
      <c r="F1508">
        <v>49.924629211000003</v>
      </c>
      <c r="G1508">
        <v>1401.4359131000001</v>
      </c>
      <c r="H1508">
        <v>1381.9783935999999</v>
      </c>
      <c r="I1508">
        <v>1282.7023925999999</v>
      </c>
      <c r="J1508">
        <v>1260.8651123</v>
      </c>
      <c r="K1508">
        <v>2750</v>
      </c>
      <c r="L1508">
        <v>0</v>
      </c>
      <c r="M1508">
        <v>0</v>
      </c>
      <c r="N1508">
        <v>2750</v>
      </c>
    </row>
    <row r="1509" spans="1:14" x14ac:dyDescent="0.25">
      <c r="A1509">
        <v>1096.377309</v>
      </c>
      <c r="B1509" s="1">
        <f>DATE(2013,5,1) + TIME(9,3,19)</f>
        <v>41395.377303240741</v>
      </c>
      <c r="C1509">
        <v>80</v>
      </c>
      <c r="D1509">
        <v>70.361335753999995</v>
      </c>
      <c r="E1509">
        <v>50</v>
      </c>
      <c r="F1509">
        <v>49.921340942</v>
      </c>
      <c r="G1509">
        <v>1401.2265625</v>
      </c>
      <c r="H1509">
        <v>1381.8919678</v>
      </c>
      <c r="I1509">
        <v>1282.7039795000001</v>
      </c>
      <c r="J1509">
        <v>1260.8663329999999</v>
      </c>
      <c r="K1509">
        <v>2750</v>
      </c>
      <c r="L1509">
        <v>0</v>
      </c>
      <c r="M1509">
        <v>0</v>
      </c>
      <c r="N1509">
        <v>2750</v>
      </c>
    </row>
    <row r="1510" spans="1:14" x14ac:dyDescent="0.25">
      <c r="A1510">
        <v>1096.40904</v>
      </c>
      <c r="B1510" s="1">
        <f>DATE(2013,5,1) + TIME(9,49,1)</f>
        <v>41395.409039351849</v>
      </c>
      <c r="C1510">
        <v>80</v>
      </c>
      <c r="D1510">
        <v>70.840896606000001</v>
      </c>
      <c r="E1510">
        <v>50</v>
      </c>
      <c r="F1510">
        <v>49.917995453000003</v>
      </c>
      <c r="G1510">
        <v>1401.0224608999999</v>
      </c>
      <c r="H1510">
        <v>1381.8065185999999</v>
      </c>
      <c r="I1510">
        <v>1282.7047118999999</v>
      </c>
      <c r="J1510">
        <v>1260.8668213000001</v>
      </c>
      <c r="K1510">
        <v>2750</v>
      </c>
      <c r="L1510">
        <v>0</v>
      </c>
      <c r="M1510">
        <v>0</v>
      </c>
      <c r="N1510">
        <v>2750</v>
      </c>
    </row>
    <row r="1511" spans="1:14" x14ac:dyDescent="0.25">
      <c r="A1511">
        <v>1096.4417129999999</v>
      </c>
      <c r="B1511" s="1">
        <f>DATE(2013,5,1) + TIME(10,36,4)</f>
        <v>41395.441712962966</v>
      </c>
      <c r="C1511">
        <v>80</v>
      </c>
      <c r="D1511">
        <v>71.309494018999999</v>
      </c>
      <c r="E1511">
        <v>50</v>
      </c>
      <c r="F1511">
        <v>49.914581298999998</v>
      </c>
      <c r="G1511">
        <v>1400.8236084</v>
      </c>
      <c r="H1511">
        <v>1381.7222899999999</v>
      </c>
      <c r="I1511">
        <v>1282.7050781</v>
      </c>
      <c r="J1511">
        <v>1260.8668213000001</v>
      </c>
      <c r="K1511">
        <v>2750</v>
      </c>
      <c r="L1511">
        <v>0</v>
      </c>
      <c r="M1511">
        <v>0</v>
      </c>
      <c r="N1511">
        <v>2750</v>
      </c>
    </row>
    <row r="1512" spans="1:14" x14ac:dyDescent="0.25">
      <c r="A1512">
        <v>1096.475404</v>
      </c>
      <c r="B1512" s="1">
        <f>DATE(2013,5,1) + TIME(11,24,34)</f>
        <v>41395.475393518522</v>
      </c>
      <c r="C1512">
        <v>80</v>
      </c>
      <c r="D1512">
        <v>71.767288207999997</v>
      </c>
      <c r="E1512">
        <v>50</v>
      </c>
      <c r="F1512">
        <v>49.91109848</v>
      </c>
      <c r="G1512">
        <v>1400.6298827999999</v>
      </c>
      <c r="H1512">
        <v>1381.6394043</v>
      </c>
      <c r="I1512">
        <v>1282.7050781</v>
      </c>
      <c r="J1512">
        <v>1260.8664550999999</v>
      </c>
      <c r="K1512">
        <v>2750</v>
      </c>
      <c r="L1512">
        <v>0</v>
      </c>
      <c r="M1512">
        <v>0</v>
      </c>
      <c r="N1512">
        <v>2750</v>
      </c>
    </row>
    <row r="1513" spans="1:14" x14ac:dyDescent="0.25">
      <c r="A1513">
        <v>1096.5101749999999</v>
      </c>
      <c r="B1513" s="1">
        <f>DATE(2013,5,1) + TIME(12,14,39)</f>
        <v>41395.51017361111</v>
      </c>
      <c r="C1513">
        <v>80</v>
      </c>
      <c r="D1513">
        <v>72.214141846000004</v>
      </c>
      <c r="E1513">
        <v>50</v>
      </c>
      <c r="F1513">
        <v>49.907535553000002</v>
      </c>
      <c r="G1513">
        <v>1400.4412841999999</v>
      </c>
      <c r="H1513">
        <v>1381.5577393000001</v>
      </c>
      <c r="I1513">
        <v>1282.7048339999999</v>
      </c>
      <c r="J1513">
        <v>1260.8659668</v>
      </c>
      <c r="K1513">
        <v>2750</v>
      </c>
      <c r="L1513">
        <v>0</v>
      </c>
      <c r="M1513">
        <v>0</v>
      </c>
      <c r="N1513">
        <v>2750</v>
      </c>
    </row>
    <row r="1514" spans="1:14" x14ac:dyDescent="0.25">
      <c r="A1514">
        <v>1096.5461009999999</v>
      </c>
      <c r="B1514" s="1">
        <f>DATE(2013,5,1) + TIME(13,6,23)</f>
        <v>41395.546099537038</v>
      </c>
      <c r="C1514">
        <v>80</v>
      </c>
      <c r="D1514">
        <v>72.650009155000006</v>
      </c>
      <c r="E1514">
        <v>50</v>
      </c>
      <c r="F1514">
        <v>49.903896332000002</v>
      </c>
      <c r="G1514">
        <v>1400.2574463000001</v>
      </c>
      <c r="H1514">
        <v>1381.4772949000001</v>
      </c>
      <c r="I1514">
        <v>1282.7045897999999</v>
      </c>
      <c r="J1514">
        <v>1260.8652344</v>
      </c>
      <c r="K1514">
        <v>2750</v>
      </c>
      <c r="L1514">
        <v>0</v>
      </c>
      <c r="M1514">
        <v>0</v>
      </c>
      <c r="N1514">
        <v>2750</v>
      </c>
    </row>
    <row r="1515" spans="1:14" x14ac:dyDescent="0.25">
      <c r="A1515">
        <v>1096.583267</v>
      </c>
      <c r="B1515" s="1">
        <f>DATE(2013,5,1) + TIME(13,59,54)</f>
        <v>41395.58326388889</v>
      </c>
      <c r="C1515">
        <v>80</v>
      </c>
      <c r="D1515">
        <v>73.074851989999999</v>
      </c>
      <c r="E1515">
        <v>50</v>
      </c>
      <c r="F1515">
        <v>49.900165557999998</v>
      </c>
      <c r="G1515">
        <v>1400.0782471</v>
      </c>
      <c r="H1515">
        <v>1381.3979492000001</v>
      </c>
      <c r="I1515">
        <v>1282.7041016000001</v>
      </c>
      <c r="J1515">
        <v>1260.8645019999999</v>
      </c>
      <c r="K1515">
        <v>2750</v>
      </c>
      <c r="L1515">
        <v>0</v>
      </c>
      <c r="M1515">
        <v>0</v>
      </c>
      <c r="N1515">
        <v>2750</v>
      </c>
    </row>
    <row r="1516" spans="1:14" x14ac:dyDescent="0.25">
      <c r="A1516">
        <v>1096.621768</v>
      </c>
      <c r="B1516" s="1">
        <f>DATE(2013,5,1) + TIME(14,55,20)</f>
        <v>41395.621759259258</v>
      </c>
      <c r="C1516">
        <v>80</v>
      </c>
      <c r="D1516">
        <v>73.488624572999996</v>
      </c>
      <c r="E1516">
        <v>50</v>
      </c>
      <c r="F1516">
        <v>49.896343231000003</v>
      </c>
      <c r="G1516">
        <v>1399.9034423999999</v>
      </c>
      <c r="H1516">
        <v>1381.3198242000001</v>
      </c>
      <c r="I1516">
        <v>1282.7036132999999</v>
      </c>
      <c r="J1516">
        <v>1260.8636475000001</v>
      </c>
      <c r="K1516">
        <v>2750</v>
      </c>
      <c r="L1516">
        <v>0</v>
      </c>
      <c r="M1516">
        <v>0</v>
      </c>
      <c r="N1516">
        <v>2750</v>
      </c>
    </row>
    <row r="1517" spans="1:14" x14ac:dyDescent="0.25">
      <c r="A1517">
        <v>1096.661711</v>
      </c>
      <c r="B1517" s="1">
        <f>DATE(2013,5,1) + TIME(15,52,51)</f>
        <v>41395.66170138889</v>
      </c>
      <c r="C1517">
        <v>80</v>
      </c>
      <c r="D1517">
        <v>73.891288756999998</v>
      </c>
      <c r="E1517">
        <v>50</v>
      </c>
      <c r="F1517">
        <v>49.892414092999999</v>
      </c>
      <c r="G1517">
        <v>1399.7329102000001</v>
      </c>
      <c r="H1517">
        <v>1381.2424315999999</v>
      </c>
      <c r="I1517">
        <v>1282.703125</v>
      </c>
      <c r="J1517">
        <v>1260.8626709</v>
      </c>
      <c r="K1517">
        <v>2750</v>
      </c>
      <c r="L1517">
        <v>0</v>
      </c>
      <c r="M1517">
        <v>0</v>
      </c>
      <c r="N1517">
        <v>2750</v>
      </c>
    </row>
    <row r="1518" spans="1:14" x14ac:dyDescent="0.25">
      <c r="A1518">
        <v>1096.703213</v>
      </c>
      <c r="B1518" s="1">
        <f>DATE(2013,5,1) + TIME(16,52,37)</f>
        <v>41395.703206018516</v>
      </c>
      <c r="C1518">
        <v>80</v>
      </c>
      <c r="D1518">
        <v>74.282775878999999</v>
      </c>
      <c r="E1518">
        <v>50</v>
      </c>
      <c r="F1518">
        <v>49.888378142999997</v>
      </c>
      <c r="G1518">
        <v>1399.5662841999999</v>
      </c>
      <c r="H1518">
        <v>1381.1658935999999</v>
      </c>
      <c r="I1518">
        <v>1282.7025146000001</v>
      </c>
      <c r="J1518">
        <v>1260.8616943</v>
      </c>
      <c r="K1518">
        <v>2750</v>
      </c>
      <c r="L1518">
        <v>0</v>
      </c>
      <c r="M1518">
        <v>0</v>
      </c>
      <c r="N1518">
        <v>2750</v>
      </c>
    </row>
    <row r="1519" spans="1:14" x14ac:dyDescent="0.25">
      <c r="A1519">
        <v>1096.746408</v>
      </c>
      <c r="B1519" s="1">
        <f>DATE(2013,5,1) + TIME(17,54,49)</f>
        <v>41395.746400462966</v>
      </c>
      <c r="C1519">
        <v>80</v>
      </c>
      <c r="D1519">
        <v>74.663017272999994</v>
      </c>
      <c r="E1519">
        <v>50</v>
      </c>
      <c r="F1519">
        <v>49.884220122999999</v>
      </c>
      <c r="G1519">
        <v>1399.4033202999999</v>
      </c>
      <c r="H1519">
        <v>1381.0899658000001</v>
      </c>
      <c r="I1519">
        <v>1282.7019043</v>
      </c>
      <c r="J1519">
        <v>1260.8607178</v>
      </c>
      <c r="K1519">
        <v>2750</v>
      </c>
      <c r="L1519">
        <v>0</v>
      </c>
      <c r="M1519">
        <v>0</v>
      </c>
      <c r="N1519">
        <v>2750</v>
      </c>
    </row>
    <row r="1520" spans="1:14" x14ac:dyDescent="0.25">
      <c r="A1520">
        <v>1096.791444</v>
      </c>
      <c r="B1520" s="1">
        <f>DATE(2013,5,1) + TIME(18,59,40)</f>
        <v>41395.791435185187</v>
      </c>
      <c r="C1520">
        <v>80</v>
      </c>
      <c r="D1520">
        <v>75.031898498999993</v>
      </c>
      <c r="E1520">
        <v>50</v>
      </c>
      <c r="F1520">
        <v>49.879928589000002</v>
      </c>
      <c r="G1520">
        <v>1399.2438964999999</v>
      </c>
      <c r="H1520">
        <v>1381.0146483999999</v>
      </c>
      <c r="I1520">
        <v>1282.7011719</v>
      </c>
      <c r="J1520">
        <v>1260.8596190999999</v>
      </c>
      <c r="K1520">
        <v>2750</v>
      </c>
      <c r="L1520">
        <v>0</v>
      </c>
      <c r="M1520">
        <v>0</v>
      </c>
      <c r="N1520">
        <v>2750</v>
      </c>
    </row>
    <row r="1521" spans="1:14" x14ac:dyDescent="0.25">
      <c r="A1521">
        <v>1096.8384920000001</v>
      </c>
      <c r="B1521" s="1">
        <f>DATE(2013,5,1) + TIME(20,7,25)</f>
        <v>41395.838483796295</v>
      </c>
      <c r="C1521">
        <v>80</v>
      </c>
      <c r="D1521">
        <v>75.389114379999995</v>
      </c>
      <c r="E1521">
        <v>50</v>
      </c>
      <c r="F1521">
        <v>49.875495911000002</v>
      </c>
      <c r="G1521">
        <v>1399.0877685999999</v>
      </c>
      <c r="H1521">
        <v>1380.9396973</v>
      </c>
      <c r="I1521">
        <v>1282.7004394999999</v>
      </c>
      <c r="J1521">
        <v>1260.8583983999999</v>
      </c>
      <c r="K1521">
        <v>2750</v>
      </c>
      <c r="L1521">
        <v>0</v>
      </c>
      <c r="M1521">
        <v>0</v>
      </c>
      <c r="N1521">
        <v>2750</v>
      </c>
    </row>
    <row r="1522" spans="1:14" x14ac:dyDescent="0.25">
      <c r="A1522">
        <v>1096.887759</v>
      </c>
      <c r="B1522" s="1">
        <f>DATE(2013,5,1) + TIME(21,18,22)</f>
        <v>41395.887754629628</v>
      </c>
      <c r="C1522">
        <v>80</v>
      </c>
      <c r="D1522">
        <v>75.734870911000002</v>
      </c>
      <c r="E1522">
        <v>50</v>
      </c>
      <c r="F1522">
        <v>49.870903015000003</v>
      </c>
      <c r="G1522">
        <v>1398.9346923999999</v>
      </c>
      <c r="H1522">
        <v>1380.8648682</v>
      </c>
      <c r="I1522">
        <v>1282.699707</v>
      </c>
      <c r="J1522">
        <v>1260.8571777</v>
      </c>
      <c r="K1522">
        <v>2750</v>
      </c>
      <c r="L1522">
        <v>0</v>
      </c>
      <c r="M1522">
        <v>0</v>
      </c>
      <c r="N1522">
        <v>2750</v>
      </c>
    </row>
    <row r="1523" spans="1:14" x14ac:dyDescent="0.25">
      <c r="A1523">
        <v>1096.9394789999999</v>
      </c>
      <c r="B1523" s="1">
        <f>DATE(2013,5,1) + TIME(22,32,50)</f>
        <v>41395.939467592594</v>
      </c>
      <c r="C1523">
        <v>80</v>
      </c>
      <c r="D1523">
        <v>76.069099425999994</v>
      </c>
      <c r="E1523">
        <v>50</v>
      </c>
      <c r="F1523">
        <v>49.866130828999999</v>
      </c>
      <c r="G1523">
        <v>1398.7843018000001</v>
      </c>
      <c r="H1523">
        <v>1380.7901611</v>
      </c>
      <c r="I1523">
        <v>1282.6987305</v>
      </c>
      <c r="J1523">
        <v>1260.8558350000001</v>
      </c>
      <c r="K1523">
        <v>2750</v>
      </c>
      <c r="L1523">
        <v>0</v>
      </c>
      <c r="M1523">
        <v>0</v>
      </c>
      <c r="N1523">
        <v>2750</v>
      </c>
    </row>
    <row r="1524" spans="1:14" x14ac:dyDescent="0.25">
      <c r="A1524">
        <v>1096.993888</v>
      </c>
      <c r="B1524" s="1">
        <f>DATE(2013,5,1) + TIME(23,51,11)</f>
        <v>41395.993877314817</v>
      </c>
      <c r="C1524">
        <v>80</v>
      </c>
      <c r="D1524">
        <v>76.391525268999999</v>
      </c>
      <c r="E1524">
        <v>50</v>
      </c>
      <c r="F1524">
        <v>49.861167907999999</v>
      </c>
      <c r="G1524">
        <v>1398.6364745999999</v>
      </c>
      <c r="H1524">
        <v>1380.7154541</v>
      </c>
      <c r="I1524">
        <v>1282.697876</v>
      </c>
      <c r="J1524">
        <v>1260.8544922000001</v>
      </c>
      <c r="K1524">
        <v>2750</v>
      </c>
      <c r="L1524">
        <v>0</v>
      </c>
      <c r="M1524">
        <v>0</v>
      </c>
      <c r="N1524">
        <v>2750</v>
      </c>
    </row>
    <row r="1525" spans="1:14" x14ac:dyDescent="0.25">
      <c r="A1525">
        <v>1097.051285</v>
      </c>
      <c r="B1525" s="1">
        <f>DATE(2013,5,2) + TIME(1,13,51)</f>
        <v>41396.05128472222</v>
      </c>
      <c r="C1525">
        <v>80</v>
      </c>
      <c r="D1525">
        <v>76.701995850000003</v>
      </c>
      <c r="E1525">
        <v>50</v>
      </c>
      <c r="F1525">
        <v>49.855991363999998</v>
      </c>
      <c r="G1525">
        <v>1398.4908447</v>
      </c>
      <c r="H1525">
        <v>1380.6403809000001</v>
      </c>
      <c r="I1525">
        <v>1282.6968993999999</v>
      </c>
      <c r="J1525">
        <v>1260.8530272999999</v>
      </c>
      <c r="K1525">
        <v>2750</v>
      </c>
      <c r="L1525">
        <v>0</v>
      </c>
      <c r="M1525">
        <v>0</v>
      </c>
      <c r="N1525">
        <v>2750</v>
      </c>
    </row>
    <row r="1526" spans="1:14" x14ac:dyDescent="0.25">
      <c r="A1526">
        <v>1097.11202</v>
      </c>
      <c r="B1526" s="1">
        <f>DATE(2013,5,2) + TIME(2,41,18)</f>
        <v>41396.112013888887</v>
      </c>
      <c r="C1526">
        <v>80</v>
      </c>
      <c r="D1526">
        <v>77.000350952000005</v>
      </c>
      <c r="E1526">
        <v>50</v>
      </c>
      <c r="F1526">
        <v>49.850578308000003</v>
      </c>
      <c r="G1526">
        <v>1398.3474120999999</v>
      </c>
      <c r="H1526">
        <v>1380.5648193</v>
      </c>
      <c r="I1526">
        <v>1282.6958007999999</v>
      </c>
      <c r="J1526">
        <v>1260.8514404</v>
      </c>
      <c r="K1526">
        <v>2750</v>
      </c>
      <c r="L1526">
        <v>0</v>
      </c>
      <c r="M1526">
        <v>0</v>
      </c>
      <c r="N1526">
        <v>2750</v>
      </c>
    </row>
    <row r="1527" spans="1:14" x14ac:dyDescent="0.25">
      <c r="A1527">
        <v>1097.1765029999999</v>
      </c>
      <c r="B1527" s="1">
        <f>DATE(2013,5,2) + TIME(4,14,9)</f>
        <v>41396.176493055558</v>
      </c>
      <c r="C1527">
        <v>80</v>
      </c>
      <c r="D1527">
        <v>77.286399841000005</v>
      </c>
      <c r="E1527">
        <v>50</v>
      </c>
      <c r="F1527">
        <v>49.844894408999998</v>
      </c>
      <c r="G1527">
        <v>1398.2056885</v>
      </c>
      <c r="H1527">
        <v>1380.4887695</v>
      </c>
      <c r="I1527">
        <v>1282.6947021000001</v>
      </c>
      <c r="J1527">
        <v>1260.8497314000001</v>
      </c>
      <c r="K1527">
        <v>2750</v>
      </c>
      <c r="L1527">
        <v>0</v>
      </c>
      <c r="M1527">
        <v>0</v>
      </c>
      <c r="N1527">
        <v>2750</v>
      </c>
    </row>
    <row r="1528" spans="1:14" x14ac:dyDescent="0.25">
      <c r="A1528">
        <v>1097.2452129999999</v>
      </c>
      <c r="B1528" s="1">
        <f>DATE(2013,5,2) + TIME(5,53,6)</f>
        <v>41396.245208333334</v>
      </c>
      <c r="C1528">
        <v>80</v>
      </c>
      <c r="D1528">
        <v>77.559890746999997</v>
      </c>
      <c r="E1528">
        <v>50</v>
      </c>
      <c r="F1528">
        <v>49.838912964000002</v>
      </c>
      <c r="G1528">
        <v>1398.0654297000001</v>
      </c>
      <c r="H1528">
        <v>1380.4117432</v>
      </c>
      <c r="I1528">
        <v>1282.6936035000001</v>
      </c>
      <c r="J1528">
        <v>1260.8480225000001</v>
      </c>
      <c r="K1528">
        <v>2750</v>
      </c>
      <c r="L1528">
        <v>0</v>
      </c>
      <c r="M1528">
        <v>0</v>
      </c>
      <c r="N1528">
        <v>2750</v>
      </c>
    </row>
    <row r="1529" spans="1:14" x14ac:dyDescent="0.25">
      <c r="A1529">
        <v>1097.3187559999999</v>
      </c>
      <c r="B1529" s="1">
        <f>DATE(2013,5,2) + TIME(7,39,0)</f>
        <v>41396.318749999999</v>
      </c>
      <c r="C1529">
        <v>80</v>
      </c>
      <c r="D1529">
        <v>77.820655822999996</v>
      </c>
      <c r="E1529">
        <v>50</v>
      </c>
      <c r="F1529">
        <v>49.832592009999999</v>
      </c>
      <c r="G1529">
        <v>1397.9263916</v>
      </c>
      <c r="H1529">
        <v>1380.3337402</v>
      </c>
      <c r="I1529">
        <v>1282.6922606999999</v>
      </c>
      <c r="J1529">
        <v>1260.8461914</v>
      </c>
      <c r="K1529">
        <v>2750</v>
      </c>
      <c r="L1529">
        <v>0</v>
      </c>
      <c r="M1529">
        <v>0</v>
      </c>
      <c r="N1529">
        <v>2750</v>
      </c>
    </row>
    <row r="1530" spans="1:14" x14ac:dyDescent="0.25">
      <c r="A1530">
        <v>1097.3978520000001</v>
      </c>
      <c r="B1530" s="1">
        <f>DATE(2013,5,2) + TIME(9,32,54)</f>
        <v>41396.397847222222</v>
      </c>
      <c r="C1530">
        <v>80</v>
      </c>
      <c r="D1530">
        <v>78.068458557</v>
      </c>
      <c r="E1530">
        <v>50</v>
      </c>
      <c r="F1530">
        <v>49.825874329000001</v>
      </c>
      <c r="G1530">
        <v>1397.7882079999999</v>
      </c>
      <c r="H1530">
        <v>1380.2542725000001</v>
      </c>
      <c r="I1530">
        <v>1282.690918</v>
      </c>
      <c r="J1530">
        <v>1260.8441161999999</v>
      </c>
      <c r="K1530">
        <v>2750</v>
      </c>
      <c r="L1530">
        <v>0</v>
      </c>
      <c r="M1530">
        <v>0</v>
      </c>
      <c r="N1530">
        <v>2750</v>
      </c>
    </row>
    <row r="1531" spans="1:14" x14ac:dyDescent="0.25">
      <c r="A1531">
        <v>1097.4833940000001</v>
      </c>
      <c r="B1531" s="1">
        <f>DATE(2013,5,2) + TIME(11,36,5)</f>
        <v>41396.483391203707</v>
      </c>
      <c r="C1531">
        <v>80</v>
      </c>
      <c r="D1531">
        <v>78.303024292000003</v>
      </c>
      <c r="E1531">
        <v>50</v>
      </c>
      <c r="F1531">
        <v>49.818710326999998</v>
      </c>
      <c r="G1531">
        <v>1397.6503906</v>
      </c>
      <c r="H1531">
        <v>1380.1730957</v>
      </c>
      <c r="I1531">
        <v>1282.6894531</v>
      </c>
      <c r="J1531">
        <v>1260.8420410000001</v>
      </c>
      <c r="K1531">
        <v>2750</v>
      </c>
      <c r="L1531">
        <v>0</v>
      </c>
      <c r="M1531">
        <v>0</v>
      </c>
      <c r="N1531">
        <v>2750</v>
      </c>
    </row>
    <row r="1532" spans="1:14" x14ac:dyDescent="0.25">
      <c r="A1532">
        <v>1097.5764979999999</v>
      </c>
      <c r="B1532" s="1">
        <f>DATE(2013,5,2) + TIME(13,50,9)</f>
        <v>41396.576493055552</v>
      </c>
      <c r="C1532">
        <v>80</v>
      </c>
      <c r="D1532">
        <v>78.524040221999996</v>
      </c>
      <c r="E1532">
        <v>50</v>
      </c>
      <c r="F1532">
        <v>49.811023712000001</v>
      </c>
      <c r="G1532">
        <v>1397.5124512</v>
      </c>
      <c r="H1532">
        <v>1380.0897216999999</v>
      </c>
      <c r="I1532">
        <v>1282.6878661999999</v>
      </c>
      <c r="J1532">
        <v>1260.8397216999999</v>
      </c>
      <c r="K1532">
        <v>2750</v>
      </c>
      <c r="L1532">
        <v>0</v>
      </c>
      <c r="M1532">
        <v>0</v>
      </c>
      <c r="N1532">
        <v>2750</v>
      </c>
    </row>
    <row r="1533" spans="1:14" x14ac:dyDescent="0.25">
      <c r="A1533">
        <v>1097.6746499999999</v>
      </c>
      <c r="B1533" s="1">
        <f>DATE(2013,5,2) + TIME(16,11,29)</f>
        <v>41396.674641203703</v>
      </c>
      <c r="C1533">
        <v>80</v>
      </c>
      <c r="D1533">
        <v>78.724319457999997</v>
      </c>
      <c r="E1533">
        <v>50</v>
      </c>
      <c r="F1533">
        <v>49.802997589</v>
      </c>
      <c r="G1533">
        <v>1397.3780518000001</v>
      </c>
      <c r="H1533">
        <v>1380.0058594</v>
      </c>
      <c r="I1533">
        <v>1282.6860352000001</v>
      </c>
      <c r="J1533">
        <v>1260.8371582</v>
      </c>
      <c r="K1533">
        <v>2750</v>
      </c>
      <c r="L1533">
        <v>0</v>
      </c>
      <c r="M1533">
        <v>0</v>
      </c>
      <c r="N1533">
        <v>2750</v>
      </c>
    </row>
    <row r="1534" spans="1:14" x14ac:dyDescent="0.25">
      <c r="A1534">
        <v>1097.7728480000001</v>
      </c>
      <c r="B1534" s="1">
        <f>DATE(2013,5,2) + TIME(18,32,54)</f>
        <v>41396.772847222222</v>
      </c>
      <c r="C1534">
        <v>80</v>
      </c>
      <c r="D1534">
        <v>78.896553040000001</v>
      </c>
      <c r="E1534">
        <v>50</v>
      </c>
      <c r="F1534">
        <v>49.794998169000003</v>
      </c>
      <c r="G1534">
        <v>1397.2520752</v>
      </c>
      <c r="H1534">
        <v>1379.9245605000001</v>
      </c>
      <c r="I1534">
        <v>1282.684082</v>
      </c>
      <c r="J1534">
        <v>1260.8345947</v>
      </c>
      <c r="K1534">
        <v>2750</v>
      </c>
      <c r="L1534">
        <v>0</v>
      </c>
      <c r="M1534">
        <v>0</v>
      </c>
      <c r="N1534">
        <v>2750</v>
      </c>
    </row>
    <row r="1535" spans="1:14" x14ac:dyDescent="0.25">
      <c r="A1535">
        <v>1097.8715979999999</v>
      </c>
      <c r="B1535" s="1">
        <f>DATE(2013,5,2) + TIME(20,55,6)</f>
        <v>41396.87159722222</v>
      </c>
      <c r="C1535">
        <v>80</v>
      </c>
      <c r="D1535">
        <v>79.045326232999997</v>
      </c>
      <c r="E1535">
        <v>50</v>
      </c>
      <c r="F1535">
        <v>49.786987304999997</v>
      </c>
      <c r="G1535">
        <v>1397.1341553</v>
      </c>
      <c r="H1535">
        <v>1379.8468018000001</v>
      </c>
      <c r="I1535">
        <v>1282.6821289</v>
      </c>
      <c r="J1535">
        <v>1260.8319091999999</v>
      </c>
      <c r="K1535">
        <v>2750</v>
      </c>
      <c r="L1535">
        <v>0</v>
      </c>
      <c r="M1535">
        <v>0</v>
      </c>
      <c r="N1535">
        <v>2750</v>
      </c>
    </row>
    <row r="1536" spans="1:14" x14ac:dyDescent="0.25">
      <c r="A1536">
        <v>1097.9711609999999</v>
      </c>
      <c r="B1536" s="1">
        <f>DATE(2013,5,2) + TIME(23,18,28)</f>
        <v>41396.97115740741</v>
      </c>
      <c r="C1536">
        <v>80</v>
      </c>
      <c r="D1536">
        <v>79.174034118999998</v>
      </c>
      <c r="E1536">
        <v>50</v>
      </c>
      <c r="F1536">
        <v>49.778945923000002</v>
      </c>
      <c r="G1536">
        <v>1397.0231934000001</v>
      </c>
      <c r="H1536">
        <v>1379.7720947</v>
      </c>
      <c r="I1536">
        <v>1282.6801757999999</v>
      </c>
      <c r="J1536">
        <v>1260.8292236</v>
      </c>
      <c r="K1536">
        <v>2750</v>
      </c>
      <c r="L1536">
        <v>0</v>
      </c>
      <c r="M1536">
        <v>0</v>
      </c>
      <c r="N1536">
        <v>2750</v>
      </c>
    </row>
    <row r="1537" spans="1:14" x14ac:dyDescent="0.25">
      <c r="A1537">
        <v>1098.0717979999999</v>
      </c>
      <c r="B1537" s="1">
        <f>DATE(2013,5,3) + TIME(1,43,23)</f>
        <v>41397.071793981479</v>
      </c>
      <c r="C1537">
        <v>80</v>
      </c>
      <c r="D1537">
        <v>79.285514832000004</v>
      </c>
      <c r="E1537">
        <v>50</v>
      </c>
      <c r="F1537">
        <v>49.77085495</v>
      </c>
      <c r="G1537">
        <v>1396.9180908000001</v>
      </c>
      <c r="H1537">
        <v>1379.6998291</v>
      </c>
      <c r="I1537">
        <v>1282.6782227000001</v>
      </c>
      <c r="J1537">
        <v>1260.8265381000001</v>
      </c>
      <c r="K1537">
        <v>2750</v>
      </c>
      <c r="L1537">
        <v>0</v>
      </c>
      <c r="M1537">
        <v>0</v>
      </c>
      <c r="N1537">
        <v>2750</v>
      </c>
    </row>
    <row r="1538" spans="1:14" x14ac:dyDescent="0.25">
      <c r="A1538">
        <v>1098.1737599999999</v>
      </c>
      <c r="B1538" s="1">
        <f>DATE(2013,5,3) + TIME(4,10,12)</f>
        <v>41397.173750000002</v>
      </c>
      <c r="C1538">
        <v>80</v>
      </c>
      <c r="D1538">
        <v>79.382118224999999</v>
      </c>
      <c r="E1538">
        <v>50</v>
      </c>
      <c r="F1538">
        <v>49.762695311999998</v>
      </c>
      <c r="G1538">
        <v>1396.8181152</v>
      </c>
      <c r="H1538">
        <v>1379.6298827999999</v>
      </c>
      <c r="I1538">
        <v>1282.6761475000001</v>
      </c>
      <c r="J1538">
        <v>1260.8238524999999</v>
      </c>
      <c r="K1538">
        <v>2750</v>
      </c>
      <c r="L1538">
        <v>0</v>
      </c>
      <c r="M1538">
        <v>0</v>
      </c>
      <c r="N1538">
        <v>2750</v>
      </c>
    </row>
    <row r="1539" spans="1:14" x14ac:dyDescent="0.25">
      <c r="A1539">
        <v>1098.2773380000001</v>
      </c>
      <c r="B1539" s="1">
        <f>DATE(2013,5,3) + TIME(6,39,21)</f>
        <v>41397.277326388888</v>
      </c>
      <c r="C1539">
        <v>80</v>
      </c>
      <c r="D1539">
        <v>79.465888977000006</v>
      </c>
      <c r="E1539">
        <v>50</v>
      </c>
      <c r="F1539">
        <v>49.754451752000001</v>
      </c>
      <c r="G1539">
        <v>1396.7225341999999</v>
      </c>
      <c r="H1539">
        <v>1379.5620117000001</v>
      </c>
      <c r="I1539">
        <v>1282.6740723</v>
      </c>
      <c r="J1539">
        <v>1260.8211670000001</v>
      </c>
      <c r="K1539">
        <v>2750</v>
      </c>
      <c r="L1539">
        <v>0</v>
      </c>
      <c r="M1539">
        <v>0</v>
      </c>
      <c r="N1539">
        <v>2750</v>
      </c>
    </row>
    <row r="1540" spans="1:14" x14ac:dyDescent="0.25">
      <c r="A1540">
        <v>1098.382752</v>
      </c>
      <c r="B1540" s="1">
        <f>DATE(2013,5,3) + TIME(9,11,9)</f>
        <v>41397.382743055554</v>
      </c>
      <c r="C1540">
        <v>80</v>
      </c>
      <c r="D1540">
        <v>79.538482665999993</v>
      </c>
      <c r="E1540">
        <v>50</v>
      </c>
      <c r="F1540">
        <v>49.746101379000002</v>
      </c>
      <c r="G1540">
        <v>1396.6308594</v>
      </c>
      <c r="H1540">
        <v>1379.4957274999999</v>
      </c>
      <c r="I1540">
        <v>1282.6719971</v>
      </c>
      <c r="J1540">
        <v>1260.8183594</v>
      </c>
      <c r="K1540">
        <v>2750</v>
      </c>
      <c r="L1540">
        <v>0</v>
      </c>
      <c r="M1540">
        <v>0</v>
      </c>
      <c r="N1540">
        <v>2750</v>
      </c>
    </row>
    <row r="1541" spans="1:14" x14ac:dyDescent="0.25">
      <c r="A1541">
        <v>1098.4902589999999</v>
      </c>
      <c r="B1541" s="1">
        <f>DATE(2013,5,3) + TIME(11,45,58)</f>
        <v>41397.490254629629</v>
      </c>
      <c r="C1541">
        <v>80</v>
      </c>
      <c r="D1541">
        <v>79.601356506000002</v>
      </c>
      <c r="E1541">
        <v>50</v>
      </c>
      <c r="F1541">
        <v>49.737628936999997</v>
      </c>
      <c r="G1541">
        <v>1396.5424805</v>
      </c>
      <c r="H1541">
        <v>1379.4309082</v>
      </c>
      <c r="I1541">
        <v>1282.6699219</v>
      </c>
      <c r="J1541">
        <v>1260.8154297000001</v>
      </c>
      <c r="K1541">
        <v>2750</v>
      </c>
      <c r="L1541">
        <v>0</v>
      </c>
      <c r="M1541">
        <v>0</v>
      </c>
      <c r="N1541">
        <v>2750</v>
      </c>
    </row>
    <row r="1542" spans="1:14" x14ac:dyDescent="0.25">
      <c r="A1542">
        <v>1098.6001329999999</v>
      </c>
      <c r="B1542" s="1">
        <f>DATE(2013,5,3) + TIME(14,24,11)</f>
        <v>41397.600127314814</v>
      </c>
      <c r="C1542">
        <v>80</v>
      </c>
      <c r="D1542">
        <v>79.655754088999998</v>
      </c>
      <c r="E1542">
        <v>50</v>
      </c>
      <c r="F1542">
        <v>49.729019164999997</v>
      </c>
      <c r="G1542">
        <v>1396.4570312000001</v>
      </c>
      <c r="H1542">
        <v>1379.3674315999999</v>
      </c>
      <c r="I1542">
        <v>1282.6677245999999</v>
      </c>
      <c r="J1542">
        <v>1260.8125</v>
      </c>
      <c r="K1542">
        <v>2750</v>
      </c>
      <c r="L1542">
        <v>0</v>
      </c>
      <c r="M1542">
        <v>0</v>
      </c>
      <c r="N1542">
        <v>2750</v>
      </c>
    </row>
    <row r="1543" spans="1:14" x14ac:dyDescent="0.25">
      <c r="A1543">
        <v>1098.712661</v>
      </c>
      <c r="B1543" s="1">
        <f>DATE(2013,5,3) + TIME(17,6,13)</f>
        <v>41397.712650462963</v>
      </c>
      <c r="C1543">
        <v>80</v>
      </c>
      <c r="D1543">
        <v>79.702758789000001</v>
      </c>
      <c r="E1543">
        <v>50</v>
      </c>
      <c r="F1543">
        <v>49.720249176000003</v>
      </c>
      <c r="G1543">
        <v>1396.3740233999999</v>
      </c>
      <c r="H1543">
        <v>1379.3049315999999</v>
      </c>
      <c r="I1543">
        <v>1282.6655272999999</v>
      </c>
      <c r="J1543">
        <v>1260.8095702999999</v>
      </c>
      <c r="K1543">
        <v>2750</v>
      </c>
      <c r="L1543">
        <v>0</v>
      </c>
      <c r="M1543">
        <v>0</v>
      </c>
      <c r="N1543">
        <v>2750</v>
      </c>
    </row>
    <row r="1544" spans="1:14" x14ac:dyDescent="0.25">
      <c r="A1544">
        <v>1098.8281549999999</v>
      </c>
      <c r="B1544" s="1">
        <f>DATE(2013,5,3) + TIME(19,52,32)</f>
        <v>41397.828148148146</v>
      </c>
      <c r="C1544">
        <v>80</v>
      </c>
      <c r="D1544">
        <v>79.743316649999997</v>
      </c>
      <c r="E1544">
        <v>50</v>
      </c>
      <c r="F1544">
        <v>49.711299896</v>
      </c>
      <c r="G1544">
        <v>1396.2930908000001</v>
      </c>
      <c r="H1544">
        <v>1379.2434082</v>
      </c>
      <c r="I1544">
        <v>1282.6632079999999</v>
      </c>
      <c r="J1544">
        <v>1260.8065185999999</v>
      </c>
      <c r="K1544">
        <v>2750</v>
      </c>
      <c r="L1544">
        <v>0</v>
      </c>
      <c r="M1544">
        <v>0</v>
      </c>
      <c r="N1544">
        <v>2750</v>
      </c>
    </row>
    <row r="1545" spans="1:14" x14ac:dyDescent="0.25">
      <c r="A1545">
        <v>1098.946948</v>
      </c>
      <c r="B1545" s="1">
        <f>DATE(2013,5,3) + TIME(22,43,36)</f>
        <v>41397.946944444448</v>
      </c>
      <c r="C1545">
        <v>80</v>
      </c>
      <c r="D1545">
        <v>79.778228760000005</v>
      </c>
      <c r="E1545">
        <v>50</v>
      </c>
      <c r="F1545">
        <v>49.702144623000002</v>
      </c>
      <c r="G1545">
        <v>1396.2139893000001</v>
      </c>
      <c r="H1545">
        <v>1379.1826172000001</v>
      </c>
      <c r="I1545">
        <v>1282.6608887</v>
      </c>
      <c r="J1545">
        <v>1260.8033447</v>
      </c>
      <c r="K1545">
        <v>2750</v>
      </c>
      <c r="L1545">
        <v>0</v>
      </c>
      <c r="M1545">
        <v>0</v>
      </c>
      <c r="N1545">
        <v>2750</v>
      </c>
    </row>
    <row r="1546" spans="1:14" x14ac:dyDescent="0.25">
      <c r="A1546">
        <v>1099.0694080000001</v>
      </c>
      <c r="B1546" s="1">
        <f>DATE(2013,5,4) + TIME(1,39,56)</f>
        <v>41398.069398148145</v>
      </c>
      <c r="C1546">
        <v>80</v>
      </c>
      <c r="D1546">
        <v>79.808219910000005</v>
      </c>
      <c r="E1546">
        <v>50</v>
      </c>
      <c r="F1546">
        <v>49.692760468000003</v>
      </c>
      <c r="G1546">
        <v>1396.1363524999999</v>
      </c>
      <c r="H1546">
        <v>1379.1223144999999</v>
      </c>
      <c r="I1546">
        <v>1282.6584473</v>
      </c>
      <c r="J1546">
        <v>1260.8000488</v>
      </c>
      <c r="K1546">
        <v>2750</v>
      </c>
      <c r="L1546">
        <v>0</v>
      </c>
      <c r="M1546">
        <v>0</v>
      </c>
      <c r="N1546">
        <v>2750</v>
      </c>
    </row>
    <row r="1547" spans="1:14" x14ac:dyDescent="0.25">
      <c r="A1547">
        <v>1099.195939</v>
      </c>
      <c r="B1547" s="1">
        <f>DATE(2013,5,4) + TIME(4,42,9)</f>
        <v>41398.195937500001</v>
      </c>
      <c r="C1547">
        <v>80</v>
      </c>
      <c r="D1547">
        <v>79.833908081000004</v>
      </c>
      <c r="E1547">
        <v>50</v>
      </c>
      <c r="F1547">
        <v>49.683124542000002</v>
      </c>
      <c r="G1547">
        <v>1396.0599365</v>
      </c>
      <c r="H1547">
        <v>1379.0625</v>
      </c>
      <c r="I1547">
        <v>1282.6560059000001</v>
      </c>
      <c r="J1547">
        <v>1260.7967529</v>
      </c>
      <c r="K1547">
        <v>2750</v>
      </c>
      <c r="L1547">
        <v>0</v>
      </c>
      <c r="M1547">
        <v>0</v>
      </c>
      <c r="N1547">
        <v>2750</v>
      </c>
    </row>
    <row r="1548" spans="1:14" x14ac:dyDescent="0.25">
      <c r="A1548">
        <v>1099.3269909999999</v>
      </c>
      <c r="B1548" s="1">
        <f>DATE(2013,5,4) + TIME(7,50,52)</f>
        <v>41398.326990740738</v>
      </c>
      <c r="C1548">
        <v>80</v>
      </c>
      <c r="D1548">
        <v>79.855834960999999</v>
      </c>
      <c r="E1548">
        <v>50</v>
      </c>
      <c r="F1548">
        <v>49.673202515</v>
      </c>
      <c r="G1548">
        <v>1395.984375</v>
      </c>
      <c r="H1548">
        <v>1379.0029297000001</v>
      </c>
      <c r="I1548">
        <v>1282.6534423999999</v>
      </c>
      <c r="J1548">
        <v>1260.7933350000001</v>
      </c>
      <c r="K1548">
        <v>2750</v>
      </c>
      <c r="L1548">
        <v>0</v>
      </c>
      <c r="M1548">
        <v>0</v>
      </c>
      <c r="N1548">
        <v>2750</v>
      </c>
    </row>
    <row r="1549" spans="1:14" x14ac:dyDescent="0.25">
      <c r="A1549">
        <v>1099.463127</v>
      </c>
      <c r="B1549" s="1">
        <f>DATE(2013,5,4) + TIME(11,6,54)</f>
        <v>41398.463125000002</v>
      </c>
      <c r="C1549">
        <v>80</v>
      </c>
      <c r="D1549">
        <v>79.874504088999998</v>
      </c>
      <c r="E1549">
        <v>50</v>
      </c>
      <c r="F1549">
        <v>49.662963867000002</v>
      </c>
      <c r="G1549">
        <v>1395.9094238</v>
      </c>
      <c r="H1549">
        <v>1378.9433594</v>
      </c>
      <c r="I1549">
        <v>1282.6507568</v>
      </c>
      <c r="J1549">
        <v>1260.7896728999999</v>
      </c>
      <c r="K1549">
        <v>2750</v>
      </c>
      <c r="L1549">
        <v>0</v>
      </c>
      <c r="M1549">
        <v>0</v>
      </c>
      <c r="N1549">
        <v>2750</v>
      </c>
    </row>
    <row r="1550" spans="1:14" x14ac:dyDescent="0.25">
      <c r="A1550">
        <v>1099.6049069999999</v>
      </c>
      <c r="B1550" s="1">
        <f>DATE(2013,5,4) + TIME(14,31,3)</f>
        <v>41398.604895833334</v>
      </c>
      <c r="C1550">
        <v>80</v>
      </c>
      <c r="D1550">
        <v>79.890327454000001</v>
      </c>
      <c r="E1550">
        <v>50</v>
      </c>
      <c r="F1550">
        <v>49.652366637999997</v>
      </c>
      <c r="G1550">
        <v>1395.8347168</v>
      </c>
      <c r="H1550">
        <v>1378.8837891000001</v>
      </c>
      <c r="I1550">
        <v>1282.6479492000001</v>
      </c>
      <c r="J1550">
        <v>1260.7858887</v>
      </c>
      <c r="K1550">
        <v>2750</v>
      </c>
      <c r="L1550">
        <v>0</v>
      </c>
      <c r="M1550">
        <v>0</v>
      </c>
      <c r="N1550">
        <v>2750</v>
      </c>
    </row>
    <row r="1551" spans="1:14" x14ac:dyDescent="0.25">
      <c r="A1551">
        <v>1099.7529529999999</v>
      </c>
      <c r="B1551" s="1">
        <f>DATE(2013,5,4) + TIME(18,4,15)</f>
        <v>41398.752951388888</v>
      </c>
      <c r="C1551">
        <v>80</v>
      </c>
      <c r="D1551">
        <v>79.903678893999995</v>
      </c>
      <c r="E1551">
        <v>50</v>
      </c>
      <c r="F1551">
        <v>49.641376495000003</v>
      </c>
      <c r="G1551">
        <v>1395.7601318</v>
      </c>
      <c r="H1551">
        <v>1378.8239745999999</v>
      </c>
      <c r="I1551">
        <v>1282.6450195</v>
      </c>
      <c r="J1551">
        <v>1260.7819824000001</v>
      </c>
      <c r="K1551">
        <v>2750</v>
      </c>
      <c r="L1551">
        <v>0</v>
      </c>
      <c r="M1551">
        <v>0</v>
      </c>
      <c r="N1551">
        <v>2750</v>
      </c>
    </row>
    <row r="1552" spans="1:14" x14ac:dyDescent="0.25">
      <c r="A1552">
        <v>1099.9071939999999</v>
      </c>
      <c r="B1552" s="1">
        <f>DATE(2013,5,4) + TIME(21,46,21)</f>
        <v>41398.907187500001</v>
      </c>
      <c r="C1552">
        <v>80</v>
      </c>
      <c r="D1552">
        <v>79.914840698000006</v>
      </c>
      <c r="E1552">
        <v>50</v>
      </c>
      <c r="F1552">
        <v>49.629997252999999</v>
      </c>
      <c r="G1552">
        <v>1395.6855469</v>
      </c>
      <c r="H1552">
        <v>1378.7636719</v>
      </c>
      <c r="I1552">
        <v>1282.6419678</v>
      </c>
      <c r="J1552">
        <v>1260.7779541</v>
      </c>
      <c r="K1552">
        <v>2750</v>
      </c>
      <c r="L1552">
        <v>0</v>
      </c>
      <c r="M1552">
        <v>0</v>
      </c>
      <c r="N1552">
        <v>2750</v>
      </c>
    </row>
    <row r="1553" spans="1:14" x14ac:dyDescent="0.25">
      <c r="A1553">
        <v>1100.067053</v>
      </c>
      <c r="B1553" s="1">
        <f>DATE(2013,5,5) + TIME(1,36,33)</f>
        <v>41399.067048611112</v>
      </c>
      <c r="C1553">
        <v>80</v>
      </c>
      <c r="D1553">
        <v>79.924064635999997</v>
      </c>
      <c r="E1553">
        <v>50</v>
      </c>
      <c r="F1553">
        <v>49.618255615000002</v>
      </c>
      <c r="G1553">
        <v>1395.6108397999999</v>
      </c>
      <c r="H1553">
        <v>1378.7032471</v>
      </c>
      <c r="I1553">
        <v>1282.6386719</v>
      </c>
      <c r="J1553">
        <v>1260.7736815999999</v>
      </c>
      <c r="K1553">
        <v>2750</v>
      </c>
      <c r="L1553">
        <v>0</v>
      </c>
      <c r="M1553">
        <v>0</v>
      </c>
      <c r="N1553">
        <v>2750</v>
      </c>
    </row>
    <row r="1554" spans="1:14" x14ac:dyDescent="0.25">
      <c r="A1554">
        <v>1100.233195</v>
      </c>
      <c r="B1554" s="1">
        <f>DATE(2013,5,5) + TIME(5,35,48)</f>
        <v>41399.233194444445</v>
      </c>
      <c r="C1554">
        <v>80</v>
      </c>
      <c r="D1554">
        <v>79.931663513000004</v>
      </c>
      <c r="E1554">
        <v>50</v>
      </c>
      <c r="F1554">
        <v>49.606121063000003</v>
      </c>
      <c r="G1554">
        <v>1395.5363769999999</v>
      </c>
      <c r="H1554">
        <v>1378.6427002</v>
      </c>
      <c r="I1554">
        <v>1282.635376</v>
      </c>
      <c r="J1554">
        <v>1260.7692870999999</v>
      </c>
      <c r="K1554">
        <v>2750</v>
      </c>
      <c r="L1554">
        <v>0</v>
      </c>
      <c r="M1554">
        <v>0</v>
      </c>
      <c r="N1554">
        <v>2750</v>
      </c>
    </row>
    <row r="1555" spans="1:14" x14ac:dyDescent="0.25">
      <c r="A1555">
        <v>1100.4063630000001</v>
      </c>
      <c r="B1555" s="1">
        <f>DATE(2013,5,5) + TIME(9,45,9)</f>
        <v>41399.406354166669</v>
      </c>
      <c r="C1555">
        <v>80</v>
      </c>
      <c r="D1555">
        <v>79.937904357999997</v>
      </c>
      <c r="E1555">
        <v>50</v>
      </c>
      <c r="F1555">
        <v>49.593544006000002</v>
      </c>
      <c r="G1555">
        <v>1395.4617920000001</v>
      </c>
      <c r="H1555">
        <v>1378.5821533000001</v>
      </c>
      <c r="I1555">
        <v>1282.6319579999999</v>
      </c>
      <c r="J1555">
        <v>1260.7647704999999</v>
      </c>
      <c r="K1555">
        <v>2750</v>
      </c>
      <c r="L1555">
        <v>0</v>
      </c>
      <c r="M1555">
        <v>0</v>
      </c>
      <c r="N1555">
        <v>2750</v>
      </c>
    </row>
    <row r="1556" spans="1:14" x14ac:dyDescent="0.25">
      <c r="A1556">
        <v>1100.5872400000001</v>
      </c>
      <c r="B1556" s="1">
        <f>DATE(2013,5,5) + TIME(14,5,37)</f>
        <v>41399.587233796294</v>
      </c>
      <c r="C1556">
        <v>80</v>
      </c>
      <c r="D1556">
        <v>79.942985535000005</v>
      </c>
      <c r="E1556">
        <v>50</v>
      </c>
      <c r="F1556">
        <v>49.580486297999997</v>
      </c>
      <c r="G1556">
        <v>1395.3869629000001</v>
      </c>
      <c r="H1556">
        <v>1378.5211182</v>
      </c>
      <c r="I1556">
        <v>1282.6282959</v>
      </c>
      <c r="J1556">
        <v>1260.7598877</v>
      </c>
      <c r="K1556">
        <v>2750</v>
      </c>
      <c r="L1556">
        <v>0</v>
      </c>
      <c r="M1556">
        <v>0</v>
      </c>
      <c r="N1556">
        <v>2750</v>
      </c>
    </row>
    <row r="1557" spans="1:14" x14ac:dyDescent="0.25">
      <c r="A1557">
        <v>1100.7767120000001</v>
      </c>
      <c r="B1557" s="1">
        <f>DATE(2013,5,5) + TIME(18,38,27)</f>
        <v>41399.776701388888</v>
      </c>
      <c r="C1557">
        <v>80</v>
      </c>
      <c r="D1557">
        <v>79.947120666999993</v>
      </c>
      <c r="E1557">
        <v>50</v>
      </c>
      <c r="F1557">
        <v>49.566890717</v>
      </c>
      <c r="G1557">
        <v>1395.3116454999999</v>
      </c>
      <c r="H1557">
        <v>1378.4595947</v>
      </c>
      <c r="I1557">
        <v>1282.6245117000001</v>
      </c>
      <c r="J1557">
        <v>1260.7548827999999</v>
      </c>
      <c r="K1557">
        <v>2750</v>
      </c>
      <c r="L1557">
        <v>0</v>
      </c>
      <c r="M1557">
        <v>0</v>
      </c>
      <c r="N1557">
        <v>2750</v>
      </c>
    </row>
    <row r="1558" spans="1:14" x14ac:dyDescent="0.25">
      <c r="A1558">
        <v>1100.9758039999999</v>
      </c>
      <c r="B1558" s="1">
        <f>DATE(2013,5,5) + TIME(23,25,9)</f>
        <v>41399.975798611114</v>
      </c>
      <c r="C1558">
        <v>80</v>
      </c>
      <c r="D1558">
        <v>79.950454711999996</v>
      </c>
      <c r="E1558">
        <v>50</v>
      </c>
      <c r="F1558">
        <v>49.552703856999997</v>
      </c>
      <c r="G1558">
        <v>1395.2355957</v>
      </c>
      <c r="H1558">
        <v>1378.3973389</v>
      </c>
      <c r="I1558">
        <v>1282.6204834</v>
      </c>
      <c r="J1558">
        <v>1260.7497559000001</v>
      </c>
      <c r="K1558">
        <v>2750</v>
      </c>
      <c r="L1558">
        <v>0</v>
      </c>
      <c r="M1558">
        <v>0</v>
      </c>
      <c r="N1558">
        <v>2750</v>
      </c>
    </row>
    <row r="1559" spans="1:14" x14ac:dyDescent="0.25">
      <c r="A1559">
        <v>1101.177909</v>
      </c>
      <c r="B1559" s="1">
        <f>DATE(2013,5,6) + TIME(4,16,11)</f>
        <v>41400.177905092591</v>
      </c>
      <c r="C1559">
        <v>80</v>
      </c>
      <c r="D1559">
        <v>79.953056334999999</v>
      </c>
      <c r="E1559">
        <v>50</v>
      </c>
      <c r="F1559">
        <v>49.538284302000001</v>
      </c>
      <c r="G1559">
        <v>1395.1585693</v>
      </c>
      <c r="H1559">
        <v>1378.3343506000001</v>
      </c>
      <c r="I1559">
        <v>1282.6163329999999</v>
      </c>
      <c r="J1559">
        <v>1260.7442627</v>
      </c>
      <c r="K1559">
        <v>2750</v>
      </c>
      <c r="L1559">
        <v>0</v>
      </c>
      <c r="M1559">
        <v>0</v>
      </c>
      <c r="N1559">
        <v>2750</v>
      </c>
    </row>
    <row r="1560" spans="1:14" x14ac:dyDescent="0.25">
      <c r="A1560">
        <v>1101.3812700000001</v>
      </c>
      <c r="B1560" s="1">
        <f>DATE(2013,5,6) + TIME(9,9,1)</f>
        <v>41400.381261574075</v>
      </c>
      <c r="C1560">
        <v>80</v>
      </c>
      <c r="D1560">
        <v>79.955078125</v>
      </c>
      <c r="E1560">
        <v>50</v>
      </c>
      <c r="F1560">
        <v>49.523746490000001</v>
      </c>
      <c r="G1560">
        <v>1395.0830077999999</v>
      </c>
      <c r="H1560">
        <v>1378.2725829999999</v>
      </c>
      <c r="I1560">
        <v>1282.6119385</v>
      </c>
      <c r="J1560">
        <v>1260.7386475000001</v>
      </c>
      <c r="K1560">
        <v>2750</v>
      </c>
      <c r="L1560">
        <v>0</v>
      </c>
      <c r="M1560">
        <v>0</v>
      </c>
      <c r="N1560">
        <v>2750</v>
      </c>
    </row>
    <row r="1561" spans="1:14" x14ac:dyDescent="0.25">
      <c r="A1561">
        <v>1101.586468</v>
      </c>
      <c r="B1561" s="1">
        <f>DATE(2013,5,6) + TIME(14,4,30)</f>
        <v>41400.586458333331</v>
      </c>
      <c r="C1561">
        <v>80</v>
      </c>
      <c r="D1561">
        <v>79.956649780000006</v>
      </c>
      <c r="E1561">
        <v>50</v>
      </c>
      <c r="F1561">
        <v>49.509078979000002</v>
      </c>
      <c r="G1561">
        <v>1395.0096435999999</v>
      </c>
      <c r="H1561">
        <v>1378.2125243999999</v>
      </c>
      <c r="I1561">
        <v>1282.6076660000001</v>
      </c>
      <c r="J1561">
        <v>1260.7330322</v>
      </c>
      <c r="K1561">
        <v>2750</v>
      </c>
      <c r="L1561">
        <v>0</v>
      </c>
      <c r="M1561">
        <v>0</v>
      </c>
      <c r="N1561">
        <v>2750</v>
      </c>
    </row>
    <row r="1562" spans="1:14" x14ac:dyDescent="0.25">
      <c r="A1562">
        <v>1101.794089</v>
      </c>
      <c r="B1562" s="1">
        <f>DATE(2013,5,6) + TIME(19,3,29)</f>
        <v>41400.794085648151</v>
      </c>
      <c r="C1562">
        <v>80</v>
      </c>
      <c r="D1562">
        <v>79.957885742000002</v>
      </c>
      <c r="E1562">
        <v>50</v>
      </c>
      <c r="F1562">
        <v>49.494255066000001</v>
      </c>
      <c r="G1562">
        <v>1394.9378661999999</v>
      </c>
      <c r="H1562">
        <v>1378.1538086</v>
      </c>
      <c r="I1562">
        <v>1282.6032714999999</v>
      </c>
      <c r="J1562">
        <v>1260.7272949000001</v>
      </c>
      <c r="K1562">
        <v>2750</v>
      </c>
      <c r="L1562">
        <v>0</v>
      </c>
      <c r="M1562">
        <v>0</v>
      </c>
      <c r="N1562">
        <v>2750</v>
      </c>
    </row>
    <row r="1563" spans="1:14" x14ac:dyDescent="0.25">
      <c r="A1563">
        <v>1102.004717</v>
      </c>
      <c r="B1563" s="1">
        <f>DATE(2013,5,7) + TIME(0,6,47)</f>
        <v>41401.004710648151</v>
      </c>
      <c r="C1563">
        <v>80</v>
      </c>
      <c r="D1563">
        <v>79.958854674999998</v>
      </c>
      <c r="E1563">
        <v>50</v>
      </c>
      <c r="F1563">
        <v>49.479259491000001</v>
      </c>
      <c r="G1563">
        <v>1394.8674315999999</v>
      </c>
      <c r="H1563">
        <v>1378.0963135</v>
      </c>
      <c r="I1563">
        <v>1282.5987548999999</v>
      </c>
      <c r="J1563">
        <v>1260.7215576000001</v>
      </c>
      <c r="K1563">
        <v>2750</v>
      </c>
      <c r="L1563">
        <v>0</v>
      </c>
      <c r="M1563">
        <v>0</v>
      </c>
      <c r="N1563">
        <v>2750</v>
      </c>
    </row>
    <row r="1564" spans="1:14" x14ac:dyDescent="0.25">
      <c r="A1564">
        <v>1102.2189450000001</v>
      </c>
      <c r="B1564" s="1">
        <f>DATE(2013,5,7) + TIME(5,15,16)</f>
        <v>41401.218935185185</v>
      </c>
      <c r="C1564">
        <v>80</v>
      </c>
      <c r="D1564">
        <v>79.959617614999999</v>
      </c>
      <c r="E1564">
        <v>50</v>
      </c>
      <c r="F1564">
        <v>49.464057922000002</v>
      </c>
      <c r="G1564">
        <v>1394.7980957</v>
      </c>
      <c r="H1564">
        <v>1378.0396728999999</v>
      </c>
      <c r="I1564">
        <v>1282.5943603999999</v>
      </c>
      <c r="J1564">
        <v>1260.7156981999999</v>
      </c>
      <c r="K1564">
        <v>2750</v>
      </c>
      <c r="L1564">
        <v>0</v>
      </c>
      <c r="M1564">
        <v>0</v>
      </c>
      <c r="N1564">
        <v>2750</v>
      </c>
    </row>
    <row r="1565" spans="1:14" x14ac:dyDescent="0.25">
      <c r="A1565">
        <v>1102.4373860000001</v>
      </c>
      <c r="B1565" s="1">
        <f>DATE(2013,5,7) + TIME(10,29,50)</f>
        <v>41401.437384259261</v>
      </c>
      <c r="C1565">
        <v>80</v>
      </c>
      <c r="D1565">
        <v>79.960227966000005</v>
      </c>
      <c r="E1565">
        <v>50</v>
      </c>
      <c r="F1565">
        <v>49.448619843000003</v>
      </c>
      <c r="G1565">
        <v>1394.7297363</v>
      </c>
      <c r="H1565">
        <v>1377.9838867000001</v>
      </c>
      <c r="I1565">
        <v>1282.5897216999999</v>
      </c>
      <c r="J1565">
        <v>1260.7097168</v>
      </c>
      <c r="K1565">
        <v>2750</v>
      </c>
      <c r="L1565">
        <v>0</v>
      </c>
      <c r="M1565">
        <v>0</v>
      </c>
      <c r="N1565">
        <v>2750</v>
      </c>
    </row>
    <row r="1566" spans="1:14" x14ac:dyDescent="0.25">
      <c r="A1566">
        <v>1102.660689</v>
      </c>
      <c r="B1566" s="1">
        <f>DATE(2013,5,7) + TIME(15,51,23)</f>
        <v>41401.660682870373</v>
      </c>
      <c r="C1566">
        <v>80</v>
      </c>
      <c r="D1566">
        <v>79.960708617999998</v>
      </c>
      <c r="E1566">
        <v>50</v>
      </c>
      <c r="F1566">
        <v>49.432910919000001</v>
      </c>
      <c r="G1566">
        <v>1394.6618652</v>
      </c>
      <c r="H1566">
        <v>1377.9285889</v>
      </c>
      <c r="I1566">
        <v>1282.5850829999999</v>
      </c>
      <c r="J1566">
        <v>1260.7036132999999</v>
      </c>
      <c r="K1566">
        <v>2750</v>
      </c>
      <c r="L1566">
        <v>0</v>
      </c>
      <c r="M1566">
        <v>0</v>
      </c>
      <c r="N1566">
        <v>2750</v>
      </c>
    </row>
    <row r="1567" spans="1:14" x14ac:dyDescent="0.25">
      <c r="A1567">
        <v>1102.889547</v>
      </c>
      <c r="B1567" s="1">
        <f>DATE(2013,5,7) + TIME(21,20,56)</f>
        <v>41401.889537037037</v>
      </c>
      <c r="C1567">
        <v>80</v>
      </c>
      <c r="D1567">
        <v>79.961097717000001</v>
      </c>
      <c r="E1567">
        <v>50</v>
      </c>
      <c r="F1567">
        <v>49.416896819999998</v>
      </c>
      <c r="G1567">
        <v>1394.5944824000001</v>
      </c>
      <c r="H1567">
        <v>1377.8736572</v>
      </c>
      <c r="I1567">
        <v>1282.5803223</v>
      </c>
      <c r="J1567">
        <v>1260.6975098</v>
      </c>
      <c r="K1567">
        <v>2750</v>
      </c>
      <c r="L1567">
        <v>0</v>
      </c>
      <c r="M1567">
        <v>0</v>
      </c>
      <c r="N1567">
        <v>2750</v>
      </c>
    </row>
    <row r="1568" spans="1:14" x14ac:dyDescent="0.25">
      <c r="A1568">
        <v>1103.1247129999999</v>
      </c>
      <c r="B1568" s="1">
        <f>DATE(2013,5,8) + TIME(2,59,35)</f>
        <v>41402.124710648146</v>
      </c>
      <c r="C1568">
        <v>80</v>
      </c>
      <c r="D1568">
        <v>79.961410521999994</v>
      </c>
      <c r="E1568">
        <v>50</v>
      </c>
      <c r="F1568">
        <v>49.400531768999997</v>
      </c>
      <c r="G1568">
        <v>1394.5273437999999</v>
      </c>
      <c r="H1568">
        <v>1377.8190918</v>
      </c>
      <c r="I1568">
        <v>1282.5754394999999</v>
      </c>
      <c r="J1568">
        <v>1260.6910399999999</v>
      </c>
      <c r="K1568">
        <v>2750</v>
      </c>
      <c r="L1568">
        <v>0</v>
      </c>
      <c r="M1568">
        <v>0</v>
      </c>
      <c r="N1568">
        <v>2750</v>
      </c>
    </row>
    <row r="1569" spans="1:14" x14ac:dyDescent="0.25">
      <c r="A1569">
        <v>1103.3670979999999</v>
      </c>
      <c r="B1569" s="1">
        <f>DATE(2013,5,8) + TIME(8,48,37)</f>
        <v>41402.367094907408</v>
      </c>
      <c r="C1569">
        <v>80</v>
      </c>
      <c r="D1569">
        <v>79.961662292</v>
      </c>
      <c r="E1569">
        <v>50</v>
      </c>
      <c r="F1569">
        <v>49.383762359999999</v>
      </c>
      <c r="G1569">
        <v>1394.4602050999999</v>
      </c>
      <c r="H1569">
        <v>1377.7644043</v>
      </c>
      <c r="I1569">
        <v>1282.5704346</v>
      </c>
      <c r="J1569">
        <v>1260.6845702999999</v>
      </c>
      <c r="K1569">
        <v>2750</v>
      </c>
      <c r="L1569">
        <v>0</v>
      </c>
      <c r="M1569">
        <v>0</v>
      </c>
      <c r="N1569">
        <v>2750</v>
      </c>
    </row>
    <row r="1570" spans="1:14" x14ac:dyDescent="0.25">
      <c r="A1570">
        <v>1103.6166009999999</v>
      </c>
      <c r="B1570" s="1">
        <f>DATE(2013,5,8) + TIME(14,47,54)</f>
        <v>41402.616597222222</v>
      </c>
      <c r="C1570">
        <v>80</v>
      </c>
      <c r="D1570">
        <v>79.961868285999998</v>
      </c>
      <c r="E1570">
        <v>50</v>
      </c>
      <c r="F1570">
        <v>49.366592406999999</v>
      </c>
      <c r="G1570">
        <v>1394.3929443</v>
      </c>
      <c r="H1570">
        <v>1377.7097168</v>
      </c>
      <c r="I1570">
        <v>1282.5651855000001</v>
      </c>
      <c r="J1570">
        <v>1260.6777344</v>
      </c>
      <c r="K1570">
        <v>2750</v>
      </c>
      <c r="L1570">
        <v>0</v>
      </c>
      <c r="M1570">
        <v>0</v>
      </c>
      <c r="N1570">
        <v>2750</v>
      </c>
    </row>
    <row r="1571" spans="1:14" x14ac:dyDescent="0.25">
      <c r="A1571">
        <v>1103.8713210000001</v>
      </c>
      <c r="B1571" s="1">
        <f>DATE(2013,5,8) + TIME(20,54,42)</f>
        <v>41402.871319444443</v>
      </c>
      <c r="C1571">
        <v>80</v>
      </c>
      <c r="D1571">
        <v>79.962028502999999</v>
      </c>
      <c r="E1571">
        <v>50</v>
      </c>
      <c r="F1571">
        <v>49.349113463999998</v>
      </c>
      <c r="G1571">
        <v>1394.3254394999999</v>
      </c>
      <c r="H1571">
        <v>1377.6550293</v>
      </c>
      <c r="I1571">
        <v>1282.5598144999999</v>
      </c>
      <c r="J1571">
        <v>1260.6707764</v>
      </c>
      <c r="K1571">
        <v>2750</v>
      </c>
      <c r="L1571">
        <v>0</v>
      </c>
      <c r="M1571">
        <v>0</v>
      </c>
      <c r="N1571">
        <v>2750</v>
      </c>
    </row>
    <row r="1572" spans="1:14" x14ac:dyDescent="0.25">
      <c r="A1572">
        <v>1104.1319699999999</v>
      </c>
      <c r="B1572" s="1">
        <f>DATE(2013,5,9) + TIME(3,10,2)</f>
        <v>41403.131967592592</v>
      </c>
      <c r="C1572">
        <v>80</v>
      </c>
      <c r="D1572">
        <v>79.962165833</v>
      </c>
      <c r="E1572">
        <v>50</v>
      </c>
      <c r="F1572">
        <v>49.331295013000002</v>
      </c>
      <c r="G1572">
        <v>1394.2584228999999</v>
      </c>
      <c r="H1572">
        <v>1377.6005858999999</v>
      </c>
      <c r="I1572">
        <v>1282.5543213000001</v>
      </c>
      <c r="J1572">
        <v>1260.6636963000001</v>
      </c>
      <c r="K1572">
        <v>2750</v>
      </c>
      <c r="L1572">
        <v>0</v>
      </c>
      <c r="M1572">
        <v>0</v>
      </c>
      <c r="N1572">
        <v>2750</v>
      </c>
    </row>
    <row r="1573" spans="1:14" x14ac:dyDescent="0.25">
      <c r="A1573">
        <v>1104.3992639999999</v>
      </c>
      <c r="B1573" s="1">
        <f>DATE(2013,5,9) + TIME(9,34,56)</f>
        <v>41403.399259259262</v>
      </c>
      <c r="C1573">
        <v>80</v>
      </c>
      <c r="D1573">
        <v>79.962272643999995</v>
      </c>
      <c r="E1573">
        <v>50</v>
      </c>
      <c r="F1573">
        <v>49.313098906999997</v>
      </c>
      <c r="G1573">
        <v>1394.1915283000001</v>
      </c>
      <c r="H1573">
        <v>1377.5465088000001</v>
      </c>
      <c r="I1573">
        <v>1282.5487060999999</v>
      </c>
      <c r="J1573">
        <v>1260.6563721</v>
      </c>
      <c r="K1573">
        <v>2750</v>
      </c>
      <c r="L1573">
        <v>0</v>
      </c>
      <c r="M1573">
        <v>0</v>
      </c>
      <c r="N1573">
        <v>2750</v>
      </c>
    </row>
    <row r="1574" spans="1:14" x14ac:dyDescent="0.25">
      <c r="A1574">
        <v>1104.673992</v>
      </c>
      <c r="B1574" s="1">
        <f>DATE(2013,5,9) + TIME(16,10,32)</f>
        <v>41403.673981481479</v>
      </c>
      <c r="C1574">
        <v>80</v>
      </c>
      <c r="D1574">
        <v>79.962356567</v>
      </c>
      <c r="E1574">
        <v>50</v>
      </c>
      <c r="F1574">
        <v>49.294490814</v>
      </c>
      <c r="G1574">
        <v>1394.1247559000001</v>
      </c>
      <c r="H1574">
        <v>1377.4924315999999</v>
      </c>
      <c r="I1574">
        <v>1282.5429687999999</v>
      </c>
      <c r="J1574">
        <v>1260.6489257999999</v>
      </c>
      <c r="K1574">
        <v>2750</v>
      </c>
      <c r="L1574">
        <v>0</v>
      </c>
      <c r="M1574">
        <v>0</v>
      </c>
      <c r="N1574">
        <v>2750</v>
      </c>
    </row>
    <row r="1575" spans="1:14" x14ac:dyDescent="0.25">
      <c r="A1575">
        <v>1104.9570249999999</v>
      </c>
      <c r="B1575" s="1">
        <f>DATE(2013,5,9) + TIME(22,58,6)</f>
        <v>41403.957013888888</v>
      </c>
      <c r="C1575">
        <v>80</v>
      </c>
      <c r="D1575">
        <v>79.962425232000001</v>
      </c>
      <c r="E1575">
        <v>50</v>
      </c>
      <c r="F1575">
        <v>49.275424956999998</v>
      </c>
      <c r="G1575">
        <v>1394.0579834</v>
      </c>
      <c r="H1575">
        <v>1377.4383545000001</v>
      </c>
      <c r="I1575">
        <v>1282.5371094</v>
      </c>
      <c r="J1575">
        <v>1260.6412353999999</v>
      </c>
      <c r="K1575">
        <v>2750</v>
      </c>
      <c r="L1575">
        <v>0</v>
      </c>
      <c r="M1575">
        <v>0</v>
      </c>
      <c r="N1575">
        <v>2750</v>
      </c>
    </row>
    <row r="1576" spans="1:14" x14ac:dyDescent="0.25">
      <c r="A1576">
        <v>1105.249399</v>
      </c>
      <c r="B1576" s="1">
        <f>DATE(2013,5,10) + TIME(5,59,8)</f>
        <v>41404.249398148146</v>
      </c>
      <c r="C1576">
        <v>80</v>
      </c>
      <c r="D1576">
        <v>79.962478637999993</v>
      </c>
      <c r="E1576">
        <v>50</v>
      </c>
      <c r="F1576">
        <v>49.255844115999999</v>
      </c>
      <c r="G1576">
        <v>1393.9908447</v>
      </c>
      <c r="H1576">
        <v>1377.3840332</v>
      </c>
      <c r="I1576">
        <v>1282.5310059000001</v>
      </c>
      <c r="J1576">
        <v>1260.6333007999999</v>
      </c>
      <c r="K1576">
        <v>2750</v>
      </c>
      <c r="L1576">
        <v>0</v>
      </c>
      <c r="M1576">
        <v>0</v>
      </c>
      <c r="N1576">
        <v>2750</v>
      </c>
    </row>
    <row r="1577" spans="1:14" x14ac:dyDescent="0.25">
      <c r="A1577">
        <v>1105.552289</v>
      </c>
      <c r="B1577" s="1">
        <f>DATE(2013,5,10) + TIME(13,15,17)</f>
        <v>41404.55228009259</v>
      </c>
      <c r="C1577">
        <v>80</v>
      </c>
      <c r="D1577">
        <v>79.962524414000001</v>
      </c>
      <c r="E1577">
        <v>50</v>
      </c>
      <c r="F1577">
        <v>49.235683440999999</v>
      </c>
      <c r="G1577">
        <v>1393.9232178</v>
      </c>
      <c r="H1577">
        <v>1377.3294678</v>
      </c>
      <c r="I1577">
        <v>1282.5246582</v>
      </c>
      <c r="J1577">
        <v>1260.6251221</v>
      </c>
      <c r="K1577">
        <v>2750</v>
      </c>
      <c r="L1577">
        <v>0</v>
      </c>
      <c r="M1577">
        <v>0</v>
      </c>
      <c r="N1577">
        <v>2750</v>
      </c>
    </row>
    <row r="1578" spans="1:14" x14ac:dyDescent="0.25">
      <c r="A1578">
        <v>1105.866824</v>
      </c>
      <c r="B1578" s="1">
        <f>DATE(2013,5,10) + TIME(20,48,13)</f>
        <v>41404.86681712963</v>
      </c>
      <c r="C1578">
        <v>80</v>
      </c>
      <c r="D1578">
        <v>79.962554932000003</v>
      </c>
      <c r="E1578">
        <v>50</v>
      </c>
      <c r="F1578">
        <v>49.214885711999997</v>
      </c>
      <c r="G1578">
        <v>1393.8549805</v>
      </c>
      <c r="H1578">
        <v>1377.2744141000001</v>
      </c>
      <c r="I1578">
        <v>1282.5180664</v>
      </c>
      <c r="J1578">
        <v>1260.6165771000001</v>
      </c>
      <c r="K1578">
        <v>2750</v>
      </c>
      <c r="L1578">
        <v>0</v>
      </c>
      <c r="M1578">
        <v>0</v>
      </c>
      <c r="N1578">
        <v>2750</v>
      </c>
    </row>
    <row r="1579" spans="1:14" x14ac:dyDescent="0.25">
      <c r="A1579">
        <v>1106.1886850000001</v>
      </c>
      <c r="B1579" s="1">
        <f>DATE(2013,5,11) + TIME(4,31,42)</f>
        <v>41405.188680555555</v>
      </c>
      <c r="C1579">
        <v>80</v>
      </c>
      <c r="D1579">
        <v>79.962585449000002</v>
      </c>
      <c r="E1579">
        <v>50</v>
      </c>
      <c r="F1579">
        <v>49.193630218999999</v>
      </c>
      <c r="G1579">
        <v>1393.7858887</v>
      </c>
      <c r="H1579">
        <v>1377.21875</v>
      </c>
      <c r="I1579">
        <v>1282.5112305</v>
      </c>
      <c r="J1579">
        <v>1260.6077881000001</v>
      </c>
      <c r="K1579">
        <v>2750</v>
      </c>
      <c r="L1579">
        <v>0</v>
      </c>
      <c r="M1579">
        <v>0</v>
      </c>
      <c r="N1579">
        <v>2750</v>
      </c>
    </row>
    <row r="1580" spans="1:14" x14ac:dyDescent="0.25">
      <c r="A1580">
        <v>1106.5126359999999</v>
      </c>
      <c r="B1580" s="1">
        <f>DATE(2013,5,11) + TIME(12,18,11)</f>
        <v>41405.512627314813</v>
      </c>
      <c r="C1580">
        <v>80</v>
      </c>
      <c r="D1580">
        <v>79.962600707999997</v>
      </c>
      <c r="E1580">
        <v>50</v>
      </c>
      <c r="F1580">
        <v>49.172180175999998</v>
      </c>
      <c r="G1580">
        <v>1393.7170410000001</v>
      </c>
      <c r="H1580">
        <v>1377.1632079999999</v>
      </c>
      <c r="I1580">
        <v>1282.5042725000001</v>
      </c>
      <c r="J1580">
        <v>1260.5987548999999</v>
      </c>
      <c r="K1580">
        <v>2750</v>
      </c>
      <c r="L1580">
        <v>0</v>
      </c>
      <c r="M1580">
        <v>0</v>
      </c>
      <c r="N1580">
        <v>2750</v>
      </c>
    </row>
    <row r="1581" spans="1:14" x14ac:dyDescent="0.25">
      <c r="A1581">
        <v>1106.839594</v>
      </c>
      <c r="B1581" s="1">
        <f>DATE(2013,5,11) + TIME(20,9,0)</f>
        <v>41405.839583333334</v>
      </c>
      <c r="C1581">
        <v>80</v>
      </c>
      <c r="D1581">
        <v>79.962615967000005</v>
      </c>
      <c r="E1581">
        <v>50</v>
      </c>
      <c r="F1581">
        <v>49.150535583</v>
      </c>
      <c r="G1581">
        <v>1393.6494141000001</v>
      </c>
      <c r="H1581">
        <v>1377.1087646000001</v>
      </c>
      <c r="I1581">
        <v>1282.4971923999999</v>
      </c>
      <c r="J1581">
        <v>1260.5897216999999</v>
      </c>
      <c r="K1581">
        <v>2750</v>
      </c>
      <c r="L1581">
        <v>0</v>
      </c>
      <c r="M1581">
        <v>0</v>
      </c>
      <c r="N1581">
        <v>2750</v>
      </c>
    </row>
    <row r="1582" spans="1:14" x14ac:dyDescent="0.25">
      <c r="A1582">
        <v>1107.1704540000001</v>
      </c>
      <c r="B1582" s="1">
        <f>DATE(2013,5,12) + TIME(4,5,27)</f>
        <v>41406.170451388891</v>
      </c>
      <c r="C1582">
        <v>80</v>
      </c>
      <c r="D1582">
        <v>79.962615967000005</v>
      </c>
      <c r="E1582">
        <v>50</v>
      </c>
      <c r="F1582">
        <v>49.128677367999998</v>
      </c>
      <c r="G1582">
        <v>1393.5828856999999</v>
      </c>
      <c r="H1582">
        <v>1377.0551757999999</v>
      </c>
      <c r="I1582">
        <v>1282.4899902</v>
      </c>
      <c r="J1582">
        <v>1260.5804443</v>
      </c>
      <c r="K1582">
        <v>2750</v>
      </c>
      <c r="L1582">
        <v>0</v>
      </c>
      <c r="M1582">
        <v>0</v>
      </c>
      <c r="N1582">
        <v>2750</v>
      </c>
    </row>
    <row r="1583" spans="1:14" x14ac:dyDescent="0.25">
      <c r="A1583">
        <v>1107.5061250000001</v>
      </c>
      <c r="B1583" s="1">
        <f>DATE(2013,5,12) + TIME(12,8,49)</f>
        <v>41406.506122685183</v>
      </c>
      <c r="C1583">
        <v>80</v>
      </c>
      <c r="D1583">
        <v>79.962623596</v>
      </c>
      <c r="E1583">
        <v>50</v>
      </c>
      <c r="F1583">
        <v>49.106582641999999</v>
      </c>
      <c r="G1583">
        <v>1393.5170897999999</v>
      </c>
      <c r="H1583">
        <v>1377.0021973</v>
      </c>
      <c r="I1583">
        <v>1282.4827881000001</v>
      </c>
      <c r="J1583">
        <v>1260.5711670000001</v>
      </c>
      <c r="K1583">
        <v>2750</v>
      </c>
      <c r="L1583">
        <v>0</v>
      </c>
      <c r="M1583">
        <v>0</v>
      </c>
      <c r="N1583">
        <v>2750</v>
      </c>
    </row>
    <row r="1584" spans="1:14" x14ac:dyDescent="0.25">
      <c r="A1584">
        <v>1107.847544</v>
      </c>
      <c r="B1584" s="1">
        <f>DATE(2013,5,12) + TIME(20,20,27)</f>
        <v>41406.847534722219</v>
      </c>
      <c r="C1584">
        <v>80</v>
      </c>
      <c r="D1584">
        <v>79.962623596</v>
      </c>
      <c r="E1584">
        <v>50</v>
      </c>
      <c r="F1584">
        <v>49.084213257000002</v>
      </c>
      <c r="G1584">
        <v>1393.4519043</v>
      </c>
      <c r="H1584">
        <v>1376.9498291</v>
      </c>
      <c r="I1584">
        <v>1282.4754639</v>
      </c>
      <c r="J1584">
        <v>1260.5616454999999</v>
      </c>
      <c r="K1584">
        <v>2750</v>
      </c>
      <c r="L1584">
        <v>0</v>
      </c>
      <c r="M1584">
        <v>0</v>
      </c>
      <c r="N1584">
        <v>2750</v>
      </c>
    </row>
    <row r="1585" spans="1:14" x14ac:dyDescent="0.25">
      <c r="A1585">
        <v>1108.1956909999999</v>
      </c>
      <c r="B1585" s="1">
        <f>DATE(2013,5,13) + TIME(4,41,47)</f>
        <v>41407.19568287037</v>
      </c>
      <c r="C1585">
        <v>80</v>
      </c>
      <c r="D1585">
        <v>79.962615967000005</v>
      </c>
      <c r="E1585">
        <v>50</v>
      </c>
      <c r="F1585">
        <v>49.061519623000002</v>
      </c>
      <c r="G1585">
        <v>1393.387207</v>
      </c>
      <c r="H1585">
        <v>1376.8978271000001</v>
      </c>
      <c r="I1585">
        <v>1282.4678954999999</v>
      </c>
      <c r="J1585">
        <v>1260.5520019999999</v>
      </c>
      <c r="K1585">
        <v>2750</v>
      </c>
      <c r="L1585">
        <v>0</v>
      </c>
      <c r="M1585">
        <v>0</v>
      </c>
      <c r="N1585">
        <v>2750</v>
      </c>
    </row>
    <row r="1586" spans="1:14" x14ac:dyDescent="0.25">
      <c r="A1586">
        <v>1108.5516110000001</v>
      </c>
      <c r="B1586" s="1">
        <f>DATE(2013,5,13) + TIME(13,14,19)</f>
        <v>41407.551608796297</v>
      </c>
      <c r="C1586">
        <v>80</v>
      </c>
      <c r="D1586">
        <v>79.962615967000005</v>
      </c>
      <c r="E1586">
        <v>50</v>
      </c>
      <c r="F1586">
        <v>49.038455962999997</v>
      </c>
      <c r="G1586">
        <v>1393.3227539</v>
      </c>
      <c r="H1586">
        <v>1376.8460693</v>
      </c>
      <c r="I1586">
        <v>1282.4603271000001</v>
      </c>
      <c r="J1586">
        <v>1260.5421143000001</v>
      </c>
      <c r="K1586">
        <v>2750</v>
      </c>
      <c r="L1586">
        <v>0</v>
      </c>
      <c r="M1586">
        <v>0</v>
      </c>
      <c r="N1586">
        <v>2750</v>
      </c>
    </row>
    <row r="1587" spans="1:14" x14ac:dyDescent="0.25">
      <c r="A1587">
        <v>1108.916432</v>
      </c>
      <c r="B1587" s="1">
        <f>DATE(2013,5,13) + TIME(21,59,39)</f>
        <v>41407.91642361111</v>
      </c>
      <c r="C1587">
        <v>80</v>
      </c>
      <c r="D1587">
        <v>79.962608337000006</v>
      </c>
      <c r="E1587">
        <v>50</v>
      </c>
      <c r="F1587">
        <v>49.014957428000002</v>
      </c>
      <c r="G1587">
        <v>1393.2583007999999</v>
      </c>
      <c r="H1587">
        <v>1376.7943115</v>
      </c>
      <c r="I1587">
        <v>1282.4525146000001</v>
      </c>
      <c r="J1587">
        <v>1260.5319824000001</v>
      </c>
      <c r="K1587">
        <v>2750</v>
      </c>
      <c r="L1587">
        <v>0</v>
      </c>
      <c r="M1587">
        <v>0</v>
      </c>
      <c r="N1587">
        <v>2750</v>
      </c>
    </row>
    <row r="1588" spans="1:14" x14ac:dyDescent="0.25">
      <c r="A1588">
        <v>1109.291387</v>
      </c>
      <c r="B1588" s="1">
        <f>DATE(2013,5,14) + TIME(6,59,35)</f>
        <v>41408.291377314818</v>
      </c>
      <c r="C1588">
        <v>80</v>
      </c>
      <c r="D1588">
        <v>79.962593079000001</v>
      </c>
      <c r="E1588">
        <v>50</v>
      </c>
      <c r="F1588">
        <v>48.990962981999999</v>
      </c>
      <c r="G1588">
        <v>1393.1937256000001</v>
      </c>
      <c r="H1588">
        <v>1376.7424315999999</v>
      </c>
      <c r="I1588">
        <v>1282.4444579999999</v>
      </c>
      <c r="J1588">
        <v>1260.5217285000001</v>
      </c>
      <c r="K1588">
        <v>2750</v>
      </c>
      <c r="L1588">
        <v>0</v>
      </c>
      <c r="M1588">
        <v>0</v>
      </c>
      <c r="N1588">
        <v>2750</v>
      </c>
    </row>
    <row r="1589" spans="1:14" x14ac:dyDescent="0.25">
      <c r="A1589">
        <v>1109.678044</v>
      </c>
      <c r="B1589" s="1">
        <f>DATE(2013,5,14) + TIME(16,16,22)</f>
        <v>41408.678032407406</v>
      </c>
      <c r="C1589">
        <v>80</v>
      </c>
      <c r="D1589">
        <v>79.962585449000002</v>
      </c>
      <c r="E1589">
        <v>50</v>
      </c>
      <c r="F1589">
        <v>48.966392517000003</v>
      </c>
      <c r="G1589">
        <v>1393.1287841999999</v>
      </c>
      <c r="H1589">
        <v>1376.6903076000001</v>
      </c>
      <c r="I1589">
        <v>1282.4362793</v>
      </c>
      <c r="J1589">
        <v>1260.5109863</v>
      </c>
      <c r="K1589">
        <v>2750</v>
      </c>
      <c r="L1589">
        <v>0</v>
      </c>
      <c r="M1589">
        <v>0</v>
      </c>
      <c r="N1589">
        <v>2750</v>
      </c>
    </row>
    <row r="1590" spans="1:14" x14ac:dyDescent="0.25">
      <c r="A1590">
        <v>1110.0744050000001</v>
      </c>
      <c r="B1590" s="1">
        <f>DATE(2013,5,15) + TIME(1,47,8)</f>
        <v>41409.07439814815</v>
      </c>
      <c r="C1590">
        <v>80</v>
      </c>
      <c r="D1590">
        <v>79.962570189999994</v>
      </c>
      <c r="E1590">
        <v>50</v>
      </c>
      <c r="F1590">
        <v>48.941307068</v>
      </c>
      <c r="G1590">
        <v>1393.0632324000001</v>
      </c>
      <c r="H1590">
        <v>1376.6378173999999</v>
      </c>
      <c r="I1590">
        <v>1282.4277344</v>
      </c>
      <c r="J1590">
        <v>1260.5</v>
      </c>
      <c r="K1590">
        <v>2750</v>
      </c>
      <c r="L1590">
        <v>0</v>
      </c>
      <c r="M1590">
        <v>0</v>
      </c>
      <c r="N1590">
        <v>2750</v>
      </c>
    </row>
    <row r="1591" spans="1:14" x14ac:dyDescent="0.25">
      <c r="A1591">
        <v>1110.4766480000001</v>
      </c>
      <c r="B1591" s="1">
        <f>DATE(2013,5,15) + TIME(11,26,22)</f>
        <v>41409.476643518516</v>
      </c>
      <c r="C1591">
        <v>80</v>
      </c>
      <c r="D1591">
        <v>79.962562560999999</v>
      </c>
      <c r="E1591">
        <v>50</v>
      </c>
      <c r="F1591">
        <v>48.915863037000001</v>
      </c>
      <c r="G1591">
        <v>1392.9976807</v>
      </c>
      <c r="H1591">
        <v>1376.5852050999999</v>
      </c>
      <c r="I1591">
        <v>1282.4189452999999</v>
      </c>
      <c r="J1591">
        <v>1260.4886475000001</v>
      </c>
      <c r="K1591">
        <v>2750</v>
      </c>
      <c r="L1591">
        <v>0</v>
      </c>
      <c r="M1591">
        <v>0</v>
      </c>
      <c r="N1591">
        <v>2750</v>
      </c>
    </row>
    <row r="1592" spans="1:14" x14ac:dyDescent="0.25">
      <c r="A1592">
        <v>1110.885814</v>
      </c>
      <c r="B1592" s="1">
        <f>DATE(2013,5,15) + TIME(21,15,34)</f>
        <v>41409.885810185187</v>
      </c>
      <c r="C1592">
        <v>80</v>
      </c>
      <c r="D1592">
        <v>79.962547302000004</v>
      </c>
      <c r="E1592">
        <v>50</v>
      </c>
      <c r="F1592">
        <v>48.890056610000002</v>
      </c>
      <c r="G1592">
        <v>1392.9324951000001</v>
      </c>
      <c r="H1592">
        <v>1376.5329589999999</v>
      </c>
      <c r="I1592">
        <v>1282.4099120999999</v>
      </c>
      <c r="J1592">
        <v>1260.4771728999999</v>
      </c>
      <c r="K1592">
        <v>2750</v>
      </c>
      <c r="L1592">
        <v>0</v>
      </c>
      <c r="M1592">
        <v>0</v>
      </c>
      <c r="N1592">
        <v>2750</v>
      </c>
    </row>
    <row r="1593" spans="1:14" x14ac:dyDescent="0.25">
      <c r="A1593">
        <v>1111.302936</v>
      </c>
      <c r="B1593" s="1">
        <f>DATE(2013,5,16) + TIME(7,16,13)</f>
        <v>41410.302928240744</v>
      </c>
      <c r="C1593">
        <v>80</v>
      </c>
      <c r="D1593">
        <v>79.962532042999996</v>
      </c>
      <c r="E1593">
        <v>50</v>
      </c>
      <c r="F1593">
        <v>48.863857269</v>
      </c>
      <c r="G1593">
        <v>1392.8676757999999</v>
      </c>
      <c r="H1593">
        <v>1376.480957</v>
      </c>
      <c r="I1593">
        <v>1282.4008789</v>
      </c>
      <c r="J1593">
        <v>1260.4654541</v>
      </c>
      <c r="K1593">
        <v>2750</v>
      </c>
      <c r="L1593">
        <v>0</v>
      </c>
      <c r="M1593">
        <v>0</v>
      </c>
      <c r="N1593">
        <v>2750</v>
      </c>
    </row>
    <row r="1594" spans="1:14" x14ac:dyDescent="0.25">
      <c r="A1594">
        <v>1111.72912</v>
      </c>
      <c r="B1594" s="1">
        <f>DATE(2013,5,16) + TIME(17,29,56)</f>
        <v>41410.729120370372</v>
      </c>
      <c r="C1594">
        <v>80</v>
      </c>
      <c r="D1594">
        <v>79.962516785000005</v>
      </c>
      <c r="E1594">
        <v>50</v>
      </c>
      <c r="F1594">
        <v>48.837223053000002</v>
      </c>
      <c r="G1594">
        <v>1392.8029785000001</v>
      </c>
      <c r="H1594">
        <v>1376.4290771000001</v>
      </c>
      <c r="I1594">
        <v>1282.3916016000001</v>
      </c>
      <c r="J1594">
        <v>1260.4534911999999</v>
      </c>
      <c r="K1594">
        <v>2750</v>
      </c>
      <c r="L1594">
        <v>0</v>
      </c>
      <c r="M1594">
        <v>0</v>
      </c>
      <c r="N1594">
        <v>2750</v>
      </c>
    </row>
    <row r="1595" spans="1:14" x14ac:dyDescent="0.25">
      <c r="A1595">
        <v>1112.1655699999999</v>
      </c>
      <c r="B1595" s="1">
        <f>DATE(2013,5,17) + TIME(3,58,25)</f>
        <v>41411.165567129632</v>
      </c>
      <c r="C1595">
        <v>80</v>
      </c>
      <c r="D1595">
        <v>79.962501525999997</v>
      </c>
      <c r="E1595">
        <v>50</v>
      </c>
      <c r="F1595">
        <v>48.810104369999998</v>
      </c>
      <c r="G1595">
        <v>1392.7384033000001</v>
      </c>
      <c r="H1595">
        <v>1376.3773193</v>
      </c>
      <c r="I1595">
        <v>1282.3820800999999</v>
      </c>
      <c r="J1595">
        <v>1260.4412841999999</v>
      </c>
      <c r="K1595">
        <v>2750</v>
      </c>
      <c r="L1595">
        <v>0</v>
      </c>
      <c r="M1595">
        <v>0</v>
      </c>
      <c r="N1595">
        <v>2750</v>
      </c>
    </row>
    <row r="1596" spans="1:14" x14ac:dyDescent="0.25">
      <c r="A1596">
        <v>1112.607618</v>
      </c>
      <c r="B1596" s="1">
        <f>DATE(2013,5,17) + TIME(14,34,58)</f>
        <v>41411.607615740744</v>
      </c>
      <c r="C1596">
        <v>80</v>
      </c>
      <c r="D1596">
        <v>79.962486267000003</v>
      </c>
      <c r="E1596">
        <v>50</v>
      </c>
      <c r="F1596">
        <v>48.782669067</v>
      </c>
      <c r="G1596">
        <v>1392.6735839999999</v>
      </c>
      <c r="H1596">
        <v>1376.3253173999999</v>
      </c>
      <c r="I1596">
        <v>1282.3721923999999</v>
      </c>
      <c r="J1596">
        <v>1260.4287108999999</v>
      </c>
      <c r="K1596">
        <v>2750</v>
      </c>
      <c r="L1596">
        <v>0</v>
      </c>
      <c r="M1596">
        <v>0</v>
      </c>
      <c r="N1596">
        <v>2750</v>
      </c>
    </row>
    <row r="1597" spans="1:14" x14ac:dyDescent="0.25">
      <c r="A1597">
        <v>1113.054208</v>
      </c>
      <c r="B1597" s="1">
        <f>DATE(2013,5,18) + TIME(1,18,3)</f>
        <v>41412.054201388892</v>
      </c>
      <c r="C1597">
        <v>80</v>
      </c>
      <c r="D1597">
        <v>79.962471007999994</v>
      </c>
      <c r="E1597">
        <v>50</v>
      </c>
      <c r="F1597">
        <v>48.754993439000003</v>
      </c>
      <c r="G1597">
        <v>1392.6092529</v>
      </c>
      <c r="H1597">
        <v>1376.2738036999999</v>
      </c>
      <c r="I1597">
        <v>1282.3623047000001</v>
      </c>
      <c r="J1597">
        <v>1260.4158935999999</v>
      </c>
      <c r="K1597">
        <v>2750</v>
      </c>
      <c r="L1597">
        <v>0</v>
      </c>
      <c r="M1597">
        <v>0</v>
      </c>
      <c r="N1597">
        <v>2750</v>
      </c>
    </row>
    <row r="1598" spans="1:14" x14ac:dyDescent="0.25">
      <c r="A1598">
        <v>1113.506621</v>
      </c>
      <c r="B1598" s="1">
        <f>DATE(2013,5,18) + TIME(12,9,32)</f>
        <v>41412.506620370368</v>
      </c>
      <c r="C1598">
        <v>80</v>
      </c>
      <c r="D1598">
        <v>79.962455750000004</v>
      </c>
      <c r="E1598">
        <v>50</v>
      </c>
      <c r="F1598">
        <v>48.727058411000002</v>
      </c>
      <c r="G1598">
        <v>1392.5456543</v>
      </c>
      <c r="H1598">
        <v>1376.2227783000001</v>
      </c>
      <c r="I1598">
        <v>1282.3522949000001</v>
      </c>
      <c r="J1598">
        <v>1260.4030762</v>
      </c>
      <c r="K1598">
        <v>2750</v>
      </c>
      <c r="L1598">
        <v>0</v>
      </c>
      <c r="M1598">
        <v>0</v>
      </c>
      <c r="N1598">
        <v>2750</v>
      </c>
    </row>
    <row r="1599" spans="1:14" x14ac:dyDescent="0.25">
      <c r="A1599">
        <v>1113.966156</v>
      </c>
      <c r="B1599" s="1">
        <f>DATE(2013,5,18) + TIME(23,11,15)</f>
        <v>41412.966145833336</v>
      </c>
      <c r="C1599">
        <v>80</v>
      </c>
      <c r="D1599">
        <v>79.962440490999995</v>
      </c>
      <c r="E1599">
        <v>50</v>
      </c>
      <c r="F1599">
        <v>48.698822020999998</v>
      </c>
      <c r="G1599">
        <v>1392.4825439000001</v>
      </c>
      <c r="H1599">
        <v>1376.1721190999999</v>
      </c>
      <c r="I1599">
        <v>1282.3420410000001</v>
      </c>
      <c r="J1599">
        <v>1260.3898925999999</v>
      </c>
      <c r="K1599">
        <v>2750</v>
      </c>
      <c r="L1599">
        <v>0</v>
      </c>
      <c r="M1599">
        <v>0</v>
      </c>
      <c r="N1599">
        <v>2750</v>
      </c>
    </row>
    <row r="1600" spans="1:14" x14ac:dyDescent="0.25">
      <c r="A1600">
        <v>1114.4341850000001</v>
      </c>
      <c r="B1600" s="1">
        <f>DATE(2013,5,19) + TIME(10,25,13)</f>
        <v>41413.434178240743</v>
      </c>
      <c r="C1600">
        <v>80</v>
      </c>
      <c r="D1600">
        <v>79.962432860999996</v>
      </c>
      <c r="E1600">
        <v>50</v>
      </c>
      <c r="F1600">
        <v>48.67023468</v>
      </c>
      <c r="G1600">
        <v>1392.4196777</v>
      </c>
      <c r="H1600">
        <v>1376.1218262</v>
      </c>
      <c r="I1600">
        <v>1282.3316649999999</v>
      </c>
      <c r="J1600">
        <v>1260.3765868999999</v>
      </c>
      <c r="K1600">
        <v>2750</v>
      </c>
      <c r="L1600">
        <v>0</v>
      </c>
      <c r="M1600">
        <v>0</v>
      </c>
      <c r="N1600">
        <v>2750</v>
      </c>
    </row>
    <row r="1601" spans="1:14" x14ac:dyDescent="0.25">
      <c r="A1601">
        <v>1114.9121729999999</v>
      </c>
      <c r="B1601" s="1">
        <f>DATE(2013,5,19) + TIME(21,53,31)</f>
        <v>41413.912164351852</v>
      </c>
      <c r="C1601">
        <v>80</v>
      </c>
      <c r="D1601">
        <v>79.962417603000006</v>
      </c>
      <c r="E1601">
        <v>50</v>
      </c>
      <c r="F1601">
        <v>48.641220093000001</v>
      </c>
      <c r="G1601">
        <v>1392.3569336</v>
      </c>
      <c r="H1601">
        <v>1376.0715332</v>
      </c>
      <c r="I1601">
        <v>1282.3210449000001</v>
      </c>
      <c r="J1601">
        <v>1260.3629149999999</v>
      </c>
      <c r="K1601">
        <v>2750</v>
      </c>
      <c r="L1601">
        <v>0</v>
      </c>
      <c r="M1601">
        <v>0</v>
      </c>
      <c r="N1601">
        <v>2750</v>
      </c>
    </row>
    <row r="1602" spans="1:14" x14ac:dyDescent="0.25">
      <c r="A1602">
        <v>1115.4016959999999</v>
      </c>
      <c r="B1602" s="1">
        <f>DATE(2013,5,20) + TIME(9,38,26)</f>
        <v>41414.401689814818</v>
      </c>
      <c r="C1602">
        <v>80</v>
      </c>
      <c r="D1602">
        <v>79.962402343999997</v>
      </c>
      <c r="E1602">
        <v>50</v>
      </c>
      <c r="F1602">
        <v>48.611713408999996</v>
      </c>
      <c r="G1602">
        <v>1392.2940673999999</v>
      </c>
      <c r="H1602">
        <v>1376.0211182</v>
      </c>
      <c r="I1602">
        <v>1282.3103027</v>
      </c>
      <c r="J1602">
        <v>1260.3488769999999</v>
      </c>
      <c r="K1602">
        <v>2750</v>
      </c>
      <c r="L1602">
        <v>0</v>
      </c>
      <c r="M1602">
        <v>0</v>
      </c>
      <c r="N1602">
        <v>2750</v>
      </c>
    </row>
    <row r="1603" spans="1:14" x14ac:dyDescent="0.25">
      <c r="A1603">
        <v>1115.904702</v>
      </c>
      <c r="B1603" s="1">
        <f>DATE(2013,5,20) + TIME(21,42,46)</f>
        <v>41414.904699074075</v>
      </c>
      <c r="C1603">
        <v>80</v>
      </c>
      <c r="D1603">
        <v>79.962387085000003</v>
      </c>
      <c r="E1603">
        <v>50</v>
      </c>
      <c r="F1603">
        <v>48.581611633000001</v>
      </c>
      <c r="G1603">
        <v>1392.230957</v>
      </c>
      <c r="H1603">
        <v>1375.9705810999999</v>
      </c>
      <c r="I1603">
        <v>1282.2990723</v>
      </c>
      <c r="J1603">
        <v>1260.3344727000001</v>
      </c>
      <c r="K1603">
        <v>2750</v>
      </c>
      <c r="L1603">
        <v>0</v>
      </c>
      <c r="M1603">
        <v>0</v>
      </c>
      <c r="N1603">
        <v>2750</v>
      </c>
    </row>
    <row r="1604" spans="1:14" x14ac:dyDescent="0.25">
      <c r="A1604">
        <v>1116.4231259999999</v>
      </c>
      <c r="B1604" s="1">
        <f>DATE(2013,5,21) + TIME(10,9,18)</f>
        <v>41415.423125000001</v>
      </c>
      <c r="C1604">
        <v>80</v>
      </c>
      <c r="D1604">
        <v>79.962371825999995</v>
      </c>
      <c r="E1604">
        <v>50</v>
      </c>
      <c r="F1604">
        <v>48.550823211999997</v>
      </c>
      <c r="G1604">
        <v>1392.1673584</v>
      </c>
      <c r="H1604">
        <v>1375.9195557</v>
      </c>
      <c r="I1604">
        <v>1282.2875977000001</v>
      </c>
      <c r="J1604">
        <v>1260.3197021000001</v>
      </c>
      <c r="K1604">
        <v>2750</v>
      </c>
      <c r="L1604">
        <v>0</v>
      </c>
      <c r="M1604">
        <v>0</v>
      </c>
      <c r="N1604">
        <v>2750</v>
      </c>
    </row>
    <row r="1605" spans="1:14" x14ac:dyDescent="0.25">
      <c r="A1605">
        <v>1116.957402</v>
      </c>
      <c r="B1605" s="1">
        <f>DATE(2013,5,21) + TIME(22,58,39)</f>
        <v>41415.957395833335</v>
      </c>
      <c r="C1605">
        <v>80</v>
      </c>
      <c r="D1605">
        <v>79.962356567</v>
      </c>
      <c r="E1605">
        <v>50</v>
      </c>
      <c r="F1605">
        <v>48.519294739000003</v>
      </c>
      <c r="G1605">
        <v>1392.1031493999999</v>
      </c>
      <c r="H1605">
        <v>1375.8680420000001</v>
      </c>
      <c r="I1605">
        <v>1282.2757568</v>
      </c>
      <c r="J1605">
        <v>1260.3044434000001</v>
      </c>
      <c r="K1605">
        <v>2750</v>
      </c>
      <c r="L1605">
        <v>0</v>
      </c>
      <c r="M1605">
        <v>0</v>
      </c>
      <c r="N1605">
        <v>2750</v>
      </c>
    </row>
    <row r="1606" spans="1:14" x14ac:dyDescent="0.25">
      <c r="A1606">
        <v>1117.4996699999999</v>
      </c>
      <c r="B1606" s="1">
        <f>DATE(2013,5,22) + TIME(11,59,31)</f>
        <v>41416.499664351853</v>
      </c>
      <c r="C1606">
        <v>80</v>
      </c>
      <c r="D1606">
        <v>79.962341308999996</v>
      </c>
      <c r="E1606">
        <v>50</v>
      </c>
      <c r="F1606">
        <v>48.487277984999999</v>
      </c>
      <c r="G1606">
        <v>1392.0382079999999</v>
      </c>
      <c r="H1606">
        <v>1375.815918</v>
      </c>
      <c r="I1606">
        <v>1282.2634277</v>
      </c>
      <c r="J1606">
        <v>1260.2886963000001</v>
      </c>
      <c r="K1606">
        <v>2750</v>
      </c>
      <c r="L1606">
        <v>0</v>
      </c>
      <c r="M1606">
        <v>0</v>
      </c>
      <c r="N1606">
        <v>2750</v>
      </c>
    </row>
    <row r="1607" spans="1:14" x14ac:dyDescent="0.25">
      <c r="A1607">
        <v>1118.0515150000001</v>
      </c>
      <c r="B1607" s="1">
        <f>DATE(2013,5,23) + TIME(1,14,10)</f>
        <v>41417.051504629628</v>
      </c>
      <c r="C1607">
        <v>80</v>
      </c>
      <c r="D1607">
        <v>79.962333678999997</v>
      </c>
      <c r="E1607">
        <v>50</v>
      </c>
      <c r="F1607">
        <v>48.454784392999997</v>
      </c>
      <c r="G1607">
        <v>1391.9736327999999</v>
      </c>
      <c r="H1607">
        <v>1375.7640381000001</v>
      </c>
      <c r="I1607">
        <v>1282.2509766000001</v>
      </c>
      <c r="J1607">
        <v>1260.2725829999999</v>
      </c>
      <c r="K1607">
        <v>2750</v>
      </c>
      <c r="L1607">
        <v>0</v>
      </c>
      <c r="M1607">
        <v>0</v>
      </c>
      <c r="N1607">
        <v>2750</v>
      </c>
    </row>
    <row r="1608" spans="1:14" x14ac:dyDescent="0.25">
      <c r="A1608">
        <v>1118.614501</v>
      </c>
      <c r="B1608" s="1">
        <f>DATE(2013,5,23) + TIME(14,44,52)</f>
        <v>41417.614490740743</v>
      </c>
      <c r="C1608">
        <v>80</v>
      </c>
      <c r="D1608">
        <v>79.962318420000003</v>
      </c>
      <c r="E1608">
        <v>50</v>
      </c>
      <c r="F1608">
        <v>48.421791077000002</v>
      </c>
      <c r="G1608">
        <v>1391.9091797000001</v>
      </c>
      <c r="H1608">
        <v>1375.7122803</v>
      </c>
      <c r="I1608">
        <v>1282.2381591999999</v>
      </c>
      <c r="J1608">
        <v>1260.2561035000001</v>
      </c>
      <c r="K1608">
        <v>2750</v>
      </c>
      <c r="L1608">
        <v>0</v>
      </c>
      <c r="M1608">
        <v>0</v>
      </c>
      <c r="N1608">
        <v>2750</v>
      </c>
    </row>
    <row r="1609" spans="1:14" x14ac:dyDescent="0.25">
      <c r="A1609">
        <v>1119.188159</v>
      </c>
      <c r="B1609" s="1">
        <f>DATE(2013,5,24) + TIME(4,30,56)</f>
        <v>41418.188148148147</v>
      </c>
      <c r="C1609">
        <v>80</v>
      </c>
      <c r="D1609">
        <v>79.962303161999998</v>
      </c>
      <c r="E1609">
        <v>50</v>
      </c>
      <c r="F1609">
        <v>48.388313293000003</v>
      </c>
      <c r="G1609">
        <v>1391.8446045000001</v>
      </c>
      <c r="H1609">
        <v>1375.6604004000001</v>
      </c>
      <c r="I1609">
        <v>1282.2250977000001</v>
      </c>
      <c r="J1609">
        <v>1260.2392577999999</v>
      </c>
      <c r="K1609">
        <v>2750</v>
      </c>
      <c r="L1609">
        <v>0</v>
      </c>
      <c r="M1609">
        <v>0</v>
      </c>
      <c r="N1609">
        <v>2750</v>
      </c>
    </row>
    <row r="1610" spans="1:14" x14ac:dyDescent="0.25">
      <c r="A1610">
        <v>1119.7673359999999</v>
      </c>
      <c r="B1610" s="1">
        <f>DATE(2013,5,24) + TIME(18,24,57)</f>
        <v>41418.767326388886</v>
      </c>
      <c r="C1610">
        <v>80</v>
      </c>
      <c r="D1610">
        <v>79.962287903000004</v>
      </c>
      <c r="E1610">
        <v>50</v>
      </c>
      <c r="F1610">
        <v>48.354534149000003</v>
      </c>
      <c r="G1610">
        <v>1391.7801514</v>
      </c>
      <c r="H1610">
        <v>1375.6086425999999</v>
      </c>
      <c r="I1610">
        <v>1282.2116699000001</v>
      </c>
      <c r="J1610">
        <v>1260.2219238</v>
      </c>
      <c r="K1610">
        <v>2750</v>
      </c>
      <c r="L1610">
        <v>0</v>
      </c>
      <c r="M1610">
        <v>0</v>
      </c>
      <c r="N1610">
        <v>2750</v>
      </c>
    </row>
    <row r="1611" spans="1:14" x14ac:dyDescent="0.25">
      <c r="A1611">
        <v>1120.3522399999999</v>
      </c>
      <c r="B1611" s="1">
        <f>DATE(2013,5,25) + TIME(8,27,13)</f>
        <v>41419.352233796293</v>
      </c>
      <c r="C1611">
        <v>80</v>
      </c>
      <c r="D1611">
        <v>79.962280273000005</v>
      </c>
      <c r="E1611">
        <v>50</v>
      </c>
      <c r="F1611">
        <v>48.320503234999997</v>
      </c>
      <c r="G1611">
        <v>1391.7161865</v>
      </c>
      <c r="H1611">
        <v>1375.557251</v>
      </c>
      <c r="I1611">
        <v>1282.1981201000001</v>
      </c>
      <c r="J1611">
        <v>1260.2044678</v>
      </c>
      <c r="K1611">
        <v>2750</v>
      </c>
      <c r="L1611">
        <v>0</v>
      </c>
      <c r="M1611">
        <v>0</v>
      </c>
      <c r="N1611">
        <v>2750</v>
      </c>
    </row>
    <row r="1612" spans="1:14" x14ac:dyDescent="0.25">
      <c r="A1612">
        <v>1120.944618</v>
      </c>
      <c r="B1612" s="1">
        <f>DATE(2013,5,25) + TIME(22,40,15)</f>
        <v>41419.944618055553</v>
      </c>
      <c r="C1612">
        <v>80</v>
      </c>
      <c r="D1612">
        <v>79.962265015</v>
      </c>
      <c r="E1612">
        <v>50</v>
      </c>
      <c r="F1612">
        <v>48.286205291999998</v>
      </c>
      <c r="G1612">
        <v>1391.652832</v>
      </c>
      <c r="H1612">
        <v>1375.5062256000001</v>
      </c>
      <c r="I1612">
        <v>1282.1843262</v>
      </c>
      <c r="J1612">
        <v>1260.1867675999999</v>
      </c>
      <c r="K1612">
        <v>2750</v>
      </c>
      <c r="L1612">
        <v>0</v>
      </c>
      <c r="M1612">
        <v>0</v>
      </c>
      <c r="N1612">
        <v>2750</v>
      </c>
    </row>
    <row r="1613" spans="1:14" x14ac:dyDescent="0.25">
      <c r="A1613">
        <v>1121.5462729999999</v>
      </c>
      <c r="B1613" s="1">
        <f>DATE(2013,5,26) + TIME(13,6,37)</f>
        <v>41420.546261574076</v>
      </c>
      <c r="C1613">
        <v>80</v>
      </c>
      <c r="D1613">
        <v>79.962257385000001</v>
      </c>
      <c r="E1613">
        <v>50</v>
      </c>
      <c r="F1613">
        <v>48.251579284999998</v>
      </c>
      <c r="G1613">
        <v>1391.5898437999999</v>
      </c>
      <c r="H1613">
        <v>1375.4555664</v>
      </c>
      <c r="I1613">
        <v>1282.1702881000001</v>
      </c>
      <c r="J1613">
        <v>1260.1685791</v>
      </c>
      <c r="K1613">
        <v>2750</v>
      </c>
      <c r="L1613">
        <v>0</v>
      </c>
      <c r="M1613">
        <v>0</v>
      </c>
      <c r="N1613">
        <v>2750</v>
      </c>
    </row>
    <row r="1614" spans="1:14" x14ac:dyDescent="0.25">
      <c r="A1614">
        <v>1122.159101</v>
      </c>
      <c r="B1614" s="1">
        <f>DATE(2013,5,27) + TIME(3,49,6)</f>
        <v>41421.159097222226</v>
      </c>
      <c r="C1614">
        <v>80</v>
      </c>
      <c r="D1614">
        <v>79.962242126000007</v>
      </c>
      <c r="E1614">
        <v>50</v>
      </c>
      <c r="F1614">
        <v>48.216548920000001</v>
      </c>
      <c r="G1614">
        <v>1391.5270995999999</v>
      </c>
      <c r="H1614">
        <v>1375.4050293</v>
      </c>
      <c r="I1614">
        <v>1282.1560059000001</v>
      </c>
      <c r="J1614">
        <v>1260.1501464999999</v>
      </c>
      <c r="K1614">
        <v>2750</v>
      </c>
      <c r="L1614">
        <v>0</v>
      </c>
      <c r="M1614">
        <v>0</v>
      </c>
      <c r="N1614">
        <v>2750</v>
      </c>
    </row>
    <row r="1615" spans="1:14" x14ac:dyDescent="0.25">
      <c r="A1615">
        <v>1122.7846139999999</v>
      </c>
      <c r="B1615" s="1">
        <f>DATE(2013,5,27) + TIME(18,49,50)</f>
        <v>41421.78460648148</v>
      </c>
      <c r="C1615">
        <v>80</v>
      </c>
      <c r="D1615">
        <v>79.962234496999997</v>
      </c>
      <c r="E1615">
        <v>50</v>
      </c>
      <c r="F1615">
        <v>48.181037903000004</v>
      </c>
      <c r="G1615">
        <v>1391.4642334</v>
      </c>
      <c r="H1615">
        <v>1375.3543701000001</v>
      </c>
      <c r="I1615">
        <v>1282.1414795000001</v>
      </c>
      <c r="J1615">
        <v>1260.1312256000001</v>
      </c>
      <c r="K1615">
        <v>2750</v>
      </c>
      <c r="L1615">
        <v>0</v>
      </c>
      <c r="M1615">
        <v>0</v>
      </c>
      <c r="N1615">
        <v>2750</v>
      </c>
    </row>
    <row r="1616" spans="1:14" x14ac:dyDescent="0.25">
      <c r="A1616">
        <v>1123.4212190000001</v>
      </c>
      <c r="B1616" s="1">
        <f>DATE(2013,5,28) + TIME(10,6,33)</f>
        <v>41422.421215277776</v>
      </c>
      <c r="C1616">
        <v>80</v>
      </c>
      <c r="D1616">
        <v>79.962219238000003</v>
      </c>
      <c r="E1616">
        <v>50</v>
      </c>
      <c r="F1616">
        <v>48.145065308</v>
      </c>
      <c r="G1616">
        <v>1391.4012451000001</v>
      </c>
      <c r="H1616">
        <v>1375.3035889</v>
      </c>
      <c r="I1616">
        <v>1282.1264647999999</v>
      </c>
      <c r="J1616">
        <v>1260.1118164</v>
      </c>
      <c r="K1616">
        <v>2750</v>
      </c>
      <c r="L1616">
        <v>0</v>
      </c>
      <c r="M1616">
        <v>0</v>
      </c>
      <c r="N1616">
        <v>2750</v>
      </c>
    </row>
    <row r="1617" spans="1:14" x14ac:dyDescent="0.25">
      <c r="A1617">
        <v>1124.070911</v>
      </c>
      <c r="B1617" s="1">
        <f>DATE(2013,5,29) + TIME(1,42,6)</f>
        <v>41423.070902777778</v>
      </c>
      <c r="C1617">
        <v>80</v>
      </c>
      <c r="D1617">
        <v>79.962211608999993</v>
      </c>
      <c r="E1617">
        <v>50</v>
      </c>
      <c r="F1617">
        <v>48.108573913999997</v>
      </c>
      <c r="G1617">
        <v>1391.3382568</v>
      </c>
      <c r="H1617">
        <v>1375.2526855000001</v>
      </c>
      <c r="I1617">
        <v>1282.1110839999999</v>
      </c>
      <c r="J1617">
        <v>1260.0919189000001</v>
      </c>
      <c r="K1617">
        <v>2750</v>
      </c>
      <c r="L1617">
        <v>0</v>
      </c>
      <c r="M1617">
        <v>0</v>
      </c>
      <c r="N1617">
        <v>2750</v>
      </c>
    </row>
    <row r="1618" spans="1:14" x14ac:dyDescent="0.25">
      <c r="A1618">
        <v>1124.7358039999999</v>
      </c>
      <c r="B1618" s="1">
        <f>DATE(2013,5,29) + TIME(17,39,33)</f>
        <v>41423.735798611109</v>
      </c>
      <c r="C1618">
        <v>80</v>
      </c>
      <c r="D1618">
        <v>79.962203978999995</v>
      </c>
      <c r="E1618">
        <v>50</v>
      </c>
      <c r="F1618">
        <v>48.071479797000002</v>
      </c>
      <c r="G1618">
        <v>1391.2750243999999</v>
      </c>
      <c r="H1618">
        <v>1375.2017822</v>
      </c>
      <c r="I1618">
        <v>1282.0953368999999</v>
      </c>
      <c r="J1618">
        <v>1260.0715332</v>
      </c>
      <c r="K1618">
        <v>2750</v>
      </c>
      <c r="L1618">
        <v>0</v>
      </c>
      <c r="M1618">
        <v>0</v>
      </c>
      <c r="N1618">
        <v>2750</v>
      </c>
    </row>
    <row r="1619" spans="1:14" x14ac:dyDescent="0.25">
      <c r="A1619">
        <v>1125.4175519999999</v>
      </c>
      <c r="B1619" s="1">
        <f>DATE(2013,5,30) + TIME(10,1,16)</f>
        <v>41424.417546296296</v>
      </c>
      <c r="C1619">
        <v>80</v>
      </c>
      <c r="D1619">
        <v>79.962196349999999</v>
      </c>
      <c r="E1619">
        <v>50</v>
      </c>
      <c r="F1619">
        <v>48.033706664999997</v>
      </c>
      <c r="G1619">
        <v>1391.2115478999999</v>
      </c>
      <c r="H1619">
        <v>1375.1505127</v>
      </c>
      <c r="I1619">
        <v>1282.0792236</v>
      </c>
      <c r="J1619">
        <v>1260.0504149999999</v>
      </c>
      <c r="K1619">
        <v>2750</v>
      </c>
      <c r="L1619">
        <v>0</v>
      </c>
      <c r="M1619">
        <v>0</v>
      </c>
      <c r="N1619">
        <v>2750</v>
      </c>
    </row>
    <row r="1620" spans="1:14" x14ac:dyDescent="0.25">
      <c r="A1620">
        <v>1126.1029410000001</v>
      </c>
      <c r="B1620" s="1">
        <f>DATE(2013,5,31) + TIME(2,28,14)</f>
        <v>41425.102939814817</v>
      </c>
      <c r="C1620">
        <v>80</v>
      </c>
      <c r="D1620">
        <v>79.962181091000005</v>
      </c>
      <c r="E1620">
        <v>50</v>
      </c>
      <c r="F1620">
        <v>47.995601653999998</v>
      </c>
      <c r="G1620">
        <v>1391.1474608999999</v>
      </c>
      <c r="H1620">
        <v>1375.0987548999999</v>
      </c>
      <c r="I1620">
        <v>1282.0623779</v>
      </c>
      <c r="J1620">
        <v>1260.0288086</v>
      </c>
      <c r="K1620">
        <v>2750</v>
      </c>
      <c r="L1620">
        <v>0</v>
      </c>
      <c r="M1620">
        <v>0</v>
      </c>
      <c r="N1620">
        <v>2750</v>
      </c>
    </row>
    <row r="1621" spans="1:14" x14ac:dyDescent="0.25">
      <c r="A1621">
        <v>1126.794085</v>
      </c>
      <c r="B1621" s="1">
        <f>DATE(2013,5,31) + TIME(19,3,28)</f>
        <v>41425.794074074074</v>
      </c>
      <c r="C1621">
        <v>80</v>
      </c>
      <c r="D1621">
        <v>79.962173461999996</v>
      </c>
      <c r="E1621">
        <v>50</v>
      </c>
      <c r="F1621">
        <v>47.957248688</v>
      </c>
      <c r="G1621">
        <v>1391.0842285000001</v>
      </c>
      <c r="H1621">
        <v>1375.0476074000001</v>
      </c>
      <c r="I1621">
        <v>1282.0454102000001</v>
      </c>
      <c r="J1621">
        <v>1260.0067139</v>
      </c>
      <c r="K1621">
        <v>2750</v>
      </c>
      <c r="L1621">
        <v>0</v>
      </c>
      <c r="M1621">
        <v>0</v>
      </c>
      <c r="N1621">
        <v>2750</v>
      </c>
    </row>
    <row r="1622" spans="1:14" x14ac:dyDescent="0.25">
      <c r="A1622">
        <v>1127</v>
      </c>
      <c r="B1622" s="1">
        <f>DATE(2013,6,1) + TIME(0,0,0)</f>
        <v>41426</v>
      </c>
      <c r="C1622">
        <v>80</v>
      </c>
      <c r="D1622">
        <v>79.962165833</v>
      </c>
      <c r="E1622">
        <v>50</v>
      </c>
      <c r="F1622">
        <v>47.940029144</v>
      </c>
      <c r="G1622">
        <v>1391.0222168</v>
      </c>
      <c r="H1622">
        <v>1374.9974365</v>
      </c>
      <c r="I1622">
        <v>1282.0258789</v>
      </c>
      <c r="J1622">
        <v>1259.9869385</v>
      </c>
      <c r="K1622">
        <v>2750</v>
      </c>
      <c r="L1622">
        <v>0</v>
      </c>
      <c r="M1622">
        <v>0</v>
      </c>
      <c r="N1622">
        <v>2750</v>
      </c>
    </row>
    <row r="1623" spans="1:14" x14ac:dyDescent="0.25">
      <c r="A1623">
        <v>1127.6989840000001</v>
      </c>
      <c r="B1623" s="1">
        <f>DATE(2013,6,1) + TIME(16,46,32)</f>
        <v>41426.698981481481</v>
      </c>
      <c r="C1623">
        <v>80</v>
      </c>
      <c r="D1623">
        <v>79.962165833</v>
      </c>
      <c r="E1623">
        <v>50</v>
      </c>
      <c r="F1623">
        <v>47.904216765999998</v>
      </c>
      <c r="G1623">
        <v>1391.0028076000001</v>
      </c>
      <c r="H1623">
        <v>1374.9815673999999</v>
      </c>
      <c r="I1623">
        <v>1282.0233154</v>
      </c>
      <c r="J1623">
        <v>1259.9770507999999</v>
      </c>
      <c r="K1623">
        <v>2750</v>
      </c>
      <c r="L1623">
        <v>0</v>
      </c>
      <c r="M1623">
        <v>0</v>
      </c>
      <c r="N1623">
        <v>2750</v>
      </c>
    </row>
    <row r="1624" spans="1:14" x14ac:dyDescent="0.25">
      <c r="A1624">
        <v>1128.411476</v>
      </c>
      <c r="B1624" s="1">
        <f>DATE(2013,6,2) + TIME(9,52,31)</f>
        <v>41427.411469907405</v>
      </c>
      <c r="C1624">
        <v>80</v>
      </c>
      <c r="D1624">
        <v>79.962158203000001</v>
      </c>
      <c r="E1624">
        <v>50</v>
      </c>
      <c r="F1624">
        <v>47.866683960000003</v>
      </c>
      <c r="G1624">
        <v>1390.9411620999999</v>
      </c>
      <c r="H1624">
        <v>1374.9317627</v>
      </c>
      <c r="I1624">
        <v>1282.0057373</v>
      </c>
      <c r="J1624">
        <v>1259.9545897999999</v>
      </c>
      <c r="K1624">
        <v>2750</v>
      </c>
      <c r="L1624">
        <v>0</v>
      </c>
      <c r="M1624">
        <v>0</v>
      </c>
      <c r="N1624">
        <v>2750</v>
      </c>
    </row>
    <row r="1625" spans="1:14" x14ac:dyDescent="0.25">
      <c r="A1625">
        <v>1129.136778</v>
      </c>
      <c r="B1625" s="1">
        <f>DATE(2013,6,3) + TIME(3,16,57)</f>
        <v>41428.136770833335</v>
      </c>
      <c r="C1625">
        <v>80</v>
      </c>
      <c r="D1625">
        <v>79.962150574000006</v>
      </c>
      <c r="E1625">
        <v>50</v>
      </c>
      <c r="F1625">
        <v>47.827995299999998</v>
      </c>
      <c r="G1625">
        <v>1390.8790283000001</v>
      </c>
      <c r="H1625">
        <v>1374.8813477000001</v>
      </c>
      <c r="I1625">
        <v>1281.9876709</v>
      </c>
      <c r="J1625">
        <v>1259.9311522999999</v>
      </c>
      <c r="K1625">
        <v>2750</v>
      </c>
      <c r="L1625">
        <v>0</v>
      </c>
      <c r="M1625">
        <v>0</v>
      </c>
      <c r="N1625">
        <v>2750</v>
      </c>
    </row>
    <row r="1626" spans="1:14" x14ac:dyDescent="0.25">
      <c r="A1626">
        <v>1129.8773639999999</v>
      </c>
      <c r="B1626" s="1">
        <f>DATE(2013,6,3) + TIME(21,3,24)</f>
        <v>41428.87736111111</v>
      </c>
      <c r="C1626">
        <v>80</v>
      </c>
      <c r="D1626">
        <v>79.962142943999993</v>
      </c>
      <c r="E1626">
        <v>50</v>
      </c>
      <c r="F1626">
        <v>47.788387299</v>
      </c>
      <c r="G1626">
        <v>1390.8167725000001</v>
      </c>
      <c r="H1626">
        <v>1374.8308105000001</v>
      </c>
      <c r="I1626">
        <v>1281.9691161999999</v>
      </c>
      <c r="J1626">
        <v>1259.9069824000001</v>
      </c>
      <c r="K1626">
        <v>2750</v>
      </c>
      <c r="L1626">
        <v>0</v>
      </c>
      <c r="M1626">
        <v>0</v>
      </c>
      <c r="N1626">
        <v>2750</v>
      </c>
    </row>
    <row r="1627" spans="1:14" x14ac:dyDescent="0.25">
      <c r="A1627">
        <v>1130.629827</v>
      </c>
      <c r="B1627" s="1">
        <f>DATE(2013,6,4) + TIME(15,6,57)</f>
        <v>41429.629826388889</v>
      </c>
      <c r="C1627">
        <v>80</v>
      </c>
      <c r="D1627">
        <v>79.962135314999998</v>
      </c>
      <c r="E1627">
        <v>50</v>
      </c>
      <c r="F1627">
        <v>47.748088836999997</v>
      </c>
      <c r="G1627">
        <v>1390.7542725000001</v>
      </c>
      <c r="H1627">
        <v>1374.7800293</v>
      </c>
      <c r="I1627">
        <v>1281.9500731999999</v>
      </c>
      <c r="J1627">
        <v>1259.8822021000001</v>
      </c>
      <c r="K1627">
        <v>2750</v>
      </c>
      <c r="L1627">
        <v>0</v>
      </c>
      <c r="M1627">
        <v>0</v>
      </c>
      <c r="N1627">
        <v>2750</v>
      </c>
    </row>
    <row r="1628" spans="1:14" x14ac:dyDescent="0.25">
      <c r="A1628">
        <v>1131.3929929999999</v>
      </c>
      <c r="B1628" s="1">
        <f>DATE(2013,6,5) + TIME(9,25,54)</f>
        <v>41430.39298611111</v>
      </c>
      <c r="C1628">
        <v>80</v>
      </c>
      <c r="D1628">
        <v>79.962135314999998</v>
      </c>
      <c r="E1628">
        <v>50</v>
      </c>
      <c r="F1628">
        <v>47.707241058000001</v>
      </c>
      <c r="G1628">
        <v>1390.6917725000001</v>
      </c>
      <c r="H1628">
        <v>1374.7292480000001</v>
      </c>
      <c r="I1628">
        <v>1281.9306641000001</v>
      </c>
      <c r="J1628">
        <v>1259.8565673999999</v>
      </c>
      <c r="K1628">
        <v>2750</v>
      </c>
      <c r="L1628">
        <v>0</v>
      </c>
      <c r="M1628">
        <v>0</v>
      </c>
      <c r="N1628">
        <v>2750</v>
      </c>
    </row>
    <row r="1629" spans="1:14" x14ac:dyDescent="0.25">
      <c r="A1629">
        <v>1132.169169</v>
      </c>
      <c r="B1629" s="1">
        <f>DATE(2013,6,6) + TIME(4,3,36)</f>
        <v>41431.169166666667</v>
      </c>
      <c r="C1629">
        <v>80</v>
      </c>
      <c r="D1629">
        <v>79.962127686000002</v>
      </c>
      <c r="E1629">
        <v>50</v>
      </c>
      <c r="F1629">
        <v>47.665859222000002</v>
      </c>
      <c r="G1629">
        <v>1390.6293945</v>
      </c>
      <c r="H1629">
        <v>1374.6784668</v>
      </c>
      <c r="I1629">
        <v>1281.9106445</v>
      </c>
      <c r="J1629">
        <v>1259.8304443</v>
      </c>
      <c r="K1629">
        <v>2750</v>
      </c>
      <c r="L1629">
        <v>0</v>
      </c>
      <c r="M1629">
        <v>0</v>
      </c>
      <c r="N1629">
        <v>2750</v>
      </c>
    </row>
    <row r="1630" spans="1:14" x14ac:dyDescent="0.25">
      <c r="A1630">
        <v>1132.9607779999999</v>
      </c>
      <c r="B1630" s="1">
        <f>DATE(2013,6,6) + TIME(23,3,31)</f>
        <v>41431.960775462961</v>
      </c>
      <c r="C1630">
        <v>80</v>
      </c>
      <c r="D1630">
        <v>79.962120056000003</v>
      </c>
      <c r="E1630">
        <v>50</v>
      </c>
      <c r="F1630">
        <v>47.623893738</v>
      </c>
      <c r="G1630">
        <v>1390.5668945</v>
      </c>
      <c r="H1630">
        <v>1374.6276855000001</v>
      </c>
      <c r="I1630">
        <v>1281.8902588000001</v>
      </c>
      <c r="J1630">
        <v>1259.8034668</v>
      </c>
      <c r="K1630">
        <v>2750</v>
      </c>
      <c r="L1630">
        <v>0</v>
      </c>
      <c r="M1630">
        <v>0</v>
      </c>
      <c r="N1630">
        <v>2750</v>
      </c>
    </row>
    <row r="1631" spans="1:14" x14ac:dyDescent="0.25">
      <c r="A1631">
        <v>1133.7704699999999</v>
      </c>
      <c r="B1631" s="1">
        <f>DATE(2013,6,7) + TIME(18,29,28)</f>
        <v>41432.770462962966</v>
      </c>
      <c r="C1631">
        <v>80</v>
      </c>
      <c r="D1631">
        <v>79.962120056000003</v>
      </c>
      <c r="E1631">
        <v>50</v>
      </c>
      <c r="F1631">
        <v>47.581253052000001</v>
      </c>
      <c r="G1631">
        <v>1390.5042725000001</v>
      </c>
      <c r="H1631">
        <v>1374.5766602000001</v>
      </c>
      <c r="I1631">
        <v>1281.8692627</v>
      </c>
      <c r="J1631">
        <v>1259.7757568</v>
      </c>
      <c r="K1631">
        <v>2750</v>
      </c>
      <c r="L1631">
        <v>0</v>
      </c>
      <c r="M1631">
        <v>0</v>
      </c>
      <c r="N1631">
        <v>2750</v>
      </c>
    </row>
    <row r="1632" spans="1:14" x14ac:dyDescent="0.25">
      <c r="A1632">
        <v>1134.587933</v>
      </c>
      <c r="B1632" s="1">
        <f>DATE(2013,6,8) + TIME(14,6,37)</f>
        <v>41433.58792824074</v>
      </c>
      <c r="C1632">
        <v>80</v>
      </c>
      <c r="D1632">
        <v>79.962112426999994</v>
      </c>
      <c r="E1632">
        <v>50</v>
      </c>
      <c r="F1632">
        <v>47.538139342999997</v>
      </c>
      <c r="G1632">
        <v>1390.4411620999999</v>
      </c>
      <c r="H1632">
        <v>1374.5251464999999</v>
      </c>
      <c r="I1632">
        <v>1281.8475341999999</v>
      </c>
      <c r="J1632">
        <v>1259.7470702999999</v>
      </c>
      <c r="K1632">
        <v>2750</v>
      </c>
      <c r="L1632">
        <v>0</v>
      </c>
      <c r="M1632">
        <v>0</v>
      </c>
      <c r="N1632">
        <v>2750</v>
      </c>
    </row>
    <row r="1633" spans="1:14" x14ac:dyDescent="0.25">
      <c r="A1633">
        <v>1135.411904</v>
      </c>
      <c r="B1633" s="1">
        <f>DATE(2013,6,9) + TIME(9,53,8)</f>
        <v>41434.411898148152</v>
      </c>
      <c r="C1633">
        <v>80</v>
      </c>
      <c r="D1633">
        <v>79.962104796999995</v>
      </c>
      <c r="E1633">
        <v>50</v>
      </c>
      <c r="F1633">
        <v>47.494716644</v>
      </c>
      <c r="G1633">
        <v>1390.3785399999999</v>
      </c>
      <c r="H1633">
        <v>1374.473999</v>
      </c>
      <c r="I1633">
        <v>1281.8253173999999</v>
      </c>
      <c r="J1633">
        <v>1259.7177733999999</v>
      </c>
      <c r="K1633">
        <v>2750</v>
      </c>
      <c r="L1633">
        <v>0</v>
      </c>
      <c r="M1633">
        <v>0</v>
      </c>
      <c r="N1633">
        <v>2750</v>
      </c>
    </row>
    <row r="1634" spans="1:14" x14ac:dyDescent="0.25">
      <c r="A1634">
        <v>1136.2449300000001</v>
      </c>
      <c r="B1634" s="1">
        <f>DATE(2013,6,10) + TIME(5,52,41)</f>
        <v>41435.24491898148</v>
      </c>
      <c r="C1634">
        <v>80</v>
      </c>
      <c r="D1634">
        <v>79.962104796999995</v>
      </c>
      <c r="E1634">
        <v>50</v>
      </c>
      <c r="F1634">
        <v>47.450992583999998</v>
      </c>
      <c r="G1634">
        <v>1390.3164062000001</v>
      </c>
      <c r="H1634">
        <v>1374.4232178</v>
      </c>
      <c r="I1634">
        <v>1281.8027344</v>
      </c>
      <c r="J1634">
        <v>1259.6877440999999</v>
      </c>
      <c r="K1634">
        <v>2750</v>
      </c>
      <c r="L1634">
        <v>0</v>
      </c>
      <c r="M1634">
        <v>0</v>
      </c>
      <c r="N1634">
        <v>2750</v>
      </c>
    </row>
    <row r="1635" spans="1:14" x14ac:dyDescent="0.25">
      <c r="A1635">
        <v>1137.0895969999999</v>
      </c>
      <c r="B1635" s="1">
        <f>DATE(2013,6,11) + TIME(2,9,1)</f>
        <v>41436.089594907404</v>
      </c>
      <c r="C1635">
        <v>80</v>
      </c>
      <c r="D1635">
        <v>79.962104796999995</v>
      </c>
      <c r="E1635">
        <v>50</v>
      </c>
      <c r="F1635">
        <v>47.406906128000003</v>
      </c>
      <c r="G1635">
        <v>1390.2543945</v>
      </c>
      <c r="H1635">
        <v>1374.3725586</v>
      </c>
      <c r="I1635">
        <v>1281.7796631000001</v>
      </c>
      <c r="J1635">
        <v>1259.6571045000001</v>
      </c>
      <c r="K1635">
        <v>2750</v>
      </c>
      <c r="L1635">
        <v>0</v>
      </c>
      <c r="M1635">
        <v>0</v>
      </c>
      <c r="N1635">
        <v>2750</v>
      </c>
    </row>
    <row r="1636" spans="1:14" x14ac:dyDescent="0.25">
      <c r="A1636">
        <v>1137.948609</v>
      </c>
      <c r="B1636" s="1">
        <f>DATE(2013,6,11) + TIME(22,45,59)</f>
        <v>41436.948599537034</v>
      </c>
      <c r="C1636">
        <v>80</v>
      </c>
      <c r="D1636">
        <v>79.962097168</v>
      </c>
      <c r="E1636">
        <v>50</v>
      </c>
      <c r="F1636">
        <v>47.362350464000002</v>
      </c>
      <c r="G1636">
        <v>1390.1926269999999</v>
      </c>
      <c r="H1636">
        <v>1374.3218993999999</v>
      </c>
      <c r="I1636">
        <v>1281.7561035000001</v>
      </c>
      <c r="J1636">
        <v>1259.6256103999999</v>
      </c>
      <c r="K1636">
        <v>2750</v>
      </c>
      <c r="L1636">
        <v>0</v>
      </c>
      <c r="M1636">
        <v>0</v>
      </c>
      <c r="N1636">
        <v>2750</v>
      </c>
    </row>
    <row r="1637" spans="1:14" x14ac:dyDescent="0.25">
      <c r="A1637">
        <v>1138.8246409999999</v>
      </c>
      <c r="B1637" s="1">
        <f>DATE(2013,6,12) + TIME(19,47,28)</f>
        <v>41437.824629629627</v>
      </c>
      <c r="C1637">
        <v>80</v>
      </c>
      <c r="D1637">
        <v>79.962097168</v>
      </c>
      <c r="E1637">
        <v>50</v>
      </c>
      <c r="F1637">
        <v>47.317207336000003</v>
      </c>
      <c r="G1637">
        <v>1390.1307373</v>
      </c>
      <c r="H1637">
        <v>1374.2711182</v>
      </c>
      <c r="I1637">
        <v>1281.7318115</v>
      </c>
      <c r="J1637">
        <v>1259.5930175999999</v>
      </c>
      <c r="K1637">
        <v>2750</v>
      </c>
      <c r="L1637">
        <v>0</v>
      </c>
      <c r="M1637">
        <v>0</v>
      </c>
      <c r="N1637">
        <v>2750</v>
      </c>
    </row>
    <row r="1638" spans="1:14" x14ac:dyDescent="0.25">
      <c r="A1638">
        <v>1139.713606</v>
      </c>
      <c r="B1638" s="1">
        <f>DATE(2013,6,13) + TIME(17,7,35)</f>
        <v>41438.713599537034</v>
      </c>
      <c r="C1638">
        <v>80</v>
      </c>
      <c r="D1638">
        <v>79.962097168</v>
      </c>
      <c r="E1638">
        <v>50</v>
      </c>
      <c r="F1638">
        <v>47.271507262999997</v>
      </c>
      <c r="G1638">
        <v>1390.0684814000001</v>
      </c>
      <c r="H1638">
        <v>1374.2200928</v>
      </c>
      <c r="I1638">
        <v>1281.7066649999999</v>
      </c>
      <c r="J1638">
        <v>1259.5594481999999</v>
      </c>
      <c r="K1638">
        <v>2750</v>
      </c>
      <c r="L1638">
        <v>0</v>
      </c>
      <c r="M1638">
        <v>0</v>
      </c>
      <c r="N1638">
        <v>2750</v>
      </c>
    </row>
    <row r="1639" spans="1:14" x14ac:dyDescent="0.25">
      <c r="A1639">
        <v>1140.6182699999999</v>
      </c>
      <c r="B1639" s="1">
        <f>DATE(2013,6,14) + TIME(14,50,18)</f>
        <v>41439.618263888886</v>
      </c>
      <c r="C1639">
        <v>80</v>
      </c>
      <c r="D1639">
        <v>79.962097168</v>
      </c>
      <c r="E1639">
        <v>50</v>
      </c>
      <c r="F1639">
        <v>47.225215912000003</v>
      </c>
      <c r="G1639">
        <v>1390.0063477000001</v>
      </c>
      <c r="H1639">
        <v>1374.1690673999999</v>
      </c>
      <c r="I1639">
        <v>1281.6809082</v>
      </c>
      <c r="J1639">
        <v>1259.5249022999999</v>
      </c>
      <c r="K1639">
        <v>2750</v>
      </c>
      <c r="L1639">
        <v>0</v>
      </c>
      <c r="M1639">
        <v>0</v>
      </c>
      <c r="N1639">
        <v>2750</v>
      </c>
    </row>
    <row r="1640" spans="1:14" x14ac:dyDescent="0.25">
      <c r="A1640">
        <v>1141.5414960000001</v>
      </c>
      <c r="B1640" s="1">
        <f>DATE(2013,6,15) + TIME(12,59,45)</f>
        <v>41440.541493055556</v>
      </c>
      <c r="C1640">
        <v>80</v>
      </c>
      <c r="D1640">
        <v>79.962097168</v>
      </c>
      <c r="E1640">
        <v>50</v>
      </c>
      <c r="F1640">
        <v>47.178234099999997</v>
      </c>
      <c r="G1640">
        <v>1389.9439697</v>
      </c>
      <c r="H1640">
        <v>1374.1177978999999</v>
      </c>
      <c r="I1640">
        <v>1281.6544189000001</v>
      </c>
      <c r="J1640">
        <v>1259.4891356999999</v>
      </c>
      <c r="K1640">
        <v>2750</v>
      </c>
      <c r="L1640">
        <v>0</v>
      </c>
      <c r="M1640">
        <v>0</v>
      </c>
      <c r="N1640">
        <v>2750</v>
      </c>
    </row>
    <row r="1641" spans="1:14" x14ac:dyDescent="0.25">
      <c r="A1641">
        <v>1142.484021</v>
      </c>
      <c r="B1641" s="1">
        <f>DATE(2013,6,16) + TIME(11,36,59)</f>
        <v>41441.484016203707</v>
      </c>
      <c r="C1641">
        <v>80</v>
      </c>
      <c r="D1641">
        <v>79.962097168</v>
      </c>
      <c r="E1641">
        <v>50</v>
      </c>
      <c r="F1641">
        <v>47.130493164000001</v>
      </c>
      <c r="G1641">
        <v>1389.8813477000001</v>
      </c>
      <c r="H1641">
        <v>1374.0661620999999</v>
      </c>
      <c r="I1641">
        <v>1281.6269531</v>
      </c>
      <c r="J1641">
        <v>1259.4520264</v>
      </c>
      <c r="K1641">
        <v>2750</v>
      </c>
      <c r="L1641">
        <v>0</v>
      </c>
      <c r="M1641">
        <v>0</v>
      </c>
      <c r="N1641">
        <v>2750</v>
      </c>
    </row>
    <row r="1642" spans="1:14" x14ac:dyDescent="0.25">
      <c r="A1642">
        <v>1143.444923</v>
      </c>
      <c r="B1642" s="1">
        <f>DATE(2013,6,17) + TIME(10,40,41)</f>
        <v>41442.444918981484</v>
      </c>
      <c r="C1642">
        <v>80</v>
      </c>
      <c r="D1642">
        <v>79.962097168</v>
      </c>
      <c r="E1642">
        <v>50</v>
      </c>
      <c r="F1642">
        <v>47.081977844000001</v>
      </c>
      <c r="G1642">
        <v>1389.8182373</v>
      </c>
      <c r="H1642">
        <v>1374.0142822</v>
      </c>
      <c r="I1642">
        <v>1281.5986327999999</v>
      </c>
      <c r="J1642">
        <v>1259.4135742000001</v>
      </c>
      <c r="K1642">
        <v>2750</v>
      </c>
      <c r="L1642">
        <v>0</v>
      </c>
      <c r="M1642">
        <v>0</v>
      </c>
      <c r="N1642">
        <v>2750</v>
      </c>
    </row>
    <row r="1643" spans="1:14" x14ac:dyDescent="0.25">
      <c r="A1643">
        <v>1144.4108160000001</v>
      </c>
      <c r="B1643" s="1">
        <f>DATE(2013,6,18) + TIME(9,51,34)</f>
        <v>41443.410810185182</v>
      </c>
      <c r="C1643">
        <v>80</v>
      </c>
      <c r="D1643">
        <v>79.962097168</v>
      </c>
      <c r="E1643">
        <v>50</v>
      </c>
      <c r="F1643">
        <v>47.032974242999998</v>
      </c>
      <c r="G1643">
        <v>1389.7550048999999</v>
      </c>
      <c r="H1643">
        <v>1373.9620361</v>
      </c>
      <c r="I1643">
        <v>1281.5693358999999</v>
      </c>
      <c r="J1643">
        <v>1259.3739014</v>
      </c>
      <c r="K1643">
        <v>2750</v>
      </c>
      <c r="L1643">
        <v>0</v>
      </c>
      <c r="M1643">
        <v>0</v>
      </c>
      <c r="N1643">
        <v>2750</v>
      </c>
    </row>
    <row r="1644" spans="1:14" x14ac:dyDescent="0.25">
      <c r="A1644">
        <v>1145.384732</v>
      </c>
      <c r="B1644" s="1">
        <f>DATE(2013,6,19) + TIME(9,14,0)</f>
        <v>41444.384722222225</v>
      </c>
      <c r="C1644">
        <v>80</v>
      </c>
      <c r="D1644">
        <v>79.962097168</v>
      </c>
      <c r="E1644">
        <v>50</v>
      </c>
      <c r="F1644">
        <v>46.983631133999999</v>
      </c>
      <c r="G1644">
        <v>1389.6922606999999</v>
      </c>
      <c r="H1644">
        <v>1373.9101562000001</v>
      </c>
      <c r="I1644">
        <v>1281.5394286999999</v>
      </c>
      <c r="J1644">
        <v>1259.3331298999999</v>
      </c>
      <c r="K1644">
        <v>2750</v>
      </c>
      <c r="L1644">
        <v>0</v>
      </c>
      <c r="M1644">
        <v>0</v>
      </c>
      <c r="N1644">
        <v>2750</v>
      </c>
    </row>
    <row r="1645" spans="1:14" x14ac:dyDescent="0.25">
      <c r="A1645">
        <v>1146.3639599999999</v>
      </c>
      <c r="B1645" s="1">
        <f>DATE(2013,6,20) + TIME(8,44,6)</f>
        <v>41445.363958333335</v>
      </c>
      <c r="C1645">
        <v>80</v>
      </c>
      <c r="D1645">
        <v>79.962097168</v>
      </c>
      <c r="E1645">
        <v>50</v>
      </c>
      <c r="F1645">
        <v>46.934047698999997</v>
      </c>
      <c r="G1645">
        <v>1389.6298827999999</v>
      </c>
      <c r="H1645">
        <v>1373.8586425999999</v>
      </c>
      <c r="I1645">
        <v>1281.5089111</v>
      </c>
      <c r="J1645">
        <v>1259.2913818</v>
      </c>
      <c r="K1645">
        <v>2750</v>
      </c>
      <c r="L1645">
        <v>0</v>
      </c>
      <c r="M1645">
        <v>0</v>
      </c>
      <c r="N1645">
        <v>2750</v>
      </c>
    </row>
    <row r="1646" spans="1:14" x14ac:dyDescent="0.25">
      <c r="A1646">
        <v>1147.3513049999999</v>
      </c>
      <c r="B1646" s="1">
        <f>DATE(2013,6,21) + TIME(8,25,52)</f>
        <v>41446.3512962963</v>
      </c>
      <c r="C1646">
        <v>80</v>
      </c>
      <c r="D1646">
        <v>79.962097168</v>
      </c>
      <c r="E1646">
        <v>50</v>
      </c>
      <c r="F1646">
        <v>46.884216309000003</v>
      </c>
      <c r="G1646">
        <v>1389.5681152</v>
      </c>
      <c r="H1646">
        <v>1373.8074951000001</v>
      </c>
      <c r="I1646">
        <v>1281.4777832</v>
      </c>
      <c r="J1646">
        <v>1259.2486572</v>
      </c>
      <c r="K1646">
        <v>2750</v>
      </c>
      <c r="L1646">
        <v>0</v>
      </c>
      <c r="M1646">
        <v>0</v>
      </c>
      <c r="N1646">
        <v>2750</v>
      </c>
    </row>
    <row r="1647" spans="1:14" x14ac:dyDescent="0.25">
      <c r="A1647">
        <v>1148.3495949999999</v>
      </c>
      <c r="B1647" s="1">
        <f>DATE(2013,6,22) + TIME(8,23,25)</f>
        <v>41447.349594907406</v>
      </c>
      <c r="C1647">
        <v>80</v>
      </c>
      <c r="D1647">
        <v>79.962104796999995</v>
      </c>
      <c r="E1647">
        <v>50</v>
      </c>
      <c r="F1647">
        <v>46.834056854000004</v>
      </c>
      <c r="G1647">
        <v>1389.5065918</v>
      </c>
      <c r="H1647">
        <v>1373.7564697</v>
      </c>
      <c r="I1647">
        <v>1281.4459228999999</v>
      </c>
      <c r="J1647">
        <v>1259.2048339999999</v>
      </c>
      <c r="K1647">
        <v>2750</v>
      </c>
      <c r="L1647">
        <v>0</v>
      </c>
      <c r="M1647">
        <v>0</v>
      </c>
      <c r="N1647">
        <v>2750</v>
      </c>
    </row>
    <row r="1648" spans="1:14" x14ac:dyDescent="0.25">
      <c r="A1648">
        <v>1149.3617469999999</v>
      </c>
      <c r="B1648" s="1">
        <f>DATE(2013,6,23) + TIME(8,40,54)</f>
        <v>41448.36173611111</v>
      </c>
      <c r="C1648">
        <v>80</v>
      </c>
      <c r="D1648">
        <v>79.962104796999995</v>
      </c>
      <c r="E1648">
        <v>50</v>
      </c>
      <c r="F1648">
        <v>46.783443450999997</v>
      </c>
      <c r="G1648">
        <v>1389.4454346</v>
      </c>
      <c r="H1648">
        <v>1373.7056885</v>
      </c>
      <c r="I1648">
        <v>1281.4132079999999</v>
      </c>
      <c r="J1648">
        <v>1259.159668</v>
      </c>
      <c r="K1648">
        <v>2750</v>
      </c>
      <c r="L1648">
        <v>0</v>
      </c>
      <c r="M1648">
        <v>0</v>
      </c>
      <c r="N1648">
        <v>2750</v>
      </c>
    </row>
    <row r="1649" spans="1:14" x14ac:dyDescent="0.25">
      <c r="A1649">
        <v>1150.390819</v>
      </c>
      <c r="B1649" s="1">
        <f>DATE(2013,6,24) + TIME(9,22,46)</f>
        <v>41449.390810185185</v>
      </c>
      <c r="C1649">
        <v>80</v>
      </c>
      <c r="D1649">
        <v>79.962112426999994</v>
      </c>
      <c r="E1649">
        <v>50</v>
      </c>
      <c r="F1649">
        <v>46.732234955000003</v>
      </c>
      <c r="G1649">
        <v>1389.3841553</v>
      </c>
      <c r="H1649">
        <v>1373.6547852000001</v>
      </c>
      <c r="I1649">
        <v>1281.3796387</v>
      </c>
      <c r="J1649">
        <v>1259.1131591999999</v>
      </c>
      <c r="K1649">
        <v>2750</v>
      </c>
      <c r="L1649">
        <v>0</v>
      </c>
      <c r="M1649">
        <v>0</v>
      </c>
      <c r="N1649">
        <v>2750</v>
      </c>
    </row>
    <row r="1650" spans="1:14" x14ac:dyDescent="0.25">
      <c r="A1650">
        <v>1151.440059</v>
      </c>
      <c r="B1650" s="1">
        <f>DATE(2013,6,25) + TIME(10,33,41)</f>
        <v>41450.440057870372</v>
      </c>
      <c r="C1650">
        <v>80</v>
      </c>
      <c r="D1650">
        <v>79.962112426999994</v>
      </c>
      <c r="E1650">
        <v>50</v>
      </c>
      <c r="F1650">
        <v>46.680274963000002</v>
      </c>
      <c r="G1650">
        <v>1389.3226318</v>
      </c>
      <c r="H1650">
        <v>1373.6036377</v>
      </c>
      <c r="I1650">
        <v>1281.3449707</v>
      </c>
      <c r="J1650">
        <v>1259.0649414</v>
      </c>
      <c r="K1650">
        <v>2750</v>
      </c>
      <c r="L1650">
        <v>0</v>
      </c>
      <c r="M1650">
        <v>0</v>
      </c>
      <c r="N1650">
        <v>2750</v>
      </c>
    </row>
    <row r="1651" spans="1:14" x14ac:dyDescent="0.25">
      <c r="A1651">
        <v>1152.512988</v>
      </c>
      <c r="B1651" s="1">
        <f>DATE(2013,6,26) + TIME(12,18,42)</f>
        <v>41451.512986111113</v>
      </c>
      <c r="C1651">
        <v>80</v>
      </c>
      <c r="D1651">
        <v>79.962120056000003</v>
      </c>
      <c r="E1651">
        <v>50</v>
      </c>
      <c r="F1651">
        <v>46.627399445000002</v>
      </c>
      <c r="G1651">
        <v>1389.2608643000001</v>
      </c>
      <c r="H1651">
        <v>1373.5522461</v>
      </c>
      <c r="I1651">
        <v>1281.3092041</v>
      </c>
      <c r="J1651">
        <v>1259.0147704999999</v>
      </c>
      <c r="K1651">
        <v>2750</v>
      </c>
      <c r="L1651">
        <v>0</v>
      </c>
      <c r="M1651">
        <v>0</v>
      </c>
      <c r="N1651">
        <v>2750</v>
      </c>
    </row>
    <row r="1652" spans="1:14" x14ac:dyDescent="0.25">
      <c r="A1652">
        <v>1153.6142130000001</v>
      </c>
      <c r="B1652" s="1">
        <f>DATE(2013,6,27) + TIME(14,44,27)</f>
        <v>41452.614201388889</v>
      </c>
      <c r="C1652">
        <v>80</v>
      </c>
      <c r="D1652">
        <v>79.962120056000003</v>
      </c>
      <c r="E1652">
        <v>50</v>
      </c>
      <c r="F1652">
        <v>46.573413848999998</v>
      </c>
      <c r="G1652">
        <v>1389.1986084</v>
      </c>
      <c r="H1652">
        <v>1373.5002440999999</v>
      </c>
      <c r="I1652">
        <v>1281.2719727000001</v>
      </c>
      <c r="J1652">
        <v>1258.9626464999999</v>
      </c>
      <c r="K1652">
        <v>2750</v>
      </c>
      <c r="L1652">
        <v>0</v>
      </c>
      <c r="M1652">
        <v>0</v>
      </c>
      <c r="N1652">
        <v>2750</v>
      </c>
    </row>
    <row r="1653" spans="1:14" x14ac:dyDescent="0.25">
      <c r="A1653">
        <v>1154.7253430000001</v>
      </c>
      <c r="B1653" s="1">
        <f>DATE(2013,6,28) + TIME(17,24,29)</f>
        <v>41453.725335648145</v>
      </c>
      <c r="C1653">
        <v>80</v>
      </c>
      <c r="D1653">
        <v>79.962127686000002</v>
      </c>
      <c r="E1653">
        <v>50</v>
      </c>
      <c r="F1653">
        <v>46.518558501999998</v>
      </c>
      <c r="G1653">
        <v>1389.1354980000001</v>
      </c>
      <c r="H1653">
        <v>1373.4475098</v>
      </c>
      <c r="I1653">
        <v>1281.2330322</v>
      </c>
      <c r="J1653">
        <v>1258.9082031</v>
      </c>
      <c r="K1653">
        <v>2750</v>
      </c>
      <c r="L1653">
        <v>0</v>
      </c>
      <c r="M1653">
        <v>0</v>
      </c>
      <c r="N1653">
        <v>2750</v>
      </c>
    </row>
    <row r="1654" spans="1:14" x14ac:dyDescent="0.25">
      <c r="A1654">
        <v>1155.838757</v>
      </c>
      <c r="B1654" s="1">
        <f>DATE(2013,6,29) + TIME(20,7,48)</f>
        <v>41454.838750000003</v>
      </c>
      <c r="C1654">
        <v>80</v>
      </c>
      <c r="D1654">
        <v>79.962135314999998</v>
      </c>
      <c r="E1654">
        <v>50</v>
      </c>
      <c r="F1654">
        <v>46.463249206999997</v>
      </c>
      <c r="G1654">
        <v>1389.0727539</v>
      </c>
      <c r="H1654">
        <v>1373.3950195</v>
      </c>
      <c r="I1654">
        <v>1281.1932373</v>
      </c>
      <c r="J1654">
        <v>1258.8520507999999</v>
      </c>
      <c r="K1654">
        <v>2750</v>
      </c>
      <c r="L1654">
        <v>0</v>
      </c>
      <c r="M1654">
        <v>0</v>
      </c>
      <c r="N1654">
        <v>2750</v>
      </c>
    </row>
    <row r="1655" spans="1:14" x14ac:dyDescent="0.25">
      <c r="A1655">
        <v>1156.4193789999999</v>
      </c>
      <c r="B1655" s="1">
        <f>DATE(2013,6,30) + TIME(10,3,54)</f>
        <v>41455.419374999998</v>
      </c>
      <c r="C1655">
        <v>80</v>
      </c>
      <c r="D1655">
        <v>79.962127686000002</v>
      </c>
      <c r="E1655">
        <v>50</v>
      </c>
      <c r="F1655">
        <v>46.422859191999997</v>
      </c>
      <c r="G1655">
        <v>1389.0106201000001</v>
      </c>
      <c r="H1655">
        <v>1373.3431396000001</v>
      </c>
      <c r="I1655">
        <v>1281.1519774999999</v>
      </c>
      <c r="J1655">
        <v>1258.7985839999999</v>
      </c>
      <c r="K1655">
        <v>2750</v>
      </c>
      <c r="L1655">
        <v>0</v>
      </c>
      <c r="M1655">
        <v>0</v>
      </c>
      <c r="N1655">
        <v>2750</v>
      </c>
    </row>
    <row r="1656" spans="1:14" x14ac:dyDescent="0.25">
      <c r="A1656">
        <v>1157</v>
      </c>
      <c r="B1656" s="1">
        <f>DATE(2013,7,1) + TIME(0,0,0)</f>
        <v>41456</v>
      </c>
      <c r="C1656">
        <v>80</v>
      </c>
      <c r="D1656">
        <v>79.962135314999998</v>
      </c>
      <c r="E1656">
        <v>50</v>
      </c>
      <c r="F1656">
        <v>46.387390136999997</v>
      </c>
      <c r="G1656">
        <v>1388.9781493999999</v>
      </c>
      <c r="H1656">
        <v>1373.3157959</v>
      </c>
      <c r="I1656">
        <v>1281.130249</v>
      </c>
      <c r="J1656">
        <v>1258.765625</v>
      </c>
      <c r="K1656">
        <v>2750</v>
      </c>
      <c r="L1656">
        <v>0</v>
      </c>
      <c r="M1656">
        <v>0</v>
      </c>
      <c r="N1656">
        <v>2750</v>
      </c>
    </row>
    <row r="1657" spans="1:14" x14ac:dyDescent="0.25">
      <c r="A1657">
        <v>1157.5797399999999</v>
      </c>
      <c r="B1657" s="1">
        <f>DATE(2013,7,1) + TIME(13,54,49)</f>
        <v>41456.579733796294</v>
      </c>
      <c r="C1657">
        <v>80</v>
      </c>
      <c r="D1657">
        <v>79.962135314999998</v>
      </c>
      <c r="E1657">
        <v>50</v>
      </c>
      <c r="F1657">
        <v>46.354743958</v>
      </c>
      <c r="G1657">
        <v>1388.9462891000001</v>
      </c>
      <c r="H1657">
        <v>1373.2890625</v>
      </c>
      <c r="I1657">
        <v>1281.1085204999999</v>
      </c>
      <c r="J1657">
        <v>1258.7335204999999</v>
      </c>
      <c r="K1657">
        <v>2750</v>
      </c>
      <c r="L1657">
        <v>0</v>
      </c>
      <c r="M1657">
        <v>0</v>
      </c>
      <c r="N1657">
        <v>2750</v>
      </c>
    </row>
    <row r="1658" spans="1:14" x14ac:dyDescent="0.25">
      <c r="A1658">
        <v>1158.15948</v>
      </c>
      <c r="B1658" s="1">
        <f>DATE(2013,7,2) + TIME(3,49,39)</f>
        <v>41457.159479166665</v>
      </c>
      <c r="C1658">
        <v>80</v>
      </c>
      <c r="D1658">
        <v>79.962135314999998</v>
      </c>
      <c r="E1658">
        <v>50</v>
      </c>
      <c r="F1658">
        <v>46.323688507</v>
      </c>
      <c r="G1658">
        <v>1388.9147949000001</v>
      </c>
      <c r="H1658">
        <v>1373.2625731999999</v>
      </c>
      <c r="I1658">
        <v>1281.0867920000001</v>
      </c>
      <c r="J1658">
        <v>1258.7016602000001</v>
      </c>
      <c r="K1658">
        <v>2750</v>
      </c>
      <c r="L1658">
        <v>0</v>
      </c>
      <c r="M1658">
        <v>0</v>
      </c>
      <c r="N1658">
        <v>2750</v>
      </c>
    </row>
    <row r="1659" spans="1:14" x14ac:dyDescent="0.25">
      <c r="A1659">
        <v>1158.7392199999999</v>
      </c>
      <c r="B1659" s="1">
        <f>DATE(2013,7,2) + TIME(17,44,28)</f>
        <v>41457.739212962966</v>
      </c>
      <c r="C1659">
        <v>80</v>
      </c>
      <c r="D1659">
        <v>79.962142943999993</v>
      </c>
      <c r="E1659">
        <v>50</v>
      </c>
      <c r="F1659">
        <v>46.293548584</v>
      </c>
      <c r="G1659">
        <v>1388.8834228999999</v>
      </c>
      <c r="H1659">
        <v>1373.2363281</v>
      </c>
      <c r="I1659">
        <v>1281.0648193</v>
      </c>
      <c r="J1659">
        <v>1258.6699219</v>
      </c>
      <c r="K1659">
        <v>2750</v>
      </c>
      <c r="L1659">
        <v>0</v>
      </c>
      <c r="M1659">
        <v>0</v>
      </c>
      <c r="N1659">
        <v>2750</v>
      </c>
    </row>
    <row r="1660" spans="1:14" x14ac:dyDescent="0.25">
      <c r="A1660">
        <v>1159.3189600000001</v>
      </c>
      <c r="B1660" s="1">
        <f>DATE(2013,7,3) + TIME(7,39,18)</f>
        <v>41458.318958333337</v>
      </c>
      <c r="C1660">
        <v>80</v>
      </c>
      <c r="D1660">
        <v>79.962142943999993</v>
      </c>
      <c r="E1660">
        <v>50</v>
      </c>
      <c r="F1660">
        <v>46.263923644999998</v>
      </c>
      <c r="G1660">
        <v>1388.8522949000001</v>
      </c>
      <c r="H1660">
        <v>1373.2100829999999</v>
      </c>
      <c r="I1660">
        <v>1281.0426024999999</v>
      </c>
      <c r="J1660">
        <v>1258.6379394999999</v>
      </c>
      <c r="K1660">
        <v>2750</v>
      </c>
      <c r="L1660">
        <v>0</v>
      </c>
      <c r="M1660">
        <v>0</v>
      </c>
      <c r="N1660">
        <v>2750</v>
      </c>
    </row>
    <row r="1661" spans="1:14" x14ac:dyDescent="0.25">
      <c r="A1661">
        <v>1160.4784400000001</v>
      </c>
      <c r="B1661" s="1">
        <f>DATE(2013,7,4) + TIME(11,28,57)</f>
        <v>41459.478437500002</v>
      </c>
      <c r="C1661">
        <v>80</v>
      </c>
      <c r="D1661">
        <v>79.962158203000001</v>
      </c>
      <c r="E1661">
        <v>50</v>
      </c>
      <c r="F1661">
        <v>46.222930908000002</v>
      </c>
      <c r="G1661">
        <v>1388.8216553</v>
      </c>
      <c r="H1661">
        <v>1373.1843262</v>
      </c>
      <c r="I1661">
        <v>1281.0207519999999</v>
      </c>
      <c r="J1661">
        <v>1258.6025391000001</v>
      </c>
      <c r="K1661">
        <v>2750</v>
      </c>
      <c r="L1661">
        <v>0</v>
      </c>
      <c r="M1661">
        <v>0</v>
      </c>
      <c r="N1661">
        <v>2750</v>
      </c>
    </row>
    <row r="1662" spans="1:14" x14ac:dyDescent="0.25">
      <c r="A1662">
        <v>1161.642611</v>
      </c>
      <c r="B1662" s="1">
        <f>DATE(2013,7,5) + TIME(15,25,21)</f>
        <v>41460.642604166664</v>
      </c>
      <c r="C1662">
        <v>80</v>
      </c>
      <c r="D1662">
        <v>79.962173461999996</v>
      </c>
      <c r="E1662">
        <v>50</v>
      </c>
      <c r="F1662">
        <v>46.171756744</v>
      </c>
      <c r="G1662">
        <v>1388.7604980000001</v>
      </c>
      <c r="H1662">
        <v>1373.1329346</v>
      </c>
      <c r="I1662">
        <v>1280.9760742000001</v>
      </c>
      <c r="J1662">
        <v>1258.5406493999999</v>
      </c>
      <c r="K1662">
        <v>2750</v>
      </c>
      <c r="L1662">
        <v>0</v>
      </c>
      <c r="M1662">
        <v>0</v>
      </c>
      <c r="N1662">
        <v>2750</v>
      </c>
    </row>
    <row r="1663" spans="1:14" x14ac:dyDescent="0.25">
      <c r="A1663">
        <v>1162.8304800000001</v>
      </c>
      <c r="B1663" s="1">
        <f>DATE(2013,7,6) + TIME(19,55,53)</f>
        <v>41461.830474537041</v>
      </c>
      <c r="C1663">
        <v>80</v>
      </c>
      <c r="D1663">
        <v>79.962181091000005</v>
      </c>
      <c r="E1663">
        <v>50</v>
      </c>
      <c r="F1663">
        <v>46.116058350000003</v>
      </c>
      <c r="G1663">
        <v>1388.699707</v>
      </c>
      <c r="H1663">
        <v>1373.0816649999999</v>
      </c>
      <c r="I1663">
        <v>1280.9302978999999</v>
      </c>
      <c r="J1663">
        <v>1258.4752197</v>
      </c>
      <c r="K1663">
        <v>2750</v>
      </c>
      <c r="L1663">
        <v>0</v>
      </c>
      <c r="M1663">
        <v>0</v>
      </c>
      <c r="N1663">
        <v>2750</v>
      </c>
    </row>
    <row r="1664" spans="1:14" x14ac:dyDescent="0.25">
      <c r="A1664">
        <v>1164.0457060000001</v>
      </c>
      <c r="B1664" s="1">
        <f>DATE(2013,7,8) + TIME(1,5,48)</f>
        <v>41463.045694444445</v>
      </c>
      <c r="C1664">
        <v>80</v>
      </c>
      <c r="D1664">
        <v>79.962188721000004</v>
      </c>
      <c r="E1664">
        <v>50</v>
      </c>
      <c r="F1664">
        <v>46.057773589999996</v>
      </c>
      <c r="G1664">
        <v>1388.6384277</v>
      </c>
      <c r="H1664">
        <v>1373.0300293</v>
      </c>
      <c r="I1664">
        <v>1280.8826904</v>
      </c>
      <c r="J1664">
        <v>1258.4066161999999</v>
      </c>
      <c r="K1664">
        <v>2750</v>
      </c>
      <c r="L1664">
        <v>0</v>
      </c>
      <c r="M1664">
        <v>0</v>
      </c>
      <c r="N1664">
        <v>2750</v>
      </c>
    </row>
    <row r="1665" spans="1:14" x14ac:dyDescent="0.25">
      <c r="A1665">
        <v>1165.2926669999999</v>
      </c>
      <c r="B1665" s="1">
        <f>DATE(2013,7,9) + TIME(7,1,26)</f>
        <v>41464.292662037034</v>
      </c>
      <c r="C1665">
        <v>80</v>
      </c>
      <c r="D1665">
        <v>79.962203978999995</v>
      </c>
      <c r="E1665">
        <v>50</v>
      </c>
      <c r="F1665">
        <v>45.997566223</v>
      </c>
      <c r="G1665">
        <v>1388.5765381000001</v>
      </c>
      <c r="H1665">
        <v>1372.9777832</v>
      </c>
      <c r="I1665">
        <v>1280.8332519999999</v>
      </c>
      <c r="J1665">
        <v>1258.3348389</v>
      </c>
      <c r="K1665">
        <v>2750</v>
      </c>
      <c r="L1665">
        <v>0</v>
      </c>
      <c r="M1665">
        <v>0</v>
      </c>
      <c r="N1665">
        <v>2750</v>
      </c>
    </row>
    <row r="1666" spans="1:14" x14ac:dyDescent="0.25">
      <c r="A1666">
        <v>1166.5620610000001</v>
      </c>
      <c r="B1666" s="1">
        <f>DATE(2013,7,10) + TIME(13,29,22)</f>
        <v>41465.562060185184</v>
      </c>
      <c r="C1666">
        <v>80</v>
      </c>
      <c r="D1666">
        <v>79.962211608999993</v>
      </c>
      <c r="E1666">
        <v>50</v>
      </c>
      <c r="F1666">
        <v>45.935817718999999</v>
      </c>
      <c r="G1666">
        <v>1388.5137939000001</v>
      </c>
      <c r="H1666">
        <v>1372.9246826000001</v>
      </c>
      <c r="I1666">
        <v>1280.7816161999999</v>
      </c>
      <c r="J1666">
        <v>1258.2597656</v>
      </c>
      <c r="K1666">
        <v>2750</v>
      </c>
      <c r="L1666">
        <v>0</v>
      </c>
      <c r="M1666">
        <v>0</v>
      </c>
      <c r="N1666">
        <v>2750</v>
      </c>
    </row>
    <row r="1667" spans="1:14" x14ac:dyDescent="0.25">
      <c r="A1667">
        <v>1167.8428240000001</v>
      </c>
      <c r="B1667" s="1">
        <f>DATE(2013,7,11) + TIME(20,13,40)</f>
        <v>41466.842824074076</v>
      </c>
      <c r="C1667">
        <v>80</v>
      </c>
      <c r="D1667">
        <v>79.962226868000002</v>
      </c>
      <c r="E1667">
        <v>50</v>
      </c>
      <c r="F1667">
        <v>45.872985839999998</v>
      </c>
      <c r="G1667">
        <v>1388.4508057</v>
      </c>
      <c r="H1667">
        <v>1372.8713379000001</v>
      </c>
      <c r="I1667">
        <v>1280.7282714999999</v>
      </c>
      <c r="J1667">
        <v>1258.1816406</v>
      </c>
      <c r="K1667">
        <v>2750</v>
      </c>
      <c r="L1667">
        <v>0</v>
      </c>
      <c r="M1667">
        <v>0</v>
      </c>
      <c r="N1667">
        <v>2750</v>
      </c>
    </row>
    <row r="1668" spans="1:14" x14ac:dyDescent="0.25">
      <c r="A1668">
        <v>1169.128837</v>
      </c>
      <c r="B1668" s="1">
        <f>DATE(2013,7,13) + TIME(3,5,31)</f>
        <v>41468.128831018519</v>
      </c>
      <c r="C1668">
        <v>80</v>
      </c>
      <c r="D1668">
        <v>79.962234496999997</v>
      </c>
      <c r="E1668">
        <v>50</v>
      </c>
      <c r="F1668">
        <v>45.809505463000001</v>
      </c>
      <c r="G1668">
        <v>1388.3879394999999</v>
      </c>
      <c r="H1668">
        <v>1372.8179932</v>
      </c>
      <c r="I1668">
        <v>1280.6735839999999</v>
      </c>
      <c r="J1668">
        <v>1258.1013184000001</v>
      </c>
      <c r="K1668">
        <v>2750</v>
      </c>
      <c r="L1668">
        <v>0</v>
      </c>
      <c r="M1668">
        <v>0</v>
      </c>
      <c r="N1668">
        <v>2750</v>
      </c>
    </row>
    <row r="1669" spans="1:14" x14ac:dyDescent="0.25">
      <c r="A1669">
        <v>1170.4240990000001</v>
      </c>
      <c r="B1669" s="1">
        <f>DATE(2013,7,14) + TIME(10,10,42)</f>
        <v>41469.424097222225</v>
      </c>
      <c r="C1669">
        <v>80</v>
      </c>
      <c r="D1669">
        <v>79.962249756000006</v>
      </c>
      <c r="E1669">
        <v>50</v>
      </c>
      <c r="F1669">
        <v>45.745529175000001</v>
      </c>
      <c r="G1669">
        <v>1388.3256836</v>
      </c>
      <c r="H1669">
        <v>1372.7651367000001</v>
      </c>
      <c r="I1669">
        <v>1280.6177978999999</v>
      </c>
      <c r="J1669">
        <v>1258.0189209</v>
      </c>
      <c r="K1669">
        <v>2750</v>
      </c>
      <c r="L1669">
        <v>0</v>
      </c>
      <c r="M1669">
        <v>0</v>
      </c>
      <c r="N1669">
        <v>2750</v>
      </c>
    </row>
    <row r="1670" spans="1:14" x14ac:dyDescent="0.25">
      <c r="A1670">
        <v>1171.732606</v>
      </c>
      <c r="B1670" s="1">
        <f>DATE(2013,7,15) + TIME(17,34,57)</f>
        <v>41470.732604166667</v>
      </c>
      <c r="C1670">
        <v>80</v>
      </c>
      <c r="D1670">
        <v>79.962257385000001</v>
      </c>
      <c r="E1670">
        <v>50</v>
      </c>
      <c r="F1670">
        <v>45.680999755999999</v>
      </c>
      <c r="G1670">
        <v>1388.2636719</v>
      </c>
      <c r="H1670">
        <v>1372.7124022999999</v>
      </c>
      <c r="I1670">
        <v>1280.5606689000001</v>
      </c>
      <c r="J1670">
        <v>1257.9342041</v>
      </c>
      <c r="K1670">
        <v>2750</v>
      </c>
      <c r="L1670">
        <v>0</v>
      </c>
      <c r="M1670">
        <v>0</v>
      </c>
      <c r="N1670">
        <v>2750</v>
      </c>
    </row>
    <row r="1671" spans="1:14" x14ac:dyDescent="0.25">
      <c r="A1671">
        <v>1173.058466</v>
      </c>
      <c r="B1671" s="1">
        <f>DATE(2013,7,17) + TIME(1,24,11)</f>
        <v>41472.05846064815</v>
      </c>
      <c r="C1671">
        <v>80</v>
      </c>
      <c r="D1671">
        <v>79.962272643999995</v>
      </c>
      <c r="E1671">
        <v>50</v>
      </c>
      <c r="F1671">
        <v>45.615768433</v>
      </c>
      <c r="G1671">
        <v>1388.2017822</v>
      </c>
      <c r="H1671">
        <v>1372.659668</v>
      </c>
      <c r="I1671">
        <v>1280.5021973</v>
      </c>
      <c r="J1671">
        <v>1257.8470459</v>
      </c>
      <c r="K1671">
        <v>2750</v>
      </c>
      <c r="L1671">
        <v>0</v>
      </c>
      <c r="M1671">
        <v>0</v>
      </c>
      <c r="N1671">
        <v>2750</v>
      </c>
    </row>
    <row r="1672" spans="1:14" x14ac:dyDescent="0.25">
      <c r="A1672">
        <v>1174.4041999999999</v>
      </c>
      <c r="B1672" s="1">
        <f>DATE(2013,7,18) + TIME(9,42,2)</f>
        <v>41473.404189814813</v>
      </c>
      <c r="C1672">
        <v>80</v>
      </c>
      <c r="D1672">
        <v>79.962287903000004</v>
      </c>
      <c r="E1672">
        <v>50</v>
      </c>
      <c r="F1672">
        <v>45.549678802000003</v>
      </c>
      <c r="G1672">
        <v>1388.1398925999999</v>
      </c>
      <c r="H1672">
        <v>1372.6068115</v>
      </c>
      <c r="I1672">
        <v>1280.4420166</v>
      </c>
      <c r="J1672">
        <v>1257.7572021000001</v>
      </c>
      <c r="K1672">
        <v>2750</v>
      </c>
      <c r="L1672">
        <v>0</v>
      </c>
      <c r="M1672">
        <v>0</v>
      </c>
      <c r="N1672">
        <v>2750</v>
      </c>
    </row>
    <row r="1673" spans="1:14" x14ac:dyDescent="0.25">
      <c r="A1673">
        <v>1175.764987</v>
      </c>
      <c r="B1673" s="1">
        <f>DATE(2013,7,19) + TIME(18,21,34)</f>
        <v>41474.764976851853</v>
      </c>
      <c r="C1673">
        <v>80</v>
      </c>
      <c r="D1673">
        <v>79.962303161999998</v>
      </c>
      <c r="E1673">
        <v>50</v>
      </c>
      <c r="F1673">
        <v>45.482727050999998</v>
      </c>
      <c r="G1673">
        <v>1388.0777588000001</v>
      </c>
      <c r="H1673">
        <v>1372.5537108999999</v>
      </c>
      <c r="I1673">
        <v>1280.3800048999999</v>
      </c>
      <c r="J1673">
        <v>1257.6641846</v>
      </c>
      <c r="K1673">
        <v>2750</v>
      </c>
      <c r="L1673">
        <v>0</v>
      </c>
      <c r="M1673">
        <v>0</v>
      </c>
      <c r="N1673">
        <v>2750</v>
      </c>
    </row>
    <row r="1674" spans="1:14" x14ac:dyDescent="0.25">
      <c r="A1674">
        <v>1177.1447889999999</v>
      </c>
      <c r="B1674" s="1">
        <f>DATE(2013,7,21) + TIME(3,28,29)</f>
        <v>41476.144780092596</v>
      </c>
      <c r="C1674">
        <v>80</v>
      </c>
      <c r="D1674">
        <v>79.962318420000003</v>
      </c>
      <c r="E1674">
        <v>50</v>
      </c>
      <c r="F1674">
        <v>45.414913177000003</v>
      </c>
      <c r="G1674">
        <v>1388.015625</v>
      </c>
      <c r="H1674">
        <v>1372.5006103999999</v>
      </c>
      <c r="I1674">
        <v>1280.3164062000001</v>
      </c>
      <c r="J1674">
        <v>1257.5684814000001</v>
      </c>
      <c r="K1674">
        <v>2750</v>
      </c>
      <c r="L1674">
        <v>0</v>
      </c>
      <c r="M1674">
        <v>0</v>
      </c>
      <c r="N1674">
        <v>2750</v>
      </c>
    </row>
    <row r="1675" spans="1:14" x14ac:dyDescent="0.25">
      <c r="A1675">
        <v>1178.5477100000001</v>
      </c>
      <c r="B1675" s="1">
        <f>DATE(2013,7,22) + TIME(13,8,42)</f>
        <v>41477.547708333332</v>
      </c>
      <c r="C1675">
        <v>80</v>
      </c>
      <c r="D1675">
        <v>79.962333678999997</v>
      </c>
      <c r="E1675">
        <v>50</v>
      </c>
      <c r="F1675">
        <v>45.346115112</v>
      </c>
      <c r="G1675">
        <v>1387.9533690999999</v>
      </c>
      <c r="H1675">
        <v>1372.4473877</v>
      </c>
      <c r="I1675">
        <v>1280.2509766000001</v>
      </c>
      <c r="J1675">
        <v>1257.4696045000001</v>
      </c>
      <c r="K1675">
        <v>2750</v>
      </c>
      <c r="L1675">
        <v>0</v>
      </c>
      <c r="M1675">
        <v>0</v>
      </c>
      <c r="N1675">
        <v>2750</v>
      </c>
    </row>
    <row r="1676" spans="1:14" x14ac:dyDescent="0.25">
      <c r="A1676">
        <v>1179.978159</v>
      </c>
      <c r="B1676" s="1">
        <f>DATE(2013,7,23) + TIME(23,28,32)</f>
        <v>41478.978148148148</v>
      </c>
      <c r="C1676">
        <v>80</v>
      </c>
      <c r="D1676">
        <v>79.962348938000005</v>
      </c>
      <c r="E1676">
        <v>50</v>
      </c>
      <c r="F1676">
        <v>45.276157378999997</v>
      </c>
      <c r="G1676">
        <v>1387.8907471</v>
      </c>
      <c r="H1676">
        <v>1372.3936768000001</v>
      </c>
      <c r="I1676">
        <v>1280.1835937999999</v>
      </c>
      <c r="J1676">
        <v>1257.3674315999999</v>
      </c>
      <c r="K1676">
        <v>2750</v>
      </c>
      <c r="L1676">
        <v>0</v>
      </c>
      <c r="M1676">
        <v>0</v>
      </c>
      <c r="N1676">
        <v>2750</v>
      </c>
    </row>
    <row r="1677" spans="1:14" x14ac:dyDescent="0.25">
      <c r="A1677">
        <v>1181.4274780000001</v>
      </c>
      <c r="B1677" s="1">
        <f>DATE(2013,7,25) + TIME(10,15,34)</f>
        <v>41480.427476851852</v>
      </c>
      <c r="C1677">
        <v>80</v>
      </c>
      <c r="D1677">
        <v>79.962364196999999</v>
      </c>
      <c r="E1677">
        <v>50</v>
      </c>
      <c r="F1677">
        <v>45.205070495999998</v>
      </c>
      <c r="G1677">
        <v>1387.8277588000001</v>
      </c>
      <c r="H1677">
        <v>1372.3395995999999</v>
      </c>
      <c r="I1677">
        <v>1280.1140137</v>
      </c>
      <c r="J1677">
        <v>1257.2614745999999</v>
      </c>
      <c r="K1677">
        <v>2750</v>
      </c>
      <c r="L1677">
        <v>0</v>
      </c>
      <c r="M1677">
        <v>0</v>
      </c>
      <c r="N1677">
        <v>2750</v>
      </c>
    </row>
    <row r="1678" spans="1:14" x14ac:dyDescent="0.25">
      <c r="A1678">
        <v>1182.8859990000001</v>
      </c>
      <c r="B1678" s="1">
        <f>DATE(2013,7,26) + TIME(21,15,50)</f>
        <v>41481.885995370372</v>
      </c>
      <c r="C1678">
        <v>80</v>
      </c>
      <c r="D1678">
        <v>79.962379455999994</v>
      </c>
      <c r="E1678">
        <v>50</v>
      </c>
      <c r="F1678">
        <v>45.133178710999999</v>
      </c>
      <c r="G1678">
        <v>1387.7645264</v>
      </c>
      <c r="H1678">
        <v>1372.2852783000001</v>
      </c>
      <c r="I1678">
        <v>1280.0426024999999</v>
      </c>
      <c r="J1678">
        <v>1257.1522216999999</v>
      </c>
      <c r="K1678">
        <v>2750</v>
      </c>
      <c r="L1678">
        <v>0</v>
      </c>
      <c r="M1678">
        <v>0</v>
      </c>
      <c r="N1678">
        <v>2750</v>
      </c>
    </row>
    <row r="1679" spans="1:14" x14ac:dyDescent="0.25">
      <c r="A1679">
        <v>1184.3580730000001</v>
      </c>
      <c r="B1679" s="1">
        <f>DATE(2013,7,28) + TIME(8,35,37)</f>
        <v>41483.358067129629</v>
      </c>
      <c r="C1679">
        <v>80</v>
      </c>
      <c r="D1679">
        <v>79.962394713999998</v>
      </c>
      <c r="E1679">
        <v>50</v>
      </c>
      <c r="F1679">
        <v>45.060672760000003</v>
      </c>
      <c r="G1679">
        <v>1387.7017822</v>
      </c>
      <c r="H1679">
        <v>1372.2310791</v>
      </c>
      <c r="I1679">
        <v>1279.9697266000001</v>
      </c>
      <c r="J1679">
        <v>1257.0404053</v>
      </c>
      <c r="K1679">
        <v>2750</v>
      </c>
      <c r="L1679">
        <v>0</v>
      </c>
      <c r="M1679">
        <v>0</v>
      </c>
      <c r="N1679">
        <v>2750</v>
      </c>
    </row>
    <row r="1680" spans="1:14" x14ac:dyDescent="0.25">
      <c r="A1680">
        <v>1185.8448579999999</v>
      </c>
      <c r="B1680" s="1">
        <f>DATE(2013,7,29) + TIME(20,16,35)</f>
        <v>41484.844849537039</v>
      </c>
      <c r="C1680">
        <v>80</v>
      </c>
      <c r="D1680">
        <v>79.962409973000007</v>
      </c>
      <c r="E1680">
        <v>50</v>
      </c>
      <c r="F1680">
        <v>44.987560272000003</v>
      </c>
      <c r="G1680">
        <v>1387.6390381000001</v>
      </c>
      <c r="H1680">
        <v>1372.1770019999999</v>
      </c>
      <c r="I1680">
        <v>1279.8952637</v>
      </c>
      <c r="J1680">
        <v>1256.9257812000001</v>
      </c>
      <c r="K1680">
        <v>2750</v>
      </c>
      <c r="L1680">
        <v>0</v>
      </c>
      <c r="M1680">
        <v>0</v>
      </c>
      <c r="N1680">
        <v>2750</v>
      </c>
    </row>
    <row r="1681" spans="1:14" x14ac:dyDescent="0.25">
      <c r="A1681">
        <v>1187.3429490000001</v>
      </c>
      <c r="B1681" s="1">
        <f>DATE(2013,7,31) + TIME(8,13,50)</f>
        <v>41486.342939814815</v>
      </c>
      <c r="C1681">
        <v>80</v>
      </c>
      <c r="D1681">
        <v>79.962432860999996</v>
      </c>
      <c r="E1681">
        <v>50</v>
      </c>
      <c r="F1681">
        <v>44.913898467999999</v>
      </c>
      <c r="G1681">
        <v>1387.5762939000001</v>
      </c>
      <c r="H1681">
        <v>1372.1229248</v>
      </c>
      <c r="I1681">
        <v>1279.8192139</v>
      </c>
      <c r="J1681">
        <v>1256.8082274999999</v>
      </c>
      <c r="K1681">
        <v>2750</v>
      </c>
      <c r="L1681">
        <v>0</v>
      </c>
      <c r="M1681">
        <v>0</v>
      </c>
      <c r="N1681">
        <v>2750</v>
      </c>
    </row>
    <row r="1682" spans="1:14" x14ac:dyDescent="0.25">
      <c r="A1682">
        <v>1188</v>
      </c>
      <c r="B1682" s="1">
        <f>DATE(2013,8,1) + TIME(0,0,0)</f>
        <v>41487</v>
      </c>
      <c r="C1682">
        <v>80</v>
      </c>
      <c r="D1682">
        <v>79.962432860999996</v>
      </c>
      <c r="E1682">
        <v>50</v>
      </c>
      <c r="F1682">
        <v>44.862277984999999</v>
      </c>
      <c r="G1682">
        <v>1387.5140381000001</v>
      </c>
      <c r="H1682">
        <v>1372.0690918</v>
      </c>
      <c r="I1682">
        <v>1279.7435303</v>
      </c>
      <c r="J1682">
        <v>1256.6993408000001</v>
      </c>
      <c r="K1682">
        <v>2750</v>
      </c>
      <c r="L1682">
        <v>0</v>
      </c>
      <c r="M1682">
        <v>0</v>
      </c>
      <c r="N1682">
        <v>2750</v>
      </c>
    </row>
    <row r="1683" spans="1:14" x14ac:dyDescent="0.25">
      <c r="A1683">
        <v>1189.5135720000001</v>
      </c>
      <c r="B1683" s="1">
        <f>DATE(2013,8,2) + TIME(12,19,32)</f>
        <v>41488.513564814813</v>
      </c>
      <c r="C1683">
        <v>80</v>
      </c>
      <c r="D1683">
        <v>79.962455750000004</v>
      </c>
      <c r="E1683">
        <v>50</v>
      </c>
      <c r="F1683">
        <v>44.800838470000002</v>
      </c>
      <c r="G1683">
        <v>1387.4864502</v>
      </c>
      <c r="H1683">
        <v>1372.0451660000001</v>
      </c>
      <c r="I1683">
        <v>1279.7056885</v>
      </c>
      <c r="J1683">
        <v>1256.6289062000001</v>
      </c>
      <c r="K1683">
        <v>2750</v>
      </c>
      <c r="L1683">
        <v>0</v>
      </c>
      <c r="M1683">
        <v>0</v>
      </c>
      <c r="N1683">
        <v>2750</v>
      </c>
    </row>
    <row r="1684" spans="1:14" x14ac:dyDescent="0.25">
      <c r="A1684">
        <v>1191.057341</v>
      </c>
      <c r="B1684" s="1">
        <f>DATE(2013,8,4) + TIME(1,22,34)</f>
        <v>41490.057337962964</v>
      </c>
      <c r="C1684">
        <v>80</v>
      </c>
      <c r="D1684">
        <v>79.962478637999993</v>
      </c>
      <c r="E1684">
        <v>50</v>
      </c>
      <c r="F1684">
        <v>44.730224608999997</v>
      </c>
      <c r="G1684">
        <v>1387.4245605000001</v>
      </c>
      <c r="H1684">
        <v>1371.9915771000001</v>
      </c>
      <c r="I1684">
        <v>1279.6275635</v>
      </c>
      <c r="J1684">
        <v>1256.5085449000001</v>
      </c>
      <c r="K1684">
        <v>2750</v>
      </c>
      <c r="L1684">
        <v>0</v>
      </c>
      <c r="M1684">
        <v>0</v>
      </c>
      <c r="N1684">
        <v>2750</v>
      </c>
    </row>
    <row r="1685" spans="1:14" x14ac:dyDescent="0.25">
      <c r="A1685">
        <v>1192.627295</v>
      </c>
      <c r="B1685" s="1">
        <f>DATE(2013,8,5) + TIME(15,3,18)</f>
        <v>41491.627291666664</v>
      </c>
      <c r="C1685">
        <v>80</v>
      </c>
      <c r="D1685">
        <v>79.962493895999998</v>
      </c>
      <c r="E1685">
        <v>50</v>
      </c>
      <c r="F1685">
        <v>44.655769348</v>
      </c>
      <c r="G1685">
        <v>1387.3619385</v>
      </c>
      <c r="H1685">
        <v>1371.9371338000001</v>
      </c>
      <c r="I1685">
        <v>1279.5462646000001</v>
      </c>
      <c r="J1685">
        <v>1256.3817139</v>
      </c>
      <c r="K1685">
        <v>2750</v>
      </c>
      <c r="L1685">
        <v>0</v>
      </c>
      <c r="M1685">
        <v>0</v>
      </c>
      <c r="N1685">
        <v>2750</v>
      </c>
    </row>
    <row r="1686" spans="1:14" x14ac:dyDescent="0.25">
      <c r="A1686">
        <v>1194.228554</v>
      </c>
      <c r="B1686" s="1">
        <f>DATE(2013,8,7) + TIME(5,29,7)</f>
        <v>41493.22855324074</v>
      </c>
      <c r="C1686">
        <v>80</v>
      </c>
      <c r="D1686">
        <v>79.962516785000005</v>
      </c>
      <c r="E1686">
        <v>50</v>
      </c>
      <c r="F1686">
        <v>44.579322814999998</v>
      </c>
      <c r="G1686">
        <v>1387.2988281</v>
      </c>
      <c r="H1686">
        <v>1371.8823242000001</v>
      </c>
      <c r="I1686">
        <v>1279.4625243999999</v>
      </c>
      <c r="J1686">
        <v>1256.2502440999999</v>
      </c>
      <c r="K1686">
        <v>2750</v>
      </c>
      <c r="L1686">
        <v>0</v>
      </c>
      <c r="M1686">
        <v>0</v>
      </c>
      <c r="N1686">
        <v>2750</v>
      </c>
    </row>
    <row r="1687" spans="1:14" x14ac:dyDescent="0.25">
      <c r="A1687">
        <v>1195.8665619999999</v>
      </c>
      <c r="B1687" s="1">
        <f>DATE(2013,8,8) + TIME(20,47,50)</f>
        <v>41494.866550925923</v>
      </c>
      <c r="C1687">
        <v>80</v>
      </c>
      <c r="D1687">
        <v>79.962539672999995</v>
      </c>
      <c r="E1687">
        <v>50</v>
      </c>
      <c r="F1687">
        <v>44.501388550000001</v>
      </c>
      <c r="G1687">
        <v>1387.2351074000001</v>
      </c>
      <c r="H1687">
        <v>1371.8269043</v>
      </c>
      <c r="I1687">
        <v>1279.3764647999999</v>
      </c>
      <c r="J1687">
        <v>1256.1142577999999</v>
      </c>
      <c r="K1687">
        <v>2750</v>
      </c>
      <c r="L1687">
        <v>0</v>
      </c>
      <c r="M1687">
        <v>0</v>
      </c>
      <c r="N1687">
        <v>2750</v>
      </c>
    </row>
    <row r="1688" spans="1:14" x14ac:dyDescent="0.25">
      <c r="A1688">
        <v>1197.5174669999999</v>
      </c>
      <c r="B1688" s="1">
        <f>DATE(2013,8,10) + TIME(12,25,9)</f>
        <v>41496.517465277779</v>
      </c>
      <c r="C1688">
        <v>80</v>
      </c>
      <c r="D1688">
        <v>79.962562560999999</v>
      </c>
      <c r="E1688">
        <v>50</v>
      </c>
      <c r="F1688">
        <v>44.422462463000002</v>
      </c>
      <c r="G1688">
        <v>1387.1706543</v>
      </c>
      <c r="H1688">
        <v>1371.7707519999999</v>
      </c>
      <c r="I1688">
        <v>1279.2877197</v>
      </c>
      <c r="J1688">
        <v>1255.9738769999999</v>
      </c>
      <c r="K1688">
        <v>2750</v>
      </c>
      <c r="L1688">
        <v>0</v>
      </c>
      <c r="M1688">
        <v>0</v>
      </c>
      <c r="N1688">
        <v>2750</v>
      </c>
    </row>
    <row r="1689" spans="1:14" x14ac:dyDescent="0.25">
      <c r="A1689">
        <v>1199.1743260000001</v>
      </c>
      <c r="B1689" s="1">
        <f>DATE(2013,8,12) + TIME(4,11,1)</f>
        <v>41498.174317129633</v>
      </c>
      <c r="C1689">
        <v>80</v>
      </c>
      <c r="D1689">
        <v>79.962585449000002</v>
      </c>
      <c r="E1689">
        <v>50</v>
      </c>
      <c r="F1689">
        <v>44.343299866000002</v>
      </c>
      <c r="G1689">
        <v>1387.1064452999999</v>
      </c>
      <c r="H1689">
        <v>1371.7145995999999</v>
      </c>
      <c r="I1689">
        <v>1279.1977539</v>
      </c>
      <c r="J1689">
        <v>1255.8305664</v>
      </c>
      <c r="K1689">
        <v>2750</v>
      </c>
      <c r="L1689">
        <v>0</v>
      </c>
      <c r="M1689">
        <v>0</v>
      </c>
      <c r="N1689">
        <v>2750</v>
      </c>
    </row>
    <row r="1690" spans="1:14" x14ac:dyDescent="0.25">
      <c r="A1690">
        <v>1200.840224</v>
      </c>
      <c r="B1690" s="1">
        <f>DATE(2013,8,13) + TIME(20,9,55)</f>
        <v>41499.840219907404</v>
      </c>
      <c r="C1690">
        <v>80</v>
      </c>
      <c r="D1690">
        <v>79.962608337000006</v>
      </c>
      <c r="E1690">
        <v>50</v>
      </c>
      <c r="F1690">
        <v>44.264282227000002</v>
      </c>
      <c r="G1690">
        <v>1387.0424805</v>
      </c>
      <c r="H1690">
        <v>1371.6588135</v>
      </c>
      <c r="I1690">
        <v>1279.1068115</v>
      </c>
      <c r="J1690">
        <v>1255.6853027</v>
      </c>
      <c r="K1690">
        <v>2750</v>
      </c>
      <c r="L1690">
        <v>0</v>
      </c>
      <c r="M1690">
        <v>0</v>
      </c>
      <c r="N1690">
        <v>2750</v>
      </c>
    </row>
    <row r="1691" spans="1:14" x14ac:dyDescent="0.25">
      <c r="A1691">
        <v>1202.5197760000001</v>
      </c>
      <c r="B1691" s="1">
        <f>DATE(2013,8,15) + TIME(12,28,28)</f>
        <v>41501.519768518519</v>
      </c>
      <c r="C1691">
        <v>80</v>
      </c>
      <c r="D1691">
        <v>79.962623596</v>
      </c>
      <c r="E1691">
        <v>50</v>
      </c>
      <c r="F1691">
        <v>44.185482024999999</v>
      </c>
      <c r="G1691">
        <v>1386.9788818</v>
      </c>
      <c r="H1691">
        <v>1371.6031493999999</v>
      </c>
      <c r="I1691">
        <v>1279.0150146000001</v>
      </c>
      <c r="J1691">
        <v>1255.5378418</v>
      </c>
      <c r="K1691">
        <v>2750</v>
      </c>
      <c r="L1691">
        <v>0</v>
      </c>
      <c r="M1691">
        <v>0</v>
      </c>
      <c r="N1691">
        <v>2750</v>
      </c>
    </row>
    <row r="1692" spans="1:14" x14ac:dyDescent="0.25">
      <c r="A1692">
        <v>1204.2177429999999</v>
      </c>
      <c r="B1692" s="1">
        <f>DATE(2013,8,17) + TIME(5,13,32)</f>
        <v>41503.217731481483</v>
      </c>
      <c r="C1692">
        <v>80</v>
      </c>
      <c r="D1692">
        <v>79.962654114000003</v>
      </c>
      <c r="E1692">
        <v>50</v>
      </c>
      <c r="F1692">
        <v>44.106884002999998</v>
      </c>
      <c r="G1692">
        <v>1386.9154053</v>
      </c>
      <c r="H1692">
        <v>1371.5474853999999</v>
      </c>
      <c r="I1692">
        <v>1278.9219971</v>
      </c>
      <c r="J1692">
        <v>1255.3881836</v>
      </c>
      <c r="K1692">
        <v>2750</v>
      </c>
      <c r="L1692">
        <v>0</v>
      </c>
      <c r="M1692">
        <v>0</v>
      </c>
      <c r="N1692">
        <v>2750</v>
      </c>
    </row>
    <row r="1693" spans="1:14" x14ac:dyDescent="0.25">
      <c r="A1693">
        <v>1205.939042</v>
      </c>
      <c r="B1693" s="1">
        <f>DATE(2013,8,18) + TIME(22,32,13)</f>
        <v>41504.939039351855</v>
      </c>
      <c r="C1693">
        <v>80</v>
      </c>
      <c r="D1693">
        <v>79.962677002000007</v>
      </c>
      <c r="E1693">
        <v>50</v>
      </c>
      <c r="F1693">
        <v>44.028408051</v>
      </c>
      <c r="G1693">
        <v>1386.8519286999999</v>
      </c>
      <c r="H1693">
        <v>1371.4916992000001</v>
      </c>
      <c r="I1693">
        <v>1278.8278809000001</v>
      </c>
      <c r="J1693">
        <v>1255.2358397999999</v>
      </c>
      <c r="K1693">
        <v>2750</v>
      </c>
      <c r="L1693">
        <v>0</v>
      </c>
      <c r="M1693">
        <v>0</v>
      </c>
      <c r="N1693">
        <v>2750</v>
      </c>
    </row>
    <row r="1694" spans="1:14" x14ac:dyDescent="0.25">
      <c r="A1694">
        <v>1207.6888799999999</v>
      </c>
      <c r="B1694" s="1">
        <f>DATE(2013,8,20) + TIME(16,31,59)</f>
        <v>41506.688877314817</v>
      </c>
      <c r="C1694">
        <v>80</v>
      </c>
      <c r="D1694">
        <v>79.962699889999996</v>
      </c>
      <c r="E1694">
        <v>50</v>
      </c>
      <c r="F1694">
        <v>43.950000762999998</v>
      </c>
      <c r="G1694">
        <v>1386.7880858999999</v>
      </c>
      <c r="H1694">
        <v>1371.4355469</v>
      </c>
      <c r="I1694">
        <v>1278.7322998</v>
      </c>
      <c r="J1694">
        <v>1255.0805664</v>
      </c>
      <c r="K1694">
        <v>2750</v>
      </c>
      <c r="L1694">
        <v>0</v>
      </c>
      <c r="M1694">
        <v>0</v>
      </c>
      <c r="N1694">
        <v>2750</v>
      </c>
    </row>
    <row r="1695" spans="1:14" x14ac:dyDescent="0.25">
      <c r="A1695">
        <v>1209.4728700000001</v>
      </c>
      <c r="B1695" s="1">
        <f>DATE(2013,8,22) + TIME(11,20,55)</f>
        <v>41508.472858796296</v>
      </c>
      <c r="C1695">
        <v>80</v>
      </c>
      <c r="D1695">
        <v>79.962722778</v>
      </c>
      <c r="E1695">
        <v>50</v>
      </c>
      <c r="F1695">
        <v>43.871620178000001</v>
      </c>
      <c r="G1695">
        <v>1386.7238769999999</v>
      </c>
      <c r="H1695">
        <v>1371.3790283000001</v>
      </c>
      <c r="I1695">
        <v>1278.6351318</v>
      </c>
      <c r="J1695">
        <v>1254.9222411999999</v>
      </c>
      <c r="K1695">
        <v>2750</v>
      </c>
      <c r="L1695">
        <v>0</v>
      </c>
      <c r="M1695">
        <v>0</v>
      </c>
      <c r="N1695">
        <v>2750</v>
      </c>
    </row>
    <row r="1696" spans="1:14" x14ac:dyDescent="0.25">
      <c r="A1696">
        <v>1211.2897889999999</v>
      </c>
      <c r="B1696" s="1">
        <f>DATE(2013,8,24) + TIME(6,57,17)</f>
        <v>41510.289780092593</v>
      </c>
      <c r="C1696">
        <v>80</v>
      </c>
      <c r="D1696">
        <v>79.962753296000002</v>
      </c>
      <c r="E1696">
        <v>50</v>
      </c>
      <c r="F1696">
        <v>43.793315886999999</v>
      </c>
      <c r="G1696">
        <v>1386.6589355000001</v>
      </c>
      <c r="H1696">
        <v>1371.3217772999999</v>
      </c>
      <c r="I1696">
        <v>1278.5362548999999</v>
      </c>
      <c r="J1696">
        <v>1254.760376</v>
      </c>
      <c r="K1696">
        <v>2750</v>
      </c>
      <c r="L1696">
        <v>0</v>
      </c>
      <c r="M1696">
        <v>0</v>
      </c>
      <c r="N1696">
        <v>2750</v>
      </c>
    </row>
    <row r="1697" spans="1:14" x14ac:dyDescent="0.25">
      <c r="A1697">
        <v>1213.13337</v>
      </c>
      <c r="B1697" s="1">
        <f>DATE(2013,8,26) + TIME(3,12,3)</f>
        <v>41512.133368055554</v>
      </c>
      <c r="C1697">
        <v>80</v>
      </c>
      <c r="D1697">
        <v>79.962776184000006</v>
      </c>
      <c r="E1697">
        <v>50</v>
      </c>
      <c r="F1697">
        <v>43.715396880999997</v>
      </c>
      <c r="G1697">
        <v>1386.5935059000001</v>
      </c>
      <c r="H1697">
        <v>1371.2639160000001</v>
      </c>
      <c r="I1697">
        <v>1278.4357910000001</v>
      </c>
      <c r="J1697">
        <v>1254.5953368999999</v>
      </c>
      <c r="K1697">
        <v>2750</v>
      </c>
      <c r="L1697">
        <v>0</v>
      </c>
      <c r="M1697">
        <v>0</v>
      </c>
      <c r="N1697">
        <v>2750</v>
      </c>
    </row>
    <row r="1698" spans="1:14" x14ac:dyDescent="0.25">
      <c r="A1698">
        <v>1214.990033</v>
      </c>
      <c r="B1698" s="1">
        <f>DATE(2013,8,27) + TIME(23,45,38)</f>
        <v>41513.990023148152</v>
      </c>
      <c r="C1698">
        <v>80</v>
      </c>
      <c r="D1698">
        <v>79.962806701999995</v>
      </c>
      <c r="E1698">
        <v>50</v>
      </c>
      <c r="F1698">
        <v>43.638427733999997</v>
      </c>
      <c r="G1698">
        <v>1386.5277100000001</v>
      </c>
      <c r="H1698">
        <v>1371.2058105000001</v>
      </c>
      <c r="I1698">
        <v>1278.3342285000001</v>
      </c>
      <c r="J1698">
        <v>1254.4278564000001</v>
      </c>
      <c r="K1698">
        <v>2750</v>
      </c>
      <c r="L1698">
        <v>0</v>
      </c>
      <c r="M1698">
        <v>0</v>
      </c>
      <c r="N1698">
        <v>2750</v>
      </c>
    </row>
    <row r="1699" spans="1:14" x14ac:dyDescent="0.25">
      <c r="A1699">
        <v>1216.8549869999999</v>
      </c>
      <c r="B1699" s="1">
        <f>DATE(2013,8,29) + TIME(20,31,10)</f>
        <v>41515.85497685185</v>
      </c>
      <c r="C1699">
        <v>80</v>
      </c>
      <c r="D1699">
        <v>79.962829589999998</v>
      </c>
      <c r="E1699">
        <v>50</v>
      </c>
      <c r="F1699">
        <v>43.563053130999997</v>
      </c>
      <c r="G1699">
        <v>1386.4620361</v>
      </c>
      <c r="H1699">
        <v>1371.1475829999999</v>
      </c>
      <c r="I1699">
        <v>1278.2324219</v>
      </c>
      <c r="J1699">
        <v>1254.2593993999999</v>
      </c>
      <c r="K1699">
        <v>2750</v>
      </c>
      <c r="L1699">
        <v>0</v>
      </c>
      <c r="M1699">
        <v>0</v>
      </c>
      <c r="N1699">
        <v>2750</v>
      </c>
    </row>
    <row r="1700" spans="1:14" x14ac:dyDescent="0.25">
      <c r="A1700">
        <v>1218.735156</v>
      </c>
      <c r="B1700" s="1">
        <f>DATE(2013,8,31) + TIME(17,38,37)</f>
        <v>41517.735150462962</v>
      </c>
      <c r="C1700">
        <v>80</v>
      </c>
      <c r="D1700">
        <v>79.962860106999997</v>
      </c>
      <c r="E1700">
        <v>50</v>
      </c>
      <c r="F1700">
        <v>43.489669800000001</v>
      </c>
      <c r="G1700">
        <v>1386.3966064000001</v>
      </c>
      <c r="H1700">
        <v>1371.0895995999999</v>
      </c>
      <c r="I1700">
        <v>1278.1308594</v>
      </c>
      <c r="J1700">
        <v>1254.0905762</v>
      </c>
      <c r="K1700">
        <v>2750</v>
      </c>
      <c r="L1700">
        <v>0</v>
      </c>
      <c r="M1700">
        <v>0</v>
      </c>
      <c r="N1700">
        <v>2750</v>
      </c>
    </row>
    <row r="1701" spans="1:14" x14ac:dyDescent="0.25">
      <c r="A1701">
        <v>1219</v>
      </c>
      <c r="B1701" s="1">
        <f>DATE(2013,9,1) + TIME(0,0,0)</f>
        <v>41518</v>
      </c>
      <c r="C1701">
        <v>80</v>
      </c>
      <c r="D1701">
        <v>79.962852478000002</v>
      </c>
      <c r="E1701">
        <v>50</v>
      </c>
      <c r="F1701">
        <v>43.463722228999998</v>
      </c>
      <c r="G1701">
        <v>1386.3332519999999</v>
      </c>
      <c r="H1701">
        <v>1371.0334473</v>
      </c>
      <c r="I1701">
        <v>1278.0422363</v>
      </c>
      <c r="J1701">
        <v>1253.9613036999999</v>
      </c>
      <c r="K1701">
        <v>2750</v>
      </c>
      <c r="L1701">
        <v>0</v>
      </c>
      <c r="M1701">
        <v>0</v>
      </c>
      <c r="N1701">
        <v>2750</v>
      </c>
    </row>
    <row r="1702" spans="1:14" x14ac:dyDescent="0.25">
      <c r="A1702">
        <v>1220.9007409999999</v>
      </c>
      <c r="B1702" s="1">
        <f>DATE(2013,9,2) + TIME(21,37,4)</f>
        <v>41519.900740740741</v>
      </c>
      <c r="C1702">
        <v>80</v>
      </c>
      <c r="D1702">
        <v>79.962890625</v>
      </c>
      <c r="E1702">
        <v>50</v>
      </c>
      <c r="F1702">
        <v>43.404300689999999</v>
      </c>
      <c r="G1702">
        <v>1386.3216553</v>
      </c>
      <c r="H1702">
        <v>1371.0229492000001</v>
      </c>
      <c r="I1702">
        <v>1278.0123291</v>
      </c>
      <c r="J1702">
        <v>1253.8908690999999</v>
      </c>
      <c r="K1702">
        <v>2750</v>
      </c>
      <c r="L1702">
        <v>0</v>
      </c>
      <c r="M1702">
        <v>0</v>
      </c>
      <c r="N1702">
        <v>2750</v>
      </c>
    </row>
    <row r="1703" spans="1:14" x14ac:dyDescent="0.25">
      <c r="A1703">
        <v>1222.832136</v>
      </c>
      <c r="B1703" s="1">
        <f>DATE(2013,9,4) + TIME(19,58,16)</f>
        <v>41521.832129629627</v>
      </c>
      <c r="C1703">
        <v>80</v>
      </c>
      <c r="D1703">
        <v>79.962921143000003</v>
      </c>
      <c r="E1703">
        <v>50</v>
      </c>
      <c r="F1703">
        <v>43.339012146000002</v>
      </c>
      <c r="G1703">
        <v>1386.2567139</v>
      </c>
      <c r="H1703">
        <v>1370.9650879000001</v>
      </c>
      <c r="I1703">
        <v>1277.9132079999999</v>
      </c>
      <c r="J1703">
        <v>1253.7259521000001</v>
      </c>
      <c r="K1703">
        <v>2750</v>
      </c>
      <c r="L1703">
        <v>0</v>
      </c>
      <c r="M1703">
        <v>0</v>
      </c>
      <c r="N1703">
        <v>2750</v>
      </c>
    </row>
    <row r="1704" spans="1:14" x14ac:dyDescent="0.25">
      <c r="A1704">
        <v>1224.7965409999999</v>
      </c>
      <c r="B1704" s="1">
        <f>DATE(2013,9,6) + TIME(19,7,1)</f>
        <v>41523.796539351853</v>
      </c>
      <c r="C1704">
        <v>80</v>
      </c>
      <c r="D1704">
        <v>79.962944031000006</v>
      </c>
      <c r="E1704">
        <v>50</v>
      </c>
      <c r="F1704">
        <v>43.273883820000002</v>
      </c>
      <c r="G1704">
        <v>1386.1907959</v>
      </c>
      <c r="H1704">
        <v>1370.9063721</v>
      </c>
      <c r="I1704">
        <v>1277.8121338000001</v>
      </c>
      <c r="J1704">
        <v>1253.5565185999999</v>
      </c>
      <c r="K1704">
        <v>2750</v>
      </c>
      <c r="L1704">
        <v>0</v>
      </c>
      <c r="M1704">
        <v>0</v>
      </c>
      <c r="N1704">
        <v>2750</v>
      </c>
    </row>
    <row r="1705" spans="1:14" x14ac:dyDescent="0.25">
      <c r="A1705">
        <v>1226.7884630000001</v>
      </c>
      <c r="B1705" s="1">
        <f>DATE(2013,9,8) + TIME(18,55,23)</f>
        <v>41525.788460648146</v>
      </c>
      <c r="C1705">
        <v>80</v>
      </c>
      <c r="D1705">
        <v>79.962974548000005</v>
      </c>
      <c r="E1705">
        <v>50</v>
      </c>
      <c r="F1705">
        <v>43.211013794000003</v>
      </c>
      <c r="G1705">
        <v>1386.1242675999999</v>
      </c>
      <c r="H1705">
        <v>1370.8470459</v>
      </c>
      <c r="I1705">
        <v>1277.7106934000001</v>
      </c>
      <c r="J1705">
        <v>1253.385376</v>
      </c>
      <c r="K1705">
        <v>2750</v>
      </c>
      <c r="L1705">
        <v>0</v>
      </c>
      <c r="M1705">
        <v>0</v>
      </c>
      <c r="N1705">
        <v>2750</v>
      </c>
    </row>
    <row r="1706" spans="1:14" x14ac:dyDescent="0.25">
      <c r="A1706">
        <v>1228.8055899999999</v>
      </c>
      <c r="B1706" s="1">
        <f>DATE(2013,9,10) + TIME(19,20,2)</f>
        <v>41527.805578703701</v>
      </c>
      <c r="C1706">
        <v>80</v>
      </c>
      <c r="D1706">
        <v>79.963005065999994</v>
      </c>
      <c r="E1706">
        <v>50</v>
      </c>
      <c r="F1706">
        <v>43.151496887</v>
      </c>
      <c r="G1706">
        <v>1386.0573730000001</v>
      </c>
      <c r="H1706">
        <v>1370.7873535000001</v>
      </c>
      <c r="I1706">
        <v>1277.6094971</v>
      </c>
      <c r="J1706">
        <v>1253.2139893000001</v>
      </c>
      <c r="K1706">
        <v>2750</v>
      </c>
      <c r="L1706">
        <v>0</v>
      </c>
      <c r="M1706">
        <v>0</v>
      </c>
      <c r="N1706">
        <v>2750</v>
      </c>
    </row>
    <row r="1707" spans="1:14" x14ac:dyDescent="0.25">
      <c r="A1707">
        <v>1230.845818</v>
      </c>
      <c r="B1707" s="1">
        <f>DATE(2013,9,12) + TIME(20,17,58)</f>
        <v>41529.845810185187</v>
      </c>
      <c r="C1707">
        <v>80</v>
      </c>
      <c r="D1707">
        <v>79.963035583000007</v>
      </c>
      <c r="E1707">
        <v>50</v>
      </c>
      <c r="F1707">
        <v>43.096107482999997</v>
      </c>
      <c r="G1707">
        <v>1385.9902344</v>
      </c>
      <c r="H1707">
        <v>1370.7271728999999</v>
      </c>
      <c r="I1707">
        <v>1277.5090332</v>
      </c>
      <c r="J1707">
        <v>1253.043457</v>
      </c>
      <c r="K1707">
        <v>2750</v>
      </c>
      <c r="L1707">
        <v>0</v>
      </c>
      <c r="M1707">
        <v>0</v>
      </c>
      <c r="N1707">
        <v>2750</v>
      </c>
    </row>
    <row r="1708" spans="1:14" x14ac:dyDescent="0.25">
      <c r="A1708">
        <v>1232.90002</v>
      </c>
      <c r="B1708" s="1">
        <f>DATE(2013,9,14) + TIME(21,36,1)</f>
        <v>41531.900011574071</v>
      </c>
      <c r="C1708">
        <v>80</v>
      </c>
      <c r="D1708">
        <v>79.963066100999995</v>
      </c>
      <c r="E1708">
        <v>50</v>
      </c>
      <c r="F1708">
        <v>43.045597076</v>
      </c>
      <c r="G1708">
        <v>1385.9229736</v>
      </c>
      <c r="H1708">
        <v>1370.6667480000001</v>
      </c>
      <c r="I1708">
        <v>1277.4097899999999</v>
      </c>
      <c r="J1708">
        <v>1252.8746338000001</v>
      </c>
      <c r="K1708">
        <v>2750</v>
      </c>
      <c r="L1708">
        <v>0</v>
      </c>
      <c r="M1708">
        <v>0</v>
      </c>
      <c r="N1708">
        <v>2750</v>
      </c>
    </row>
    <row r="1709" spans="1:14" x14ac:dyDescent="0.25">
      <c r="A1709">
        <v>1234.9542739999999</v>
      </c>
      <c r="B1709" s="1">
        <f>DATE(2013,9,16) + TIME(22,54,9)</f>
        <v>41533.954270833332</v>
      </c>
      <c r="C1709">
        <v>80</v>
      </c>
      <c r="D1709">
        <v>79.963104247999993</v>
      </c>
      <c r="E1709">
        <v>50</v>
      </c>
      <c r="F1709">
        <v>43.000789642000001</v>
      </c>
      <c r="G1709">
        <v>1385.8555908000001</v>
      </c>
      <c r="H1709">
        <v>1370.6064452999999</v>
      </c>
      <c r="I1709">
        <v>1277.3125</v>
      </c>
      <c r="J1709">
        <v>1252.7087402</v>
      </c>
      <c r="K1709">
        <v>2750</v>
      </c>
      <c r="L1709">
        <v>0</v>
      </c>
      <c r="M1709">
        <v>0</v>
      </c>
      <c r="N1709">
        <v>2750</v>
      </c>
    </row>
    <row r="1710" spans="1:14" x14ac:dyDescent="0.25">
      <c r="A1710">
        <v>1237.020297</v>
      </c>
      <c r="B1710" s="1">
        <f>DATE(2013,9,19) + TIME(0,29,13)</f>
        <v>41536.020289351851</v>
      </c>
      <c r="C1710">
        <v>80</v>
      </c>
      <c r="D1710">
        <v>79.963134765999996</v>
      </c>
      <c r="E1710">
        <v>50</v>
      </c>
      <c r="F1710">
        <v>42.962379456000001</v>
      </c>
      <c r="G1710">
        <v>1385.7889404</v>
      </c>
      <c r="H1710">
        <v>1370.5463867000001</v>
      </c>
      <c r="I1710">
        <v>1277.2180175999999</v>
      </c>
      <c r="J1710">
        <v>1252.5472411999999</v>
      </c>
      <c r="K1710">
        <v>2750</v>
      </c>
      <c r="L1710">
        <v>0</v>
      </c>
      <c r="M1710">
        <v>0</v>
      </c>
      <c r="N1710">
        <v>2750</v>
      </c>
    </row>
    <row r="1711" spans="1:14" x14ac:dyDescent="0.25">
      <c r="A1711">
        <v>1239.105378</v>
      </c>
      <c r="B1711" s="1">
        <f>DATE(2013,9,21) + TIME(2,31,44)</f>
        <v>41538.105370370373</v>
      </c>
      <c r="C1711">
        <v>80</v>
      </c>
      <c r="D1711">
        <v>79.963165282999995</v>
      </c>
      <c r="E1711">
        <v>50</v>
      </c>
      <c r="F1711">
        <v>42.930828093999999</v>
      </c>
      <c r="G1711">
        <v>1385.7222899999999</v>
      </c>
      <c r="H1711">
        <v>1370.4863281</v>
      </c>
      <c r="I1711">
        <v>1277.1260986</v>
      </c>
      <c r="J1711">
        <v>1252.3898925999999</v>
      </c>
      <c r="K1711">
        <v>2750</v>
      </c>
      <c r="L1711">
        <v>0</v>
      </c>
      <c r="M1711">
        <v>0</v>
      </c>
      <c r="N1711">
        <v>2750</v>
      </c>
    </row>
    <row r="1712" spans="1:14" x14ac:dyDescent="0.25">
      <c r="A1712">
        <v>1241.2168690000001</v>
      </c>
      <c r="B1712" s="1">
        <f>DATE(2013,9,23) + TIME(5,12,17)</f>
        <v>41540.216863425929</v>
      </c>
      <c r="C1712">
        <v>80</v>
      </c>
      <c r="D1712">
        <v>79.963195800999998</v>
      </c>
      <c r="E1712">
        <v>50</v>
      </c>
      <c r="F1712">
        <v>42.906700133999998</v>
      </c>
      <c r="G1712">
        <v>1385.6555175999999</v>
      </c>
      <c r="H1712">
        <v>1370.4262695</v>
      </c>
      <c r="I1712">
        <v>1277.0367432</v>
      </c>
      <c r="J1712">
        <v>1252.2368164</v>
      </c>
      <c r="K1712">
        <v>2750</v>
      </c>
      <c r="L1712">
        <v>0</v>
      </c>
      <c r="M1712">
        <v>0</v>
      </c>
      <c r="N1712">
        <v>2750</v>
      </c>
    </row>
    <row r="1713" spans="1:14" x14ac:dyDescent="0.25">
      <c r="A1713">
        <v>1243.3624159999999</v>
      </c>
      <c r="B1713" s="1">
        <f>DATE(2013,9,25) + TIME(8,41,52)</f>
        <v>41542.362407407411</v>
      </c>
      <c r="C1713">
        <v>80</v>
      </c>
      <c r="D1713">
        <v>79.963226317999997</v>
      </c>
      <c r="E1713">
        <v>50</v>
      </c>
      <c r="F1713">
        <v>42.890674591</v>
      </c>
      <c r="G1713">
        <v>1385.588501</v>
      </c>
      <c r="H1713">
        <v>1370.3657227000001</v>
      </c>
      <c r="I1713">
        <v>1276.9498291</v>
      </c>
      <c r="J1713">
        <v>1252.0882568</v>
      </c>
      <c r="K1713">
        <v>2750</v>
      </c>
      <c r="L1713">
        <v>0</v>
      </c>
      <c r="M1713">
        <v>0</v>
      </c>
      <c r="N1713">
        <v>2750</v>
      </c>
    </row>
    <row r="1714" spans="1:14" x14ac:dyDescent="0.25">
      <c r="A1714">
        <v>1245.5550740000001</v>
      </c>
      <c r="B1714" s="1">
        <f>DATE(2013,9,27) + TIME(13,19,18)</f>
        <v>41544.555069444446</v>
      </c>
      <c r="C1714">
        <v>80</v>
      </c>
      <c r="D1714">
        <v>79.963264464999995</v>
      </c>
      <c r="E1714">
        <v>50</v>
      </c>
      <c r="F1714">
        <v>42.883544921999999</v>
      </c>
      <c r="G1714">
        <v>1385.5209961</v>
      </c>
      <c r="H1714">
        <v>1370.3045654</v>
      </c>
      <c r="I1714">
        <v>1276.8653564000001</v>
      </c>
      <c r="J1714">
        <v>1251.9442139</v>
      </c>
      <c r="K1714">
        <v>2750</v>
      </c>
      <c r="L1714">
        <v>0</v>
      </c>
      <c r="M1714">
        <v>0</v>
      </c>
      <c r="N1714">
        <v>2750</v>
      </c>
    </row>
    <row r="1715" spans="1:14" x14ac:dyDescent="0.25">
      <c r="A1715">
        <v>1247.7803730000001</v>
      </c>
      <c r="B1715" s="1">
        <f>DATE(2013,9,29) + TIME(18,43,44)</f>
        <v>41546.780370370368</v>
      </c>
      <c r="C1715">
        <v>80</v>
      </c>
      <c r="D1715">
        <v>79.963302612000007</v>
      </c>
      <c r="E1715">
        <v>50</v>
      </c>
      <c r="F1715">
        <v>42.886287689</v>
      </c>
      <c r="G1715">
        <v>1385.4525146000001</v>
      </c>
      <c r="H1715">
        <v>1370.2425536999999</v>
      </c>
      <c r="I1715">
        <v>1276.7835693</v>
      </c>
      <c r="J1715">
        <v>1251.8050536999999</v>
      </c>
      <c r="K1715">
        <v>2750</v>
      </c>
      <c r="L1715">
        <v>0</v>
      </c>
      <c r="M1715">
        <v>0</v>
      </c>
      <c r="N1715">
        <v>2750</v>
      </c>
    </row>
    <row r="1716" spans="1:14" x14ac:dyDescent="0.25">
      <c r="A1716">
        <v>1249</v>
      </c>
      <c r="B1716" s="1">
        <f>DATE(2013,10,1) + TIME(0,0,0)</f>
        <v>41548</v>
      </c>
      <c r="C1716">
        <v>80</v>
      </c>
      <c r="D1716">
        <v>79.963310242000006</v>
      </c>
      <c r="E1716">
        <v>50</v>
      </c>
      <c r="F1716">
        <v>42.897590637</v>
      </c>
      <c r="G1716">
        <v>1385.3835449000001</v>
      </c>
      <c r="H1716">
        <v>1370.1800536999999</v>
      </c>
      <c r="I1716">
        <v>1276.7113036999999</v>
      </c>
      <c r="J1716">
        <v>1251.6816406</v>
      </c>
      <c r="K1716">
        <v>2750</v>
      </c>
      <c r="L1716">
        <v>0</v>
      </c>
      <c r="M1716">
        <v>0</v>
      </c>
      <c r="N1716">
        <v>2750</v>
      </c>
    </row>
    <row r="1717" spans="1:14" x14ac:dyDescent="0.25">
      <c r="A1717">
        <v>1251.2447360000001</v>
      </c>
      <c r="B1717" s="1">
        <f>DATE(2013,10,3) + TIME(5,52,25)</f>
        <v>41550.244733796295</v>
      </c>
      <c r="C1717">
        <v>80</v>
      </c>
      <c r="D1717">
        <v>79.963356017999999</v>
      </c>
      <c r="E1717">
        <v>50</v>
      </c>
      <c r="F1717">
        <v>42.914424896</v>
      </c>
      <c r="G1717">
        <v>1385.3457031</v>
      </c>
      <c r="H1717">
        <v>1370.1456298999999</v>
      </c>
      <c r="I1717">
        <v>1276.6608887</v>
      </c>
      <c r="J1717">
        <v>1251.5987548999999</v>
      </c>
      <c r="K1717">
        <v>2750</v>
      </c>
      <c r="L1717">
        <v>0</v>
      </c>
      <c r="M1717">
        <v>0</v>
      </c>
      <c r="N1717">
        <v>2750</v>
      </c>
    </row>
    <row r="1718" spans="1:14" x14ac:dyDescent="0.25">
      <c r="A1718">
        <v>1253.5169519999999</v>
      </c>
      <c r="B1718" s="1">
        <f>DATE(2013,10,5) + TIME(12,24,24)</f>
        <v>41552.516944444447</v>
      </c>
      <c r="C1718">
        <v>80</v>
      </c>
      <c r="D1718">
        <v>79.963386536000002</v>
      </c>
      <c r="E1718">
        <v>50</v>
      </c>
      <c r="F1718">
        <v>42.945388794000003</v>
      </c>
      <c r="G1718">
        <v>1385.2772216999999</v>
      </c>
      <c r="H1718">
        <v>1370.0834961</v>
      </c>
      <c r="I1718">
        <v>1276.5917969</v>
      </c>
      <c r="J1718">
        <v>1251.4830322</v>
      </c>
      <c r="K1718">
        <v>2750</v>
      </c>
      <c r="L1718">
        <v>0</v>
      </c>
      <c r="M1718">
        <v>0</v>
      </c>
      <c r="N1718">
        <v>2750</v>
      </c>
    </row>
    <row r="1719" spans="1:14" x14ac:dyDescent="0.25">
      <c r="A1719">
        <v>1255.8220940000001</v>
      </c>
      <c r="B1719" s="1">
        <f>DATE(2013,10,7) + TIME(19,43,48)</f>
        <v>41554.822083333333</v>
      </c>
      <c r="C1719">
        <v>80</v>
      </c>
      <c r="D1719">
        <v>79.963424683</v>
      </c>
      <c r="E1719">
        <v>50</v>
      </c>
      <c r="F1719">
        <v>42.989696502999998</v>
      </c>
      <c r="G1719">
        <v>1385.2082519999999</v>
      </c>
      <c r="H1719">
        <v>1370.0207519999999</v>
      </c>
      <c r="I1719">
        <v>1276.5247803</v>
      </c>
      <c r="J1719">
        <v>1251.3725586</v>
      </c>
      <c r="K1719">
        <v>2750</v>
      </c>
      <c r="L1719">
        <v>0</v>
      </c>
      <c r="M1719">
        <v>0</v>
      </c>
      <c r="N1719">
        <v>2750</v>
      </c>
    </row>
    <row r="1720" spans="1:14" x14ac:dyDescent="0.25">
      <c r="A1720">
        <v>1256.980192</v>
      </c>
      <c r="B1720" s="1">
        <f>DATE(2013,10,8) + TIME(23,31,28)</f>
        <v>41555.980185185188</v>
      </c>
      <c r="C1720">
        <v>80</v>
      </c>
      <c r="D1720">
        <v>79.963439941000004</v>
      </c>
      <c r="E1720">
        <v>50</v>
      </c>
      <c r="F1720">
        <v>43.036514281999999</v>
      </c>
      <c r="G1720">
        <v>1385.1390381000001</v>
      </c>
      <c r="H1720">
        <v>1369.9577637</v>
      </c>
      <c r="I1720">
        <v>1276.4698486</v>
      </c>
      <c r="J1720">
        <v>1251.2788086</v>
      </c>
      <c r="K1720">
        <v>2750</v>
      </c>
      <c r="L1720">
        <v>0</v>
      </c>
      <c r="M1720">
        <v>0</v>
      </c>
      <c r="N1720">
        <v>2750</v>
      </c>
    </row>
    <row r="1721" spans="1:14" x14ac:dyDescent="0.25">
      <c r="A1721">
        <v>1258.1382900000001</v>
      </c>
      <c r="B1721" s="1">
        <f>DATE(2013,10,10) + TIME(3,19,8)</f>
        <v>41557.138287037036</v>
      </c>
      <c r="C1721">
        <v>80</v>
      </c>
      <c r="D1721">
        <v>79.963455199999999</v>
      </c>
      <c r="E1721">
        <v>50</v>
      </c>
      <c r="F1721">
        <v>43.077701568999998</v>
      </c>
      <c r="G1721">
        <v>1385.1040039</v>
      </c>
      <c r="H1721">
        <v>1369.9256591999999</v>
      </c>
      <c r="I1721">
        <v>1276.4351807</v>
      </c>
      <c r="J1721">
        <v>1251.2263184000001</v>
      </c>
      <c r="K1721">
        <v>2750</v>
      </c>
      <c r="L1721">
        <v>0</v>
      </c>
      <c r="M1721">
        <v>0</v>
      </c>
      <c r="N1721">
        <v>2750</v>
      </c>
    </row>
    <row r="1722" spans="1:14" x14ac:dyDescent="0.25">
      <c r="A1722">
        <v>1259.296388</v>
      </c>
      <c r="B1722" s="1">
        <f>DATE(2013,10,11) + TIME(7,6,47)</f>
        <v>41558.296377314815</v>
      </c>
      <c r="C1722">
        <v>80</v>
      </c>
      <c r="D1722">
        <v>79.963470459000007</v>
      </c>
      <c r="E1722">
        <v>50</v>
      </c>
      <c r="F1722">
        <v>43.118747710999997</v>
      </c>
      <c r="G1722">
        <v>1385.0695800999999</v>
      </c>
      <c r="H1722">
        <v>1369.8942870999999</v>
      </c>
      <c r="I1722">
        <v>1276.4052733999999</v>
      </c>
      <c r="J1722">
        <v>1251.1804199000001</v>
      </c>
      <c r="K1722">
        <v>2750</v>
      </c>
      <c r="L1722">
        <v>0</v>
      </c>
      <c r="M1722">
        <v>0</v>
      </c>
      <c r="N1722">
        <v>2750</v>
      </c>
    </row>
    <row r="1723" spans="1:14" x14ac:dyDescent="0.25">
      <c r="A1723">
        <v>1260.4544860000001</v>
      </c>
      <c r="B1723" s="1">
        <f>DATE(2013,10,12) + TIME(10,54,27)</f>
        <v>41559.454479166663</v>
      </c>
      <c r="C1723">
        <v>80</v>
      </c>
      <c r="D1723">
        <v>79.963493346999996</v>
      </c>
      <c r="E1723">
        <v>50</v>
      </c>
      <c r="F1723">
        <v>43.161754608000003</v>
      </c>
      <c r="G1723">
        <v>1385.0354004000001</v>
      </c>
      <c r="H1723">
        <v>1369.8630370999999</v>
      </c>
      <c r="I1723">
        <v>1276.3780518000001</v>
      </c>
      <c r="J1723">
        <v>1251.1387939000001</v>
      </c>
      <c r="K1723">
        <v>2750</v>
      </c>
      <c r="L1723">
        <v>0</v>
      </c>
      <c r="M1723">
        <v>0</v>
      </c>
      <c r="N1723">
        <v>2750</v>
      </c>
    </row>
    <row r="1724" spans="1:14" x14ac:dyDescent="0.25">
      <c r="A1724">
        <v>1262.7706820000001</v>
      </c>
      <c r="B1724" s="1">
        <f>DATE(2013,10,14) + TIME(18,29,46)</f>
        <v>41561.770671296297</v>
      </c>
      <c r="C1724">
        <v>80</v>
      </c>
      <c r="D1724">
        <v>79.963531493999994</v>
      </c>
      <c r="E1724">
        <v>50</v>
      </c>
      <c r="F1724">
        <v>43.218322753999999</v>
      </c>
      <c r="G1724">
        <v>1385.0014647999999</v>
      </c>
      <c r="H1724">
        <v>1369.8319091999999</v>
      </c>
      <c r="I1724">
        <v>1276.3472899999999</v>
      </c>
      <c r="J1724">
        <v>1251.0964355000001</v>
      </c>
      <c r="K1724">
        <v>2750</v>
      </c>
      <c r="L1724">
        <v>0</v>
      </c>
      <c r="M1724">
        <v>0</v>
      </c>
      <c r="N1724">
        <v>2750</v>
      </c>
    </row>
    <row r="1725" spans="1:14" x14ac:dyDescent="0.25">
      <c r="A1725">
        <v>1265.0930310000001</v>
      </c>
      <c r="B1725" s="1">
        <f>DATE(2013,10,17) + TIME(2,13,57)</f>
        <v>41564.09302083333</v>
      </c>
      <c r="C1725">
        <v>80</v>
      </c>
      <c r="D1725">
        <v>79.963569641000007</v>
      </c>
      <c r="E1725">
        <v>50</v>
      </c>
      <c r="F1725">
        <v>43.309318542</v>
      </c>
      <c r="G1725">
        <v>1384.9339600000001</v>
      </c>
      <c r="H1725">
        <v>1369.7703856999999</v>
      </c>
      <c r="I1725">
        <v>1276.3039550999999</v>
      </c>
      <c r="J1725">
        <v>1251.0297852000001</v>
      </c>
      <c r="K1725">
        <v>2750</v>
      </c>
      <c r="L1725">
        <v>0</v>
      </c>
      <c r="M1725">
        <v>0</v>
      </c>
      <c r="N1725">
        <v>2750</v>
      </c>
    </row>
    <row r="1726" spans="1:14" x14ac:dyDescent="0.25">
      <c r="A1726">
        <v>1267.4601359999999</v>
      </c>
      <c r="B1726" s="1">
        <f>DATE(2013,10,19) + TIME(11,2,35)</f>
        <v>41566.460127314815</v>
      </c>
      <c r="C1726">
        <v>80</v>
      </c>
      <c r="D1726">
        <v>79.963607788000004</v>
      </c>
      <c r="E1726">
        <v>50</v>
      </c>
      <c r="F1726">
        <v>43.418987274000003</v>
      </c>
      <c r="G1726">
        <v>1384.8668213000001</v>
      </c>
      <c r="H1726">
        <v>1369.7088623</v>
      </c>
      <c r="I1726">
        <v>1276.262207</v>
      </c>
      <c r="J1726">
        <v>1250.9708252</v>
      </c>
      <c r="K1726">
        <v>2750</v>
      </c>
      <c r="L1726">
        <v>0</v>
      </c>
      <c r="M1726">
        <v>0</v>
      </c>
      <c r="N1726">
        <v>2750</v>
      </c>
    </row>
    <row r="1727" spans="1:14" x14ac:dyDescent="0.25">
      <c r="A1727">
        <v>1269.8784439999999</v>
      </c>
      <c r="B1727" s="1">
        <f>DATE(2013,10,21) + TIME(21,4,57)</f>
        <v>41568.878437500003</v>
      </c>
      <c r="C1727">
        <v>80</v>
      </c>
      <c r="D1727">
        <v>79.963645935000002</v>
      </c>
      <c r="E1727">
        <v>50</v>
      </c>
      <c r="F1727">
        <v>43.544460297000001</v>
      </c>
      <c r="G1727">
        <v>1384.7990723</v>
      </c>
      <c r="H1727">
        <v>1369.6468506000001</v>
      </c>
      <c r="I1727">
        <v>1276.223999</v>
      </c>
      <c r="J1727">
        <v>1250.9208983999999</v>
      </c>
      <c r="K1727">
        <v>2750</v>
      </c>
      <c r="L1727">
        <v>0</v>
      </c>
      <c r="M1727">
        <v>0</v>
      </c>
      <c r="N1727">
        <v>2750</v>
      </c>
    </row>
    <row r="1728" spans="1:14" x14ac:dyDescent="0.25">
      <c r="A1728">
        <v>1272.355851</v>
      </c>
      <c r="B1728" s="1">
        <f>DATE(2013,10,24) + TIME(8,32,25)</f>
        <v>41571.355844907404</v>
      </c>
      <c r="C1728">
        <v>80</v>
      </c>
      <c r="D1728">
        <v>79.963684082</v>
      </c>
      <c r="E1728">
        <v>50</v>
      </c>
      <c r="F1728">
        <v>43.685268401999998</v>
      </c>
      <c r="G1728">
        <v>1384.7305908000001</v>
      </c>
      <c r="H1728">
        <v>1369.5841064000001</v>
      </c>
      <c r="I1728">
        <v>1276.1899414</v>
      </c>
      <c r="J1728">
        <v>1250.8806152</v>
      </c>
      <c r="K1728">
        <v>2750</v>
      </c>
      <c r="L1728">
        <v>0</v>
      </c>
      <c r="M1728">
        <v>0</v>
      </c>
      <c r="N1728">
        <v>2750</v>
      </c>
    </row>
    <row r="1729" spans="1:14" x14ac:dyDescent="0.25">
      <c r="A1729">
        <v>1274.8969239999999</v>
      </c>
      <c r="B1729" s="1">
        <f>DATE(2013,10,26) + TIME(21,31,34)</f>
        <v>41573.896921296298</v>
      </c>
      <c r="C1729">
        <v>80</v>
      </c>
      <c r="D1729">
        <v>79.963729857999994</v>
      </c>
      <c r="E1729">
        <v>50</v>
      </c>
      <c r="F1729">
        <v>43.841541290000002</v>
      </c>
      <c r="G1729">
        <v>1384.6613769999999</v>
      </c>
      <c r="H1729">
        <v>1369.5206298999999</v>
      </c>
      <c r="I1729">
        <v>1276.1601562000001</v>
      </c>
      <c r="J1729">
        <v>1250.8503418</v>
      </c>
      <c r="K1729">
        <v>2750</v>
      </c>
      <c r="L1729">
        <v>0</v>
      </c>
      <c r="M1729">
        <v>0</v>
      </c>
      <c r="N1729">
        <v>2750</v>
      </c>
    </row>
    <row r="1730" spans="1:14" x14ac:dyDescent="0.25">
      <c r="A1730">
        <v>1277.4605979999999</v>
      </c>
      <c r="B1730" s="1">
        <f>DATE(2013,10,29) + TIME(11,3,15)</f>
        <v>41576.460590277777</v>
      </c>
      <c r="C1730">
        <v>80</v>
      </c>
      <c r="D1730">
        <v>79.963768005000006</v>
      </c>
      <c r="E1730">
        <v>50</v>
      </c>
      <c r="F1730">
        <v>44.012641907000003</v>
      </c>
      <c r="G1730">
        <v>1384.5911865</v>
      </c>
      <c r="H1730">
        <v>1369.4561768000001</v>
      </c>
      <c r="I1730">
        <v>1276.1350098</v>
      </c>
      <c r="J1730">
        <v>1250.8302002</v>
      </c>
      <c r="K1730">
        <v>2750</v>
      </c>
      <c r="L1730">
        <v>0</v>
      </c>
      <c r="M1730">
        <v>0</v>
      </c>
      <c r="N1730">
        <v>2750</v>
      </c>
    </row>
    <row r="1731" spans="1:14" x14ac:dyDescent="0.25">
      <c r="A1731">
        <v>1280</v>
      </c>
      <c r="B1731" s="1">
        <f>DATE(2013,11,1) + TIME(0,0,0)</f>
        <v>41579</v>
      </c>
      <c r="C1731">
        <v>80</v>
      </c>
      <c r="D1731">
        <v>79.963806152000004</v>
      </c>
      <c r="E1731">
        <v>50</v>
      </c>
      <c r="F1731">
        <v>44.195423126000001</v>
      </c>
      <c r="G1731">
        <v>1384.5213623</v>
      </c>
      <c r="H1731">
        <v>1369.3920897999999</v>
      </c>
      <c r="I1731">
        <v>1276.114624</v>
      </c>
      <c r="J1731">
        <v>1250.8204346</v>
      </c>
      <c r="K1731">
        <v>2750</v>
      </c>
      <c r="L1731">
        <v>0</v>
      </c>
      <c r="M1731">
        <v>0</v>
      </c>
      <c r="N1731">
        <v>2750</v>
      </c>
    </row>
    <row r="1732" spans="1:14" x14ac:dyDescent="0.25">
      <c r="A1732">
        <v>1280.0000010000001</v>
      </c>
      <c r="B1732" s="1">
        <f>DATE(2013,11,1) + TIME(0,0,0)</f>
        <v>41579</v>
      </c>
      <c r="C1732">
        <v>80</v>
      </c>
      <c r="D1732">
        <v>79.963668823000006</v>
      </c>
      <c r="E1732">
        <v>50</v>
      </c>
      <c r="F1732">
        <v>44.195560454999999</v>
      </c>
      <c r="G1732">
        <v>1368.3930664</v>
      </c>
      <c r="H1732">
        <v>1354.5172118999999</v>
      </c>
      <c r="I1732">
        <v>1302.4349365</v>
      </c>
      <c r="J1732">
        <v>1277.1641846</v>
      </c>
      <c r="K1732">
        <v>0</v>
      </c>
      <c r="L1732">
        <v>2750</v>
      </c>
      <c r="M1732">
        <v>2750</v>
      </c>
      <c r="N1732">
        <v>0</v>
      </c>
    </row>
    <row r="1733" spans="1:14" x14ac:dyDescent="0.25">
      <c r="A1733">
        <v>1280.000004</v>
      </c>
      <c r="B1733" s="1">
        <f>DATE(2013,11,1) + TIME(0,0,0)</f>
        <v>41579</v>
      </c>
      <c r="C1733">
        <v>80</v>
      </c>
      <c r="D1733">
        <v>79.963310242000006</v>
      </c>
      <c r="E1733">
        <v>50</v>
      </c>
      <c r="F1733">
        <v>44.195930480999998</v>
      </c>
      <c r="G1733">
        <v>1365.8691406</v>
      </c>
      <c r="H1733">
        <v>1351.9929199000001</v>
      </c>
      <c r="I1733">
        <v>1305.1723632999999</v>
      </c>
      <c r="J1733">
        <v>1279.9923096</v>
      </c>
      <c r="K1733">
        <v>0</v>
      </c>
      <c r="L1733">
        <v>2750</v>
      </c>
      <c r="M1733">
        <v>2750</v>
      </c>
      <c r="N1733">
        <v>0</v>
      </c>
    </row>
    <row r="1734" spans="1:14" x14ac:dyDescent="0.25">
      <c r="A1734">
        <v>1280.0000130000001</v>
      </c>
      <c r="B1734" s="1">
        <f>DATE(2013,11,1) + TIME(0,0,1)</f>
        <v>41579.000011574077</v>
      </c>
      <c r="C1734">
        <v>80</v>
      </c>
      <c r="D1734">
        <v>79.962585449000002</v>
      </c>
      <c r="E1734">
        <v>50</v>
      </c>
      <c r="F1734">
        <v>44.196804047000001</v>
      </c>
      <c r="G1734">
        <v>1360.7745361</v>
      </c>
      <c r="H1734">
        <v>1346.8977050999999</v>
      </c>
      <c r="I1734">
        <v>1311.5030518000001</v>
      </c>
      <c r="J1734">
        <v>1286.4775391000001</v>
      </c>
      <c r="K1734">
        <v>0</v>
      </c>
      <c r="L1734">
        <v>2750</v>
      </c>
      <c r="M1734">
        <v>2750</v>
      </c>
      <c r="N1734">
        <v>0</v>
      </c>
    </row>
    <row r="1735" spans="1:14" x14ac:dyDescent="0.25">
      <c r="A1735">
        <v>1280.0000399999999</v>
      </c>
      <c r="B1735" s="1">
        <f>DATE(2013,11,1) + TIME(0,0,3)</f>
        <v>41579.000034722223</v>
      </c>
      <c r="C1735">
        <v>80</v>
      </c>
      <c r="D1735">
        <v>79.961524963000002</v>
      </c>
      <c r="E1735">
        <v>50</v>
      </c>
      <c r="F1735">
        <v>44.198387146000002</v>
      </c>
      <c r="G1735">
        <v>1353.3322754000001</v>
      </c>
      <c r="H1735">
        <v>1339.4573975000001</v>
      </c>
      <c r="I1735">
        <v>1322.536499</v>
      </c>
      <c r="J1735">
        <v>1297.6219481999999</v>
      </c>
      <c r="K1735">
        <v>0</v>
      </c>
      <c r="L1735">
        <v>2750</v>
      </c>
      <c r="M1735">
        <v>2750</v>
      </c>
      <c r="N1735">
        <v>0</v>
      </c>
    </row>
    <row r="1736" spans="1:14" x14ac:dyDescent="0.25">
      <c r="A1736">
        <v>1280.000121</v>
      </c>
      <c r="B1736" s="1">
        <f>DATE(2013,11,1) + TIME(0,0,10)</f>
        <v>41579.000115740739</v>
      </c>
      <c r="C1736">
        <v>80</v>
      </c>
      <c r="D1736">
        <v>79.960334778000004</v>
      </c>
      <c r="E1736">
        <v>50</v>
      </c>
      <c r="F1736">
        <v>44.200759888</v>
      </c>
      <c r="G1736">
        <v>1345.0512695</v>
      </c>
      <c r="H1736">
        <v>1331.1813964999999</v>
      </c>
      <c r="I1736">
        <v>1336.5332031</v>
      </c>
      <c r="J1736">
        <v>1311.6328125</v>
      </c>
      <c r="K1736">
        <v>0</v>
      </c>
      <c r="L1736">
        <v>2750</v>
      </c>
      <c r="M1736">
        <v>2750</v>
      </c>
      <c r="N1736">
        <v>0</v>
      </c>
    </row>
    <row r="1737" spans="1:14" x14ac:dyDescent="0.25">
      <c r="A1737">
        <v>1280.000364</v>
      </c>
      <c r="B1737" s="1">
        <f>DATE(2013,11,1) + TIME(0,0,31)</f>
        <v>41579.000358796293</v>
      </c>
      <c r="C1737">
        <v>80</v>
      </c>
      <c r="D1737">
        <v>79.959106445000003</v>
      </c>
      <c r="E1737">
        <v>50</v>
      </c>
      <c r="F1737">
        <v>44.204536437999998</v>
      </c>
      <c r="G1737">
        <v>1336.7296143000001</v>
      </c>
      <c r="H1737">
        <v>1322.8662108999999</v>
      </c>
      <c r="I1737">
        <v>1351.260376</v>
      </c>
      <c r="J1737">
        <v>1326.3585204999999</v>
      </c>
      <c r="K1737">
        <v>0</v>
      </c>
      <c r="L1737">
        <v>2750</v>
      </c>
      <c r="M1737">
        <v>2750</v>
      </c>
      <c r="N1737">
        <v>0</v>
      </c>
    </row>
    <row r="1738" spans="1:14" x14ac:dyDescent="0.25">
      <c r="A1738">
        <v>1280.0010930000001</v>
      </c>
      <c r="B1738" s="1">
        <f>DATE(2013,11,1) + TIME(0,1,34)</f>
        <v>41579.001087962963</v>
      </c>
      <c r="C1738">
        <v>80</v>
      </c>
      <c r="D1738">
        <v>79.957778931000007</v>
      </c>
      <c r="E1738">
        <v>50</v>
      </c>
      <c r="F1738">
        <v>44.212268829000003</v>
      </c>
      <c r="G1738">
        <v>1328.3762207</v>
      </c>
      <c r="H1738">
        <v>1314.4968262</v>
      </c>
      <c r="I1738">
        <v>1366.2202147999999</v>
      </c>
      <c r="J1738">
        <v>1341.3029785000001</v>
      </c>
      <c r="K1738">
        <v>0</v>
      </c>
      <c r="L1738">
        <v>2750</v>
      </c>
      <c r="M1738">
        <v>2750</v>
      </c>
      <c r="N1738">
        <v>0</v>
      </c>
    </row>
    <row r="1739" spans="1:14" x14ac:dyDescent="0.25">
      <c r="A1739">
        <v>1280.0032799999999</v>
      </c>
      <c r="B1739" s="1">
        <f>DATE(2013,11,1) + TIME(0,4,43)</f>
        <v>41579.003275462965</v>
      </c>
      <c r="C1739">
        <v>80</v>
      </c>
      <c r="D1739">
        <v>79.956130981000001</v>
      </c>
      <c r="E1739">
        <v>50</v>
      </c>
      <c r="F1739">
        <v>44.231830596999998</v>
      </c>
      <c r="G1739">
        <v>1319.7562256000001</v>
      </c>
      <c r="H1739">
        <v>1305.7722168</v>
      </c>
      <c r="I1739">
        <v>1381.4228516000001</v>
      </c>
      <c r="J1739">
        <v>1356.4189452999999</v>
      </c>
      <c r="K1739">
        <v>0</v>
      </c>
      <c r="L1739">
        <v>2750</v>
      </c>
      <c r="M1739">
        <v>2750</v>
      </c>
      <c r="N1739">
        <v>0</v>
      </c>
    </row>
    <row r="1740" spans="1:14" x14ac:dyDescent="0.25">
      <c r="A1740">
        <v>1280.0098410000001</v>
      </c>
      <c r="B1740" s="1">
        <f>DATE(2013,11,1) + TIME(0,14,10)</f>
        <v>41579.009837962964</v>
      </c>
      <c r="C1740">
        <v>80</v>
      </c>
      <c r="D1740">
        <v>79.953613281000003</v>
      </c>
      <c r="E1740">
        <v>50</v>
      </c>
      <c r="F1740">
        <v>44.286548615000001</v>
      </c>
      <c r="G1740">
        <v>1311.0297852000001</v>
      </c>
      <c r="H1740">
        <v>1296.8951416</v>
      </c>
      <c r="I1740">
        <v>1395.7087402</v>
      </c>
      <c r="J1740">
        <v>1370.5549315999999</v>
      </c>
      <c r="K1740">
        <v>0</v>
      </c>
      <c r="L1740">
        <v>2750</v>
      </c>
      <c r="M1740">
        <v>2750</v>
      </c>
      <c r="N1740">
        <v>0</v>
      </c>
    </row>
    <row r="1741" spans="1:14" x14ac:dyDescent="0.25">
      <c r="A1741">
        <v>1280.029524</v>
      </c>
      <c r="B1741" s="1">
        <f>DATE(2013,11,1) + TIME(0,42,30)</f>
        <v>41579.029513888891</v>
      </c>
      <c r="C1741">
        <v>80</v>
      </c>
      <c r="D1741">
        <v>79.948814392000003</v>
      </c>
      <c r="E1741">
        <v>50</v>
      </c>
      <c r="F1741">
        <v>44.443325043000002</v>
      </c>
      <c r="G1741">
        <v>1303.7681885</v>
      </c>
      <c r="H1741">
        <v>1289.5498047000001</v>
      </c>
      <c r="I1741">
        <v>1406.0279541</v>
      </c>
      <c r="J1741">
        <v>1380.7891846</v>
      </c>
      <c r="K1741">
        <v>0</v>
      </c>
      <c r="L1741">
        <v>2750</v>
      </c>
      <c r="M1741">
        <v>2750</v>
      </c>
      <c r="N1741">
        <v>0</v>
      </c>
    </row>
    <row r="1742" spans="1:14" x14ac:dyDescent="0.25">
      <c r="A1742">
        <v>1280.08044</v>
      </c>
      <c r="B1742" s="1">
        <f>DATE(2013,11,1) + TIME(1,55,50)</f>
        <v>41579.080439814818</v>
      </c>
      <c r="C1742">
        <v>80</v>
      </c>
      <c r="D1742">
        <v>79.938972473000007</v>
      </c>
      <c r="E1742">
        <v>50</v>
      </c>
      <c r="F1742">
        <v>44.819705962999997</v>
      </c>
      <c r="G1742">
        <v>1300.0819091999999</v>
      </c>
      <c r="H1742">
        <v>1285.8382568</v>
      </c>
      <c r="I1742">
        <v>1410.0075684000001</v>
      </c>
      <c r="J1742">
        <v>1384.8723144999999</v>
      </c>
      <c r="K1742">
        <v>0</v>
      </c>
      <c r="L1742">
        <v>2750</v>
      </c>
      <c r="M1742">
        <v>2750</v>
      </c>
      <c r="N1742">
        <v>0</v>
      </c>
    </row>
    <row r="1743" spans="1:14" x14ac:dyDescent="0.25">
      <c r="A1743">
        <v>1280.134229</v>
      </c>
      <c r="B1743" s="1">
        <f>DATE(2013,11,1) + TIME(3,13,17)</f>
        <v>41579.13422453704</v>
      </c>
      <c r="C1743">
        <v>80</v>
      </c>
      <c r="D1743">
        <v>79.929183960000003</v>
      </c>
      <c r="E1743">
        <v>50</v>
      </c>
      <c r="F1743">
        <v>45.188732147000003</v>
      </c>
      <c r="G1743">
        <v>1299.1811522999999</v>
      </c>
      <c r="H1743">
        <v>1284.9326172000001</v>
      </c>
      <c r="I1743">
        <v>1410.4614257999999</v>
      </c>
      <c r="J1743">
        <v>1385.4731445</v>
      </c>
      <c r="K1743">
        <v>0</v>
      </c>
      <c r="L1743">
        <v>2750</v>
      </c>
      <c r="M1743">
        <v>2750</v>
      </c>
      <c r="N1743">
        <v>0</v>
      </c>
    </row>
    <row r="1744" spans="1:14" x14ac:dyDescent="0.25">
      <c r="A1744">
        <v>1280.190926</v>
      </c>
      <c r="B1744" s="1">
        <f>DATE(2013,11,1) + TIME(4,34,56)</f>
        <v>41579.190925925926</v>
      </c>
      <c r="C1744">
        <v>80</v>
      </c>
      <c r="D1744">
        <v>79.919174193999993</v>
      </c>
      <c r="E1744">
        <v>50</v>
      </c>
      <c r="F1744">
        <v>45.548519134999999</v>
      </c>
      <c r="G1744">
        <v>1298.9373779</v>
      </c>
      <c r="H1744">
        <v>1284.6872559000001</v>
      </c>
      <c r="I1744">
        <v>1410.2785644999999</v>
      </c>
      <c r="J1744">
        <v>1385.4426269999999</v>
      </c>
      <c r="K1744">
        <v>0</v>
      </c>
      <c r="L1744">
        <v>2750</v>
      </c>
      <c r="M1744">
        <v>2750</v>
      </c>
      <c r="N1744">
        <v>0</v>
      </c>
    </row>
    <row r="1745" spans="1:14" x14ac:dyDescent="0.25">
      <c r="A1745">
        <v>1280.2508439999999</v>
      </c>
      <c r="B1745" s="1">
        <f>DATE(2013,11,1) + TIME(6,1,12)</f>
        <v>41579.250833333332</v>
      </c>
      <c r="C1745">
        <v>80</v>
      </c>
      <c r="D1745">
        <v>79.908851623999993</v>
      </c>
      <c r="E1745">
        <v>50</v>
      </c>
      <c r="F1745">
        <v>45.898727417000003</v>
      </c>
      <c r="G1745">
        <v>1298.8640137</v>
      </c>
      <c r="H1745">
        <v>1284.6130370999999</v>
      </c>
      <c r="I1745">
        <v>1409.9997559000001</v>
      </c>
      <c r="J1745">
        <v>1385.3131103999999</v>
      </c>
      <c r="K1745">
        <v>0</v>
      </c>
      <c r="L1745">
        <v>2750</v>
      </c>
      <c r="M1745">
        <v>2750</v>
      </c>
      <c r="N1745">
        <v>0</v>
      </c>
    </row>
    <row r="1746" spans="1:14" x14ac:dyDescent="0.25">
      <c r="A1746">
        <v>1280.3144030000001</v>
      </c>
      <c r="B1746" s="1">
        <f>DATE(2013,11,1) + TIME(7,32,44)</f>
        <v>41579.314398148148</v>
      </c>
      <c r="C1746">
        <v>80</v>
      </c>
      <c r="D1746">
        <v>79.898155212000006</v>
      </c>
      <c r="E1746">
        <v>50</v>
      </c>
      <c r="F1746">
        <v>46.239253998000002</v>
      </c>
      <c r="G1746">
        <v>1298.8387451000001</v>
      </c>
      <c r="H1746">
        <v>1284.5871582</v>
      </c>
      <c r="I1746">
        <v>1409.7198486</v>
      </c>
      <c r="J1746">
        <v>1385.1774902</v>
      </c>
      <c r="K1746">
        <v>0</v>
      </c>
      <c r="L1746">
        <v>2750</v>
      </c>
      <c r="M1746">
        <v>2750</v>
      </c>
      <c r="N1746">
        <v>0</v>
      </c>
    </row>
    <row r="1747" spans="1:14" x14ac:dyDescent="0.25">
      <c r="A1747">
        <v>1280.3821270000001</v>
      </c>
      <c r="B1747" s="1">
        <f>DATE(2013,11,1) + TIME(9,10,15)</f>
        <v>41579.382118055553</v>
      </c>
      <c r="C1747">
        <v>80</v>
      </c>
      <c r="D1747">
        <v>79.887016295999999</v>
      </c>
      <c r="E1747">
        <v>50</v>
      </c>
      <c r="F1747">
        <v>46.570011139000002</v>
      </c>
      <c r="G1747">
        <v>1298.828125</v>
      </c>
      <c r="H1747">
        <v>1284.5760498</v>
      </c>
      <c r="I1747">
        <v>1409.4504394999999</v>
      </c>
      <c r="J1747">
        <v>1385.0474853999999</v>
      </c>
      <c r="K1747">
        <v>0</v>
      </c>
      <c r="L1747">
        <v>2750</v>
      </c>
      <c r="M1747">
        <v>2750</v>
      </c>
      <c r="N1747">
        <v>0</v>
      </c>
    </row>
    <row r="1748" spans="1:14" x14ac:dyDescent="0.25">
      <c r="A1748">
        <v>1280.4546519999999</v>
      </c>
      <c r="B1748" s="1">
        <f>DATE(2013,11,1) + TIME(10,54,41)</f>
        <v>41579.454641203702</v>
      </c>
      <c r="C1748">
        <v>80</v>
      </c>
      <c r="D1748">
        <v>79.875366210999999</v>
      </c>
      <c r="E1748">
        <v>50</v>
      </c>
      <c r="F1748">
        <v>46.890861510999997</v>
      </c>
      <c r="G1748">
        <v>1298.8222656</v>
      </c>
      <c r="H1748">
        <v>1284.5695800999999</v>
      </c>
      <c r="I1748">
        <v>1409.1906738</v>
      </c>
      <c r="J1748">
        <v>1384.9222411999999</v>
      </c>
      <c r="K1748">
        <v>0</v>
      </c>
      <c r="L1748">
        <v>2750</v>
      </c>
      <c r="M1748">
        <v>2750</v>
      </c>
      <c r="N1748">
        <v>0</v>
      </c>
    </row>
    <row r="1749" spans="1:14" x14ac:dyDescent="0.25">
      <c r="A1749">
        <v>1280.5327669999999</v>
      </c>
      <c r="B1749" s="1">
        <f>DATE(2013,11,1) + TIME(12,47,11)</f>
        <v>41579.532766203702</v>
      </c>
      <c r="C1749">
        <v>80</v>
      </c>
      <c r="D1749">
        <v>79.863121032999999</v>
      </c>
      <c r="E1749">
        <v>50</v>
      </c>
      <c r="F1749">
        <v>47.201629638999997</v>
      </c>
      <c r="G1749">
        <v>1298.817749</v>
      </c>
      <c r="H1749">
        <v>1284.5644531</v>
      </c>
      <c r="I1749">
        <v>1408.9387207</v>
      </c>
      <c r="J1749">
        <v>1384.7999268000001</v>
      </c>
      <c r="K1749">
        <v>0</v>
      </c>
      <c r="L1749">
        <v>2750</v>
      </c>
      <c r="M1749">
        <v>2750</v>
      </c>
      <c r="N1749">
        <v>0</v>
      </c>
    </row>
    <row r="1750" spans="1:14" x14ac:dyDescent="0.25">
      <c r="A1750">
        <v>1280.617463</v>
      </c>
      <c r="B1750" s="1">
        <f>DATE(2013,11,1) + TIME(14,49,8)</f>
        <v>41579.6174537037</v>
      </c>
      <c r="C1750">
        <v>80</v>
      </c>
      <c r="D1750">
        <v>79.850158691000004</v>
      </c>
      <c r="E1750">
        <v>50</v>
      </c>
      <c r="F1750">
        <v>47.502059936999999</v>
      </c>
      <c r="G1750">
        <v>1298.8134766000001</v>
      </c>
      <c r="H1750">
        <v>1284.5596923999999</v>
      </c>
      <c r="I1750">
        <v>1408.6936035000001</v>
      </c>
      <c r="J1750">
        <v>1384.6796875</v>
      </c>
      <c r="K1750">
        <v>0</v>
      </c>
      <c r="L1750">
        <v>2750</v>
      </c>
      <c r="M1750">
        <v>2750</v>
      </c>
      <c r="N1750">
        <v>0</v>
      </c>
    </row>
    <row r="1751" spans="1:14" x14ac:dyDescent="0.25">
      <c r="A1751">
        <v>1280.709985</v>
      </c>
      <c r="B1751" s="1">
        <f>DATE(2013,11,1) + TIME(17,2,22)</f>
        <v>41579.709976851853</v>
      </c>
      <c r="C1751">
        <v>80</v>
      </c>
      <c r="D1751">
        <v>79.836364746000001</v>
      </c>
      <c r="E1751">
        <v>50</v>
      </c>
      <c r="F1751">
        <v>47.791767120000003</v>
      </c>
      <c r="G1751">
        <v>1298.8092041</v>
      </c>
      <c r="H1751">
        <v>1284.5545654</v>
      </c>
      <c r="I1751">
        <v>1408.4547118999999</v>
      </c>
      <c r="J1751">
        <v>1384.5609131000001</v>
      </c>
      <c r="K1751">
        <v>0</v>
      </c>
      <c r="L1751">
        <v>2750</v>
      </c>
      <c r="M1751">
        <v>2750</v>
      </c>
      <c r="N1751">
        <v>0</v>
      </c>
    </row>
    <row r="1752" spans="1:14" x14ac:dyDescent="0.25">
      <c r="A1752">
        <v>1280.8119919999999</v>
      </c>
      <c r="B1752" s="1">
        <f>DATE(2013,11,1) + TIME(19,29,16)</f>
        <v>41579.811990740738</v>
      </c>
      <c r="C1752">
        <v>80</v>
      </c>
      <c r="D1752">
        <v>79.821548461999996</v>
      </c>
      <c r="E1752">
        <v>50</v>
      </c>
      <c r="F1752">
        <v>48.070354461999997</v>
      </c>
      <c r="G1752">
        <v>1298.8044434000001</v>
      </c>
      <c r="H1752">
        <v>1284.5491943</v>
      </c>
      <c r="I1752">
        <v>1408.2215576000001</v>
      </c>
      <c r="J1752">
        <v>1384.4432373</v>
      </c>
      <c r="K1752">
        <v>0</v>
      </c>
      <c r="L1752">
        <v>2750</v>
      </c>
      <c r="M1752">
        <v>2750</v>
      </c>
      <c r="N1752">
        <v>0</v>
      </c>
    </row>
    <row r="1753" spans="1:14" x14ac:dyDescent="0.25">
      <c r="A1753">
        <v>1280.925686</v>
      </c>
      <c r="B1753" s="1">
        <f>DATE(2013,11,1) + TIME(22,12,59)</f>
        <v>41579.925682870373</v>
      </c>
      <c r="C1753">
        <v>80</v>
      </c>
      <c r="D1753">
        <v>79.805496215999995</v>
      </c>
      <c r="E1753">
        <v>50</v>
      </c>
      <c r="F1753">
        <v>48.337257385000001</v>
      </c>
      <c r="G1753">
        <v>1298.7993164</v>
      </c>
      <c r="H1753">
        <v>1284.5432129000001</v>
      </c>
      <c r="I1753">
        <v>1407.9936522999999</v>
      </c>
      <c r="J1753">
        <v>1384.3260498</v>
      </c>
      <c r="K1753">
        <v>0</v>
      </c>
      <c r="L1753">
        <v>2750</v>
      </c>
      <c r="M1753">
        <v>2750</v>
      </c>
      <c r="N1753">
        <v>0</v>
      </c>
    </row>
    <row r="1754" spans="1:14" x14ac:dyDescent="0.25">
      <c r="A1754">
        <v>1281.0540840000001</v>
      </c>
      <c r="B1754" s="1">
        <f>DATE(2013,11,2) + TIME(1,17,52)</f>
        <v>41580.054074074076</v>
      </c>
      <c r="C1754">
        <v>80</v>
      </c>
      <c r="D1754">
        <v>79.787902832</v>
      </c>
      <c r="E1754">
        <v>50</v>
      </c>
      <c r="F1754">
        <v>48.591724395999996</v>
      </c>
      <c r="G1754">
        <v>1298.7935791</v>
      </c>
      <c r="H1754">
        <v>1284.5367432</v>
      </c>
      <c r="I1754">
        <v>1407.7706298999999</v>
      </c>
      <c r="J1754">
        <v>1384.2092285000001</v>
      </c>
      <c r="K1754">
        <v>0</v>
      </c>
      <c r="L1754">
        <v>2750</v>
      </c>
      <c r="M1754">
        <v>2750</v>
      </c>
      <c r="N1754">
        <v>0</v>
      </c>
    </row>
    <row r="1755" spans="1:14" x14ac:dyDescent="0.25">
      <c r="A1755">
        <v>1281.2014690000001</v>
      </c>
      <c r="B1755" s="1">
        <f>DATE(2013,11,2) + TIME(4,50,6)</f>
        <v>41580.201458333337</v>
      </c>
      <c r="C1755">
        <v>80</v>
      </c>
      <c r="D1755">
        <v>79.768356323000006</v>
      </c>
      <c r="E1755">
        <v>50</v>
      </c>
      <c r="F1755">
        <v>48.832767486999998</v>
      </c>
      <c r="G1755">
        <v>1298.7872314000001</v>
      </c>
      <c r="H1755">
        <v>1284.5294189000001</v>
      </c>
      <c r="I1755">
        <v>1407.552124</v>
      </c>
      <c r="J1755">
        <v>1384.0919189000001</v>
      </c>
      <c r="K1755">
        <v>0</v>
      </c>
      <c r="L1755">
        <v>2750</v>
      </c>
      <c r="M1755">
        <v>2750</v>
      </c>
      <c r="N1755">
        <v>0</v>
      </c>
    </row>
    <row r="1756" spans="1:14" x14ac:dyDescent="0.25">
      <c r="A1756">
        <v>1281.37417</v>
      </c>
      <c r="B1756" s="1">
        <f>DATE(2013,11,2) + TIME(8,58,48)</f>
        <v>41580.374166666668</v>
      </c>
      <c r="C1756">
        <v>80</v>
      </c>
      <c r="D1756">
        <v>79.746261597</v>
      </c>
      <c r="E1756">
        <v>50</v>
      </c>
      <c r="F1756">
        <v>49.059066772000001</v>
      </c>
      <c r="G1756">
        <v>1298.7800293</v>
      </c>
      <c r="H1756">
        <v>1284.5209961</v>
      </c>
      <c r="I1756">
        <v>1407.3376464999999</v>
      </c>
      <c r="J1756">
        <v>1383.9736327999999</v>
      </c>
      <c r="K1756">
        <v>0</v>
      </c>
      <c r="L1756">
        <v>2750</v>
      </c>
      <c r="M1756">
        <v>2750</v>
      </c>
      <c r="N1756">
        <v>0</v>
      </c>
    </row>
    <row r="1757" spans="1:14" x14ac:dyDescent="0.25">
      <c r="A1757">
        <v>1281.5737819999999</v>
      </c>
      <c r="B1757" s="1">
        <f>DATE(2013,11,2) + TIME(13,46,14)</f>
        <v>41580.573773148149</v>
      </c>
      <c r="C1757">
        <v>80</v>
      </c>
      <c r="D1757">
        <v>79.721549988000007</v>
      </c>
      <c r="E1757">
        <v>50</v>
      </c>
      <c r="F1757">
        <v>49.262359619000001</v>
      </c>
      <c r="G1757">
        <v>1298.7714844</v>
      </c>
      <c r="H1757">
        <v>1284.5113524999999</v>
      </c>
      <c r="I1757">
        <v>1407.1324463000001</v>
      </c>
      <c r="J1757">
        <v>1383.8560791</v>
      </c>
      <c r="K1757">
        <v>0</v>
      </c>
      <c r="L1757">
        <v>2750</v>
      </c>
      <c r="M1757">
        <v>2750</v>
      </c>
      <c r="N1757">
        <v>0</v>
      </c>
    </row>
    <row r="1758" spans="1:14" x14ac:dyDescent="0.25">
      <c r="A1758">
        <v>1281.7737749999999</v>
      </c>
      <c r="B1758" s="1">
        <f>DATE(2013,11,2) + TIME(18,34,14)</f>
        <v>41580.773773148147</v>
      </c>
      <c r="C1758">
        <v>80</v>
      </c>
      <c r="D1758">
        <v>79.696739196999999</v>
      </c>
      <c r="E1758">
        <v>50</v>
      </c>
      <c r="F1758">
        <v>49.420627594000003</v>
      </c>
      <c r="G1758">
        <v>1298.7617187999999</v>
      </c>
      <c r="H1758">
        <v>1284.5004882999999</v>
      </c>
      <c r="I1758">
        <v>1406.9552002</v>
      </c>
      <c r="J1758">
        <v>1383.7487793</v>
      </c>
      <c r="K1758">
        <v>0</v>
      </c>
      <c r="L1758">
        <v>2750</v>
      </c>
      <c r="M1758">
        <v>2750</v>
      </c>
      <c r="N1758">
        <v>0</v>
      </c>
    </row>
    <row r="1759" spans="1:14" x14ac:dyDescent="0.25">
      <c r="A1759">
        <v>1281.979441</v>
      </c>
      <c r="B1759" s="1">
        <f>DATE(2013,11,2) + TIME(23,30,23)</f>
        <v>41580.979432870372</v>
      </c>
      <c r="C1759">
        <v>80</v>
      </c>
      <c r="D1759">
        <v>79.671386718999997</v>
      </c>
      <c r="E1759">
        <v>50</v>
      </c>
      <c r="F1759">
        <v>49.546321869000003</v>
      </c>
      <c r="G1759">
        <v>1298.7519531</v>
      </c>
      <c r="H1759">
        <v>1284.489624</v>
      </c>
      <c r="I1759">
        <v>1406.8016356999999</v>
      </c>
      <c r="J1759">
        <v>1383.652832</v>
      </c>
      <c r="K1759">
        <v>0</v>
      </c>
      <c r="L1759">
        <v>2750</v>
      </c>
      <c r="M1759">
        <v>2750</v>
      </c>
      <c r="N1759">
        <v>0</v>
      </c>
    </row>
    <row r="1760" spans="1:14" x14ac:dyDescent="0.25">
      <c r="A1760">
        <v>1282.193043</v>
      </c>
      <c r="B1760" s="1">
        <f>DATE(2013,11,3) + TIME(4,37,58)</f>
        <v>41581.193032407406</v>
      </c>
      <c r="C1760">
        <v>80</v>
      </c>
      <c r="D1760">
        <v>79.645286560000002</v>
      </c>
      <c r="E1760">
        <v>50</v>
      </c>
      <c r="F1760">
        <v>49.646293640000003</v>
      </c>
      <c r="G1760">
        <v>1298.7419434000001</v>
      </c>
      <c r="H1760">
        <v>1284.4783935999999</v>
      </c>
      <c r="I1760">
        <v>1406.6663818</v>
      </c>
      <c r="J1760">
        <v>1383.5651855000001</v>
      </c>
      <c r="K1760">
        <v>0</v>
      </c>
      <c r="L1760">
        <v>2750</v>
      </c>
      <c r="M1760">
        <v>2750</v>
      </c>
      <c r="N1760">
        <v>0</v>
      </c>
    </row>
    <row r="1761" spans="1:14" x14ac:dyDescent="0.25">
      <c r="A1761">
        <v>1282.417244</v>
      </c>
      <c r="B1761" s="1">
        <f>DATE(2013,11,3) + TIME(10,0,49)</f>
        <v>41581.417233796295</v>
      </c>
      <c r="C1761">
        <v>80</v>
      </c>
      <c r="D1761">
        <v>79.618202209000003</v>
      </c>
      <c r="E1761">
        <v>50</v>
      </c>
      <c r="F1761">
        <v>49.725749968999999</v>
      </c>
      <c r="G1761">
        <v>1298.7316894999999</v>
      </c>
      <c r="H1761">
        <v>1284.4669189000001</v>
      </c>
      <c r="I1761">
        <v>1406.5452881000001</v>
      </c>
      <c r="J1761">
        <v>1383.4841309000001</v>
      </c>
      <c r="K1761">
        <v>0</v>
      </c>
      <c r="L1761">
        <v>2750</v>
      </c>
      <c r="M1761">
        <v>2750</v>
      </c>
      <c r="N1761">
        <v>0</v>
      </c>
    </row>
    <row r="1762" spans="1:14" x14ac:dyDescent="0.25">
      <c r="A1762">
        <v>1282.654996</v>
      </c>
      <c r="B1762" s="1">
        <f>DATE(2013,11,3) + TIME(15,43,11)</f>
        <v>41581.654988425929</v>
      </c>
      <c r="C1762">
        <v>80</v>
      </c>
      <c r="D1762">
        <v>79.589866638000004</v>
      </c>
      <c r="E1762">
        <v>50</v>
      </c>
      <c r="F1762">
        <v>49.788665770999998</v>
      </c>
      <c r="G1762">
        <v>1298.7209473</v>
      </c>
      <c r="H1762">
        <v>1284.4548339999999</v>
      </c>
      <c r="I1762">
        <v>1406.4355469</v>
      </c>
      <c r="J1762">
        <v>1383.4080810999999</v>
      </c>
      <c r="K1762">
        <v>0</v>
      </c>
      <c r="L1762">
        <v>2750</v>
      </c>
      <c r="M1762">
        <v>2750</v>
      </c>
      <c r="N1762">
        <v>0</v>
      </c>
    </row>
    <row r="1763" spans="1:14" x14ac:dyDescent="0.25">
      <c r="A1763">
        <v>1282.9097850000001</v>
      </c>
      <c r="B1763" s="1">
        <f>DATE(2013,11,3) + TIME(21,50,5)</f>
        <v>41581.909780092596</v>
      </c>
      <c r="C1763">
        <v>80</v>
      </c>
      <c r="D1763">
        <v>79.559967040999993</v>
      </c>
      <c r="E1763">
        <v>50</v>
      </c>
      <c r="F1763">
        <v>49.838142394999998</v>
      </c>
      <c r="G1763">
        <v>1298.7097168</v>
      </c>
      <c r="H1763">
        <v>1284.4421387</v>
      </c>
      <c r="I1763">
        <v>1406.3344727000001</v>
      </c>
      <c r="J1763">
        <v>1383.3356934000001</v>
      </c>
      <c r="K1763">
        <v>0</v>
      </c>
      <c r="L1763">
        <v>2750</v>
      </c>
      <c r="M1763">
        <v>2750</v>
      </c>
      <c r="N1763">
        <v>0</v>
      </c>
    </row>
    <row r="1764" spans="1:14" x14ac:dyDescent="0.25">
      <c r="A1764">
        <v>1283.1841589999999</v>
      </c>
      <c r="B1764" s="1">
        <f>DATE(2013,11,4) + TIME(4,25,11)</f>
        <v>41582.184155092589</v>
      </c>
      <c r="C1764">
        <v>80</v>
      </c>
      <c r="D1764">
        <v>79.528259277000004</v>
      </c>
      <c r="E1764">
        <v>50</v>
      </c>
      <c r="F1764">
        <v>49.876487732000001</v>
      </c>
      <c r="G1764">
        <v>1298.6977539</v>
      </c>
      <c r="H1764">
        <v>1284.4285889</v>
      </c>
      <c r="I1764">
        <v>1406.2401123</v>
      </c>
      <c r="J1764">
        <v>1383.2659911999999</v>
      </c>
      <c r="K1764">
        <v>0</v>
      </c>
      <c r="L1764">
        <v>2750</v>
      </c>
      <c r="M1764">
        <v>2750</v>
      </c>
      <c r="N1764">
        <v>0</v>
      </c>
    </row>
    <row r="1765" spans="1:14" x14ac:dyDescent="0.25">
      <c r="A1765">
        <v>1283.4788490000001</v>
      </c>
      <c r="B1765" s="1">
        <f>DATE(2013,11,4) + TIME(11,29,32)</f>
        <v>41582.478842592594</v>
      </c>
      <c r="C1765">
        <v>80</v>
      </c>
      <c r="D1765">
        <v>79.494674683</v>
      </c>
      <c r="E1765">
        <v>50</v>
      </c>
      <c r="F1765">
        <v>49.905559539999999</v>
      </c>
      <c r="G1765">
        <v>1298.6849365</v>
      </c>
      <c r="H1765">
        <v>1284.4141846</v>
      </c>
      <c r="I1765">
        <v>1406.1512451000001</v>
      </c>
      <c r="J1765">
        <v>1383.1983643000001</v>
      </c>
      <c r="K1765">
        <v>0</v>
      </c>
      <c r="L1765">
        <v>2750</v>
      </c>
      <c r="M1765">
        <v>2750</v>
      </c>
      <c r="N1765">
        <v>0</v>
      </c>
    </row>
    <row r="1766" spans="1:14" x14ac:dyDescent="0.25">
      <c r="A1766">
        <v>1283.7989809999999</v>
      </c>
      <c r="B1766" s="1">
        <f>DATE(2013,11,4) + TIME(19,10,31)</f>
        <v>41582.79896990741</v>
      </c>
      <c r="C1766">
        <v>80</v>
      </c>
      <c r="D1766">
        <v>79.458770752000007</v>
      </c>
      <c r="E1766">
        <v>50</v>
      </c>
      <c r="F1766">
        <v>49.927330017000003</v>
      </c>
      <c r="G1766">
        <v>1298.6711425999999</v>
      </c>
      <c r="H1766">
        <v>1284.3986815999999</v>
      </c>
      <c r="I1766">
        <v>1406.0667725000001</v>
      </c>
      <c r="J1766">
        <v>1383.1325684000001</v>
      </c>
      <c r="K1766">
        <v>0</v>
      </c>
      <c r="L1766">
        <v>2750</v>
      </c>
      <c r="M1766">
        <v>2750</v>
      </c>
      <c r="N1766">
        <v>0</v>
      </c>
    </row>
    <row r="1767" spans="1:14" x14ac:dyDescent="0.25">
      <c r="A1767">
        <v>1284.1507019999999</v>
      </c>
      <c r="B1767" s="1">
        <f>DATE(2013,11,5) + TIME(3,37,0)</f>
        <v>41583.150694444441</v>
      </c>
      <c r="C1767">
        <v>80</v>
      </c>
      <c r="D1767">
        <v>79.420051575000002</v>
      </c>
      <c r="E1767">
        <v>50</v>
      </c>
      <c r="F1767">
        <v>49.943367004000002</v>
      </c>
      <c r="G1767">
        <v>1298.6563721</v>
      </c>
      <c r="H1767">
        <v>1284.3819579999999</v>
      </c>
      <c r="I1767">
        <v>1405.9849853999999</v>
      </c>
      <c r="J1767">
        <v>1383.0673827999999</v>
      </c>
      <c r="K1767">
        <v>0</v>
      </c>
      <c r="L1767">
        <v>2750</v>
      </c>
      <c r="M1767">
        <v>2750</v>
      </c>
      <c r="N1767">
        <v>0</v>
      </c>
    </row>
    <row r="1768" spans="1:14" x14ac:dyDescent="0.25">
      <c r="A1768">
        <v>1284.542244</v>
      </c>
      <c r="B1768" s="1">
        <f>DATE(2013,11,5) + TIME(13,0,49)</f>
        <v>41583.542233796295</v>
      </c>
      <c r="C1768">
        <v>80</v>
      </c>
      <c r="D1768">
        <v>79.377838135000005</v>
      </c>
      <c r="E1768">
        <v>50</v>
      </c>
      <c r="F1768">
        <v>49.954940796000002</v>
      </c>
      <c r="G1768">
        <v>1298.6401367000001</v>
      </c>
      <c r="H1768">
        <v>1284.3637695</v>
      </c>
      <c r="I1768">
        <v>1405.9044189000001</v>
      </c>
      <c r="J1768">
        <v>1383.0021973</v>
      </c>
      <c r="K1768">
        <v>0</v>
      </c>
      <c r="L1768">
        <v>2750</v>
      </c>
      <c r="M1768">
        <v>2750</v>
      </c>
      <c r="N1768">
        <v>0</v>
      </c>
    </row>
    <row r="1769" spans="1:14" x14ac:dyDescent="0.25">
      <c r="A1769">
        <v>1284.9666870000001</v>
      </c>
      <c r="B1769" s="1">
        <f>DATE(2013,11,5) + TIME(23,12,1)</f>
        <v>41583.966678240744</v>
      </c>
      <c r="C1769">
        <v>80</v>
      </c>
      <c r="D1769">
        <v>79.332466124999996</v>
      </c>
      <c r="E1769">
        <v>50</v>
      </c>
      <c r="F1769">
        <v>49.962875365999999</v>
      </c>
      <c r="G1769">
        <v>1298.6221923999999</v>
      </c>
      <c r="H1769">
        <v>1284.3435059000001</v>
      </c>
      <c r="I1769">
        <v>1405.8237305</v>
      </c>
      <c r="J1769">
        <v>1382.9360352000001</v>
      </c>
      <c r="K1769">
        <v>0</v>
      </c>
      <c r="L1769">
        <v>2750</v>
      </c>
      <c r="M1769">
        <v>2750</v>
      </c>
      <c r="N1769">
        <v>0</v>
      </c>
    </row>
    <row r="1770" spans="1:14" x14ac:dyDescent="0.25">
      <c r="A1770">
        <v>1285.3937530000001</v>
      </c>
      <c r="B1770" s="1">
        <f>DATE(2013,11,6) + TIME(9,27,0)</f>
        <v>41584.393750000003</v>
      </c>
      <c r="C1770">
        <v>80</v>
      </c>
      <c r="D1770">
        <v>79.285934448000006</v>
      </c>
      <c r="E1770">
        <v>50</v>
      </c>
      <c r="F1770">
        <v>49.967937468999999</v>
      </c>
      <c r="G1770">
        <v>1298.6026611</v>
      </c>
      <c r="H1770">
        <v>1284.3217772999999</v>
      </c>
      <c r="I1770">
        <v>1405.7446289</v>
      </c>
      <c r="J1770">
        <v>1382.8703613</v>
      </c>
      <c r="K1770">
        <v>0</v>
      </c>
      <c r="L1770">
        <v>2750</v>
      </c>
      <c r="M1770">
        <v>2750</v>
      </c>
      <c r="N1770">
        <v>0</v>
      </c>
    </row>
    <row r="1771" spans="1:14" x14ac:dyDescent="0.25">
      <c r="A1771">
        <v>1285.829297</v>
      </c>
      <c r="B1771" s="1">
        <f>DATE(2013,11,6) + TIME(19,54,11)</f>
        <v>41584.829293981478</v>
      </c>
      <c r="C1771">
        <v>80</v>
      </c>
      <c r="D1771">
        <v>79.238349915000001</v>
      </c>
      <c r="E1771">
        <v>50</v>
      </c>
      <c r="F1771">
        <v>49.971210480000003</v>
      </c>
      <c r="G1771">
        <v>1298.5830077999999</v>
      </c>
      <c r="H1771">
        <v>1284.2999268000001</v>
      </c>
      <c r="I1771">
        <v>1405.6716309000001</v>
      </c>
      <c r="J1771">
        <v>1382.8096923999999</v>
      </c>
      <c r="K1771">
        <v>0</v>
      </c>
      <c r="L1771">
        <v>2750</v>
      </c>
      <c r="M1771">
        <v>2750</v>
      </c>
      <c r="N1771">
        <v>0</v>
      </c>
    </row>
    <row r="1772" spans="1:14" x14ac:dyDescent="0.25">
      <c r="A1772">
        <v>1286.2788539999999</v>
      </c>
      <c r="B1772" s="1">
        <f>DATE(2013,11,7) + TIME(6,41,32)</f>
        <v>41585.27884259259</v>
      </c>
      <c r="C1772">
        <v>80</v>
      </c>
      <c r="D1772">
        <v>79.189529418999996</v>
      </c>
      <c r="E1772">
        <v>50</v>
      </c>
      <c r="F1772">
        <v>49.973346710000001</v>
      </c>
      <c r="G1772">
        <v>1298.5632324000001</v>
      </c>
      <c r="H1772">
        <v>1284.2777100000001</v>
      </c>
      <c r="I1772">
        <v>1405.6029053</v>
      </c>
      <c r="J1772">
        <v>1382.7524414</v>
      </c>
      <c r="K1772">
        <v>0</v>
      </c>
      <c r="L1772">
        <v>2750</v>
      </c>
      <c r="M1772">
        <v>2750</v>
      </c>
      <c r="N1772">
        <v>0</v>
      </c>
    </row>
    <row r="1773" spans="1:14" x14ac:dyDescent="0.25">
      <c r="A1773">
        <v>1286.747916</v>
      </c>
      <c r="B1773" s="1">
        <f>DATE(2013,11,7) + TIME(17,56,59)</f>
        <v>41585.74790509259</v>
      </c>
      <c r="C1773">
        <v>80</v>
      </c>
      <c r="D1773">
        <v>79.139198303000001</v>
      </c>
      <c r="E1773">
        <v>50</v>
      </c>
      <c r="F1773">
        <v>49.974746703999998</v>
      </c>
      <c r="G1773">
        <v>1298.5428466999999</v>
      </c>
      <c r="H1773">
        <v>1284.2547606999999</v>
      </c>
      <c r="I1773">
        <v>1405.5369873</v>
      </c>
      <c r="J1773">
        <v>1382.6975098</v>
      </c>
      <c r="K1773">
        <v>0</v>
      </c>
      <c r="L1773">
        <v>2750</v>
      </c>
      <c r="M1773">
        <v>2750</v>
      </c>
      <c r="N1773">
        <v>0</v>
      </c>
    </row>
    <row r="1774" spans="1:14" x14ac:dyDescent="0.25">
      <c r="A1774">
        <v>1287.24244</v>
      </c>
      <c r="B1774" s="1">
        <f>DATE(2013,11,8) + TIME(5,49,6)</f>
        <v>41586.242430555554</v>
      </c>
      <c r="C1774">
        <v>80</v>
      </c>
      <c r="D1774">
        <v>79.086929321</v>
      </c>
      <c r="E1774">
        <v>50</v>
      </c>
      <c r="F1774">
        <v>49.975673676</v>
      </c>
      <c r="G1774">
        <v>1298.5216064000001</v>
      </c>
      <c r="H1774">
        <v>1284.2308350000001</v>
      </c>
      <c r="I1774">
        <v>1405.4729004000001</v>
      </c>
      <c r="J1774">
        <v>1382.644043</v>
      </c>
      <c r="K1774">
        <v>0</v>
      </c>
      <c r="L1774">
        <v>2750</v>
      </c>
      <c r="M1774">
        <v>2750</v>
      </c>
      <c r="N1774">
        <v>0</v>
      </c>
    </row>
    <row r="1775" spans="1:14" x14ac:dyDescent="0.25">
      <c r="A1775">
        <v>1287.769374</v>
      </c>
      <c r="B1775" s="1">
        <f>DATE(2013,11,8) + TIME(18,27,53)</f>
        <v>41586.769363425927</v>
      </c>
      <c r="C1775">
        <v>80</v>
      </c>
      <c r="D1775">
        <v>79.032211304</v>
      </c>
      <c r="E1775">
        <v>50</v>
      </c>
      <c r="F1775">
        <v>49.976284026999998</v>
      </c>
      <c r="G1775">
        <v>1298.4993896000001</v>
      </c>
      <c r="H1775">
        <v>1284.2056885</v>
      </c>
      <c r="I1775">
        <v>1405.4097899999999</v>
      </c>
      <c r="J1775">
        <v>1382.5914307</v>
      </c>
      <c r="K1775">
        <v>0</v>
      </c>
      <c r="L1775">
        <v>2750</v>
      </c>
      <c r="M1775">
        <v>2750</v>
      </c>
      <c r="N1775">
        <v>0</v>
      </c>
    </row>
    <row r="1776" spans="1:14" x14ac:dyDescent="0.25">
      <c r="A1776">
        <v>1288.337428</v>
      </c>
      <c r="B1776" s="1">
        <f>DATE(2013,11,9) + TIME(8,5,53)</f>
        <v>41587.337418981479</v>
      </c>
      <c r="C1776">
        <v>80</v>
      </c>
      <c r="D1776">
        <v>78.974380492999998</v>
      </c>
      <c r="E1776">
        <v>50</v>
      </c>
      <c r="F1776">
        <v>49.976696013999998</v>
      </c>
      <c r="G1776">
        <v>1298.4757079999999</v>
      </c>
      <c r="H1776">
        <v>1284.1789550999999</v>
      </c>
      <c r="I1776">
        <v>1405.3466797000001</v>
      </c>
      <c r="J1776">
        <v>1382.5390625</v>
      </c>
      <c r="K1776">
        <v>0</v>
      </c>
      <c r="L1776">
        <v>2750</v>
      </c>
      <c r="M1776">
        <v>2750</v>
      </c>
      <c r="N1776">
        <v>0</v>
      </c>
    </row>
    <row r="1777" spans="1:14" x14ac:dyDescent="0.25">
      <c r="A1777">
        <v>1288.9530970000001</v>
      </c>
      <c r="B1777" s="1">
        <f>DATE(2013,11,9) + TIME(22,52,27)</f>
        <v>41587.953090277777</v>
      </c>
      <c r="C1777">
        <v>80</v>
      </c>
      <c r="D1777">
        <v>78.912849425999994</v>
      </c>
      <c r="E1777">
        <v>50</v>
      </c>
      <c r="F1777">
        <v>49.976970672999997</v>
      </c>
      <c r="G1777">
        <v>1298.4503173999999</v>
      </c>
      <c r="H1777">
        <v>1284.1502685999999</v>
      </c>
      <c r="I1777">
        <v>1405.2829589999999</v>
      </c>
      <c r="J1777">
        <v>1382.4862060999999</v>
      </c>
      <c r="K1777">
        <v>0</v>
      </c>
      <c r="L1777">
        <v>2750</v>
      </c>
      <c r="M1777">
        <v>2750</v>
      </c>
      <c r="N1777">
        <v>0</v>
      </c>
    </row>
    <row r="1778" spans="1:14" x14ac:dyDescent="0.25">
      <c r="A1778">
        <v>1289.6149620000001</v>
      </c>
      <c r="B1778" s="1">
        <f>DATE(2013,11,10) + TIME(14,45,32)</f>
        <v>41588.614953703705</v>
      </c>
      <c r="C1778">
        <v>80</v>
      </c>
      <c r="D1778">
        <v>78.847442627000007</v>
      </c>
      <c r="E1778">
        <v>50</v>
      </c>
      <c r="F1778">
        <v>49.977153778000002</v>
      </c>
      <c r="G1778">
        <v>1298.4227295000001</v>
      </c>
      <c r="H1778">
        <v>1284.1191406</v>
      </c>
      <c r="I1778">
        <v>1405.2183838000001</v>
      </c>
      <c r="J1778">
        <v>1382.4326172000001</v>
      </c>
      <c r="K1778">
        <v>0</v>
      </c>
      <c r="L1778">
        <v>2750</v>
      </c>
      <c r="M1778">
        <v>2750</v>
      </c>
      <c r="N1778">
        <v>0</v>
      </c>
    </row>
    <row r="1779" spans="1:14" x14ac:dyDescent="0.25">
      <c r="A1779">
        <v>1290.2952640000001</v>
      </c>
      <c r="B1779" s="1">
        <f>DATE(2013,11,11) + TIME(7,5,10)</f>
        <v>41589.295254629629</v>
      </c>
      <c r="C1779">
        <v>80</v>
      </c>
      <c r="D1779">
        <v>78.779502868999998</v>
      </c>
      <c r="E1779">
        <v>50</v>
      </c>
      <c r="F1779">
        <v>49.977275847999998</v>
      </c>
      <c r="G1779">
        <v>1298.3929443</v>
      </c>
      <c r="H1779">
        <v>1284.0858154</v>
      </c>
      <c r="I1779">
        <v>1405.1531981999999</v>
      </c>
      <c r="J1779">
        <v>1382.3789062000001</v>
      </c>
      <c r="K1779">
        <v>0</v>
      </c>
      <c r="L1779">
        <v>2750</v>
      </c>
      <c r="M1779">
        <v>2750</v>
      </c>
      <c r="N1779">
        <v>0</v>
      </c>
    </row>
    <row r="1780" spans="1:14" x14ac:dyDescent="0.25">
      <c r="A1780">
        <v>1290.990047</v>
      </c>
      <c r="B1780" s="1">
        <f>DATE(2013,11,11) + TIME(23,45,40)</f>
        <v>41589.990046296298</v>
      </c>
      <c r="C1780">
        <v>80</v>
      </c>
      <c r="D1780">
        <v>78.709884643999999</v>
      </c>
      <c r="E1780">
        <v>50</v>
      </c>
      <c r="F1780">
        <v>49.977355957</v>
      </c>
      <c r="G1780">
        <v>1298.3624268000001</v>
      </c>
      <c r="H1780">
        <v>1284.0515137</v>
      </c>
      <c r="I1780">
        <v>1405.0904541</v>
      </c>
      <c r="J1780">
        <v>1382.3271483999999</v>
      </c>
      <c r="K1780">
        <v>0</v>
      </c>
      <c r="L1780">
        <v>2750</v>
      </c>
      <c r="M1780">
        <v>2750</v>
      </c>
      <c r="N1780">
        <v>0</v>
      </c>
    </row>
    <row r="1781" spans="1:14" x14ac:dyDescent="0.25">
      <c r="A1781">
        <v>1291.699247</v>
      </c>
      <c r="B1781" s="1">
        <f>DATE(2013,11,12) + TIME(16,46,54)</f>
        <v>41590.699236111112</v>
      </c>
      <c r="C1781">
        <v>80</v>
      </c>
      <c r="D1781">
        <v>78.639030457000004</v>
      </c>
      <c r="E1781">
        <v>50</v>
      </c>
      <c r="F1781">
        <v>49.977409363</v>
      </c>
      <c r="G1781">
        <v>1298.3312988</v>
      </c>
      <c r="H1781">
        <v>1284.0163574000001</v>
      </c>
      <c r="I1781">
        <v>1405.0302733999999</v>
      </c>
      <c r="J1781">
        <v>1382.2777100000001</v>
      </c>
      <c r="K1781">
        <v>0</v>
      </c>
      <c r="L1781">
        <v>2750</v>
      </c>
      <c r="M1781">
        <v>2750</v>
      </c>
      <c r="N1781">
        <v>0</v>
      </c>
    </row>
    <row r="1782" spans="1:14" x14ac:dyDescent="0.25">
      <c r="A1782">
        <v>1292.431544</v>
      </c>
      <c r="B1782" s="1">
        <f>DATE(2013,11,13) + TIME(10,21,25)</f>
        <v>41591.431539351855</v>
      </c>
      <c r="C1782">
        <v>80</v>
      </c>
      <c r="D1782">
        <v>78.566780089999995</v>
      </c>
      <c r="E1782">
        <v>50</v>
      </c>
      <c r="F1782">
        <v>49.977447509999998</v>
      </c>
      <c r="G1782">
        <v>1298.2994385</v>
      </c>
      <c r="H1782">
        <v>1283.9803466999999</v>
      </c>
      <c r="I1782">
        <v>1404.9724120999999</v>
      </c>
      <c r="J1782">
        <v>1382.2302245999999</v>
      </c>
      <c r="K1782">
        <v>0</v>
      </c>
      <c r="L1782">
        <v>2750</v>
      </c>
      <c r="M1782">
        <v>2750</v>
      </c>
      <c r="N1782">
        <v>0</v>
      </c>
    </row>
    <row r="1783" spans="1:14" x14ac:dyDescent="0.25">
      <c r="A1783">
        <v>1293.195937</v>
      </c>
      <c r="B1783" s="1">
        <f>DATE(2013,11,14) + TIME(4,42,8)</f>
        <v>41592.195925925924</v>
      </c>
      <c r="C1783">
        <v>80</v>
      </c>
      <c r="D1783">
        <v>78.492645264000004</v>
      </c>
      <c r="E1783">
        <v>50</v>
      </c>
      <c r="F1783">
        <v>49.977474213000001</v>
      </c>
      <c r="G1783">
        <v>1298.2666016000001</v>
      </c>
      <c r="H1783">
        <v>1283.9432373</v>
      </c>
      <c r="I1783">
        <v>1404.9158935999999</v>
      </c>
      <c r="J1783">
        <v>1382.1839600000001</v>
      </c>
      <c r="K1783">
        <v>0</v>
      </c>
      <c r="L1783">
        <v>2750</v>
      </c>
      <c r="M1783">
        <v>2750</v>
      </c>
      <c r="N1783">
        <v>0</v>
      </c>
    </row>
    <row r="1784" spans="1:14" x14ac:dyDescent="0.25">
      <c r="A1784">
        <v>1294.0024530000001</v>
      </c>
      <c r="B1784" s="1">
        <f>DATE(2013,11,15) + TIME(0,3,31)</f>
        <v>41593.002442129633</v>
      </c>
      <c r="C1784">
        <v>80</v>
      </c>
      <c r="D1784">
        <v>78.415939331000004</v>
      </c>
      <c r="E1784">
        <v>50</v>
      </c>
      <c r="F1784">
        <v>49.977497100999997</v>
      </c>
      <c r="G1784">
        <v>1298.2322998</v>
      </c>
      <c r="H1784">
        <v>1283.9042969</v>
      </c>
      <c r="I1784">
        <v>1404.8601074000001</v>
      </c>
      <c r="J1784">
        <v>1382.1383057</v>
      </c>
      <c r="K1784">
        <v>0</v>
      </c>
      <c r="L1784">
        <v>2750</v>
      </c>
      <c r="M1784">
        <v>2750</v>
      </c>
      <c r="N1784">
        <v>0</v>
      </c>
    </row>
    <row r="1785" spans="1:14" x14ac:dyDescent="0.25">
      <c r="A1785">
        <v>1294.8632769999999</v>
      </c>
      <c r="B1785" s="1">
        <f>DATE(2013,11,15) + TIME(20,43,7)</f>
        <v>41593.863275462965</v>
      </c>
      <c r="C1785">
        <v>80</v>
      </c>
      <c r="D1785">
        <v>78.335807799999998</v>
      </c>
      <c r="E1785">
        <v>50</v>
      </c>
      <c r="F1785">
        <v>49.977512359999999</v>
      </c>
      <c r="G1785">
        <v>1298.1961670000001</v>
      </c>
      <c r="H1785">
        <v>1283.8631591999999</v>
      </c>
      <c r="I1785">
        <v>1404.8043213000001</v>
      </c>
      <c r="J1785">
        <v>1382.0927733999999</v>
      </c>
      <c r="K1785">
        <v>0</v>
      </c>
      <c r="L1785">
        <v>2750</v>
      </c>
      <c r="M1785">
        <v>2750</v>
      </c>
      <c r="N1785">
        <v>0</v>
      </c>
    </row>
    <row r="1786" spans="1:14" x14ac:dyDescent="0.25">
      <c r="A1786">
        <v>1295.7937569999999</v>
      </c>
      <c r="B1786" s="1">
        <f>DATE(2013,11,16) + TIME(19,3,0)</f>
        <v>41594.793749999997</v>
      </c>
      <c r="C1786">
        <v>80</v>
      </c>
      <c r="D1786">
        <v>78.251190186000002</v>
      </c>
      <c r="E1786">
        <v>50</v>
      </c>
      <c r="F1786">
        <v>49.977527618000003</v>
      </c>
      <c r="G1786">
        <v>1298.1573486</v>
      </c>
      <c r="H1786">
        <v>1283.8190918</v>
      </c>
      <c r="I1786">
        <v>1404.7480469</v>
      </c>
      <c r="J1786">
        <v>1382.046875</v>
      </c>
      <c r="K1786">
        <v>0</v>
      </c>
      <c r="L1786">
        <v>2750</v>
      </c>
      <c r="M1786">
        <v>2750</v>
      </c>
      <c r="N1786">
        <v>0</v>
      </c>
    </row>
    <row r="1787" spans="1:14" x14ac:dyDescent="0.25">
      <c r="A1787">
        <v>1296.7669020000001</v>
      </c>
      <c r="B1787" s="1">
        <f>DATE(2013,11,17) + TIME(18,24,20)</f>
        <v>41595.766898148147</v>
      </c>
      <c r="C1787">
        <v>80</v>
      </c>
      <c r="D1787">
        <v>78.162559509000005</v>
      </c>
      <c r="E1787">
        <v>50</v>
      </c>
      <c r="F1787">
        <v>49.977539061999998</v>
      </c>
      <c r="G1787">
        <v>1298.1152344</v>
      </c>
      <c r="H1787">
        <v>1283.7712402</v>
      </c>
      <c r="I1787">
        <v>1404.6901855000001</v>
      </c>
      <c r="J1787">
        <v>1381.9998779</v>
      </c>
      <c r="K1787">
        <v>0</v>
      </c>
      <c r="L1787">
        <v>2750</v>
      </c>
      <c r="M1787">
        <v>2750</v>
      </c>
      <c r="N1787">
        <v>0</v>
      </c>
    </row>
    <row r="1788" spans="1:14" x14ac:dyDescent="0.25">
      <c r="A1788">
        <v>1297.746234</v>
      </c>
      <c r="B1788" s="1">
        <f>DATE(2013,11,18) + TIME(17,54,34)</f>
        <v>41596.74622685185</v>
      </c>
      <c r="C1788">
        <v>80</v>
      </c>
      <c r="D1788">
        <v>78.071929932000003</v>
      </c>
      <c r="E1788">
        <v>50</v>
      </c>
      <c r="F1788">
        <v>49.977550506999997</v>
      </c>
      <c r="G1788">
        <v>1298.0709228999999</v>
      </c>
      <c r="H1788">
        <v>1283.7210693</v>
      </c>
      <c r="I1788">
        <v>1404.6330565999999</v>
      </c>
      <c r="J1788">
        <v>1381.9533690999999</v>
      </c>
      <c r="K1788">
        <v>0</v>
      </c>
      <c r="L1788">
        <v>2750</v>
      </c>
      <c r="M1788">
        <v>2750</v>
      </c>
      <c r="N1788">
        <v>0</v>
      </c>
    </row>
    <row r="1789" spans="1:14" x14ac:dyDescent="0.25">
      <c r="A1789">
        <v>1298.74406</v>
      </c>
      <c r="B1789" s="1">
        <f>DATE(2013,11,19) + TIME(17,51,26)</f>
        <v>41597.744050925925</v>
      </c>
      <c r="C1789">
        <v>80</v>
      </c>
      <c r="D1789">
        <v>77.980247497999997</v>
      </c>
      <c r="E1789">
        <v>50</v>
      </c>
      <c r="F1789">
        <v>49.977561950999998</v>
      </c>
      <c r="G1789">
        <v>1298.0262451000001</v>
      </c>
      <c r="H1789">
        <v>1283.6700439000001</v>
      </c>
      <c r="I1789">
        <v>1404.5784911999999</v>
      </c>
      <c r="J1789">
        <v>1381.9090576000001</v>
      </c>
      <c r="K1789">
        <v>0</v>
      </c>
      <c r="L1789">
        <v>2750</v>
      </c>
      <c r="M1789">
        <v>2750</v>
      </c>
      <c r="N1789">
        <v>0</v>
      </c>
    </row>
    <row r="1790" spans="1:14" x14ac:dyDescent="0.25">
      <c r="A1790">
        <v>1299.772657</v>
      </c>
      <c r="B1790" s="1">
        <f>DATE(2013,11,20) + TIME(18,32,37)</f>
        <v>41598.772650462961</v>
      </c>
      <c r="C1790">
        <v>80</v>
      </c>
      <c r="D1790">
        <v>77.887306213000002</v>
      </c>
      <c r="E1790">
        <v>50</v>
      </c>
      <c r="F1790">
        <v>49.977569580000001</v>
      </c>
      <c r="G1790">
        <v>1297.9804687999999</v>
      </c>
      <c r="H1790">
        <v>1283.6176757999999</v>
      </c>
      <c r="I1790">
        <v>1404.5256348</v>
      </c>
      <c r="J1790">
        <v>1381.8662108999999</v>
      </c>
      <c r="K1790">
        <v>0</v>
      </c>
      <c r="L1790">
        <v>2750</v>
      </c>
      <c r="M1790">
        <v>2750</v>
      </c>
      <c r="N1790">
        <v>0</v>
      </c>
    </row>
    <row r="1791" spans="1:14" x14ac:dyDescent="0.25">
      <c r="A1791">
        <v>1300.8449310000001</v>
      </c>
      <c r="B1791" s="1">
        <f>DATE(2013,11,21) + TIME(20,16,42)</f>
        <v>41599.844930555555</v>
      </c>
      <c r="C1791">
        <v>80</v>
      </c>
      <c r="D1791">
        <v>77.792396545000003</v>
      </c>
      <c r="E1791">
        <v>50</v>
      </c>
      <c r="F1791">
        <v>49.977581024000003</v>
      </c>
      <c r="G1791">
        <v>1297.9329834</v>
      </c>
      <c r="H1791">
        <v>1283.5632324000001</v>
      </c>
      <c r="I1791">
        <v>1404.4737548999999</v>
      </c>
      <c r="J1791">
        <v>1381.8240966999999</v>
      </c>
      <c r="K1791">
        <v>0</v>
      </c>
      <c r="L1791">
        <v>2750</v>
      </c>
      <c r="M1791">
        <v>2750</v>
      </c>
      <c r="N1791">
        <v>0</v>
      </c>
    </row>
    <row r="1792" spans="1:14" x14ac:dyDescent="0.25">
      <c r="A1792">
        <v>1301.9753250000001</v>
      </c>
      <c r="B1792" s="1">
        <f>DATE(2013,11,22) + TIME(23,24,28)</f>
        <v>41600.975324074076</v>
      </c>
      <c r="C1792">
        <v>80</v>
      </c>
      <c r="D1792">
        <v>77.694572449000006</v>
      </c>
      <c r="E1792">
        <v>50</v>
      </c>
      <c r="F1792">
        <v>49.977592467999997</v>
      </c>
      <c r="G1792">
        <v>1297.8831786999999</v>
      </c>
      <c r="H1792">
        <v>1283.5059814000001</v>
      </c>
      <c r="I1792">
        <v>1404.4222411999999</v>
      </c>
      <c r="J1792">
        <v>1381.7823486</v>
      </c>
      <c r="K1792">
        <v>0</v>
      </c>
      <c r="L1792">
        <v>2750</v>
      </c>
      <c r="M1792">
        <v>2750</v>
      </c>
      <c r="N1792">
        <v>0</v>
      </c>
    </row>
    <row r="1793" spans="1:14" x14ac:dyDescent="0.25">
      <c r="A1793">
        <v>1303.1813360000001</v>
      </c>
      <c r="B1793" s="1">
        <f>DATE(2013,11,24) + TIME(4,21,7)</f>
        <v>41602.181331018517</v>
      </c>
      <c r="C1793">
        <v>80</v>
      </c>
      <c r="D1793">
        <v>77.592689514</v>
      </c>
      <c r="E1793">
        <v>50</v>
      </c>
      <c r="F1793">
        <v>49.977603911999999</v>
      </c>
      <c r="G1793">
        <v>1297.8303223</v>
      </c>
      <c r="H1793">
        <v>1283.4450684000001</v>
      </c>
      <c r="I1793">
        <v>1404.3703613</v>
      </c>
      <c r="J1793">
        <v>1381.7403564000001</v>
      </c>
      <c r="K1793">
        <v>0</v>
      </c>
      <c r="L1793">
        <v>2750</v>
      </c>
      <c r="M1793">
        <v>2750</v>
      </c>
      <c r="N1793">
        <v>0</v>
      </c>
    </row>
    <row r="1794" spans="1:14" x14ac:dyDescent="0.25">
      <c r="A1794">
        <v>1304.4553639999999</v>
      </c>
      <c r="B1794" s="1">
        <f>DATE(2013,11,25) + TIME(10,55,43)</f>
        <v>41603.455358796295</v>
      </c>
      <c r="C1794">
        <v>80</v>
      </c>
      <c r="D1794">
        <v>77.486267089999998</v>
      </c>
      <c r="E1794">
        <v>50</v>
      </c>
      <c r="F1794">
        <v>49.977615356000001</v>
      </c>
      <c r="G1794">
        <v>1297.7734375</v>
      </c>
      <c r="H1794">
        <v>1283.3793945</v>
      </c>
      <c r="I1794">
        <v>1404.3176269999999</v>
      </c>
      <c r="J1794">
        <v>1381.6976318</v>
      </c>
      <c r="K1794">
        <v>0</v>
      </c>
      <c r="L1794">
        <v>2750</v>
      </c>
      <c r="M1794">
        <v>2750</v>
      </c>
      <c r="N1794">
        <v>0</v>
      </c>
    </row>
    <row r="1795" spans="1:14" x14ac:dyDescent="0.25">
      <c r="A1795">
        <v>1305.759873</v>
      </c>
      <c r="B1795" s="1">
        <f>DATE(2013,11,26) + TIME(18,14,13)</f>
        <v>41604.759872685187</v>
      </c>
      <c r="C1795">
        <v>80</v>
      </c>
      <c r="D1795">
        <v>77.376495360999996</v>
      </c>
      <c r="E1795">
        <v>50</v>
      </c>
      <c r="F1795">
        <v>49.977630615000002</v>
      </c>
      <c r="G1795">
        <v>1297.7126464999999</v>
      </c>
      <c r="H1795">
        <v>1283.3092041</v>
      </c>
      <c r="I1795">
        <v>1404.2644043</v>
      </c>
      <c r="J1795">
        <v>1381.6546631000001</v>
      </c>
      <c r="K1795">
        <v>0</v>
      </c>
      <c r="L1795">
        <v>2750</v>
      </c>
      <c r="M1795">
        <v>2750</v>
      </c>
      <c r="N1795">
        <v>0</v>
      </c>
    </row>
    <row r="1796" spans="1:14" x14ac:dyDescent="0.25">
      <c r="A1796">
        <v>1307.0776330000001</v>
      </c>
      <c r="B1796" s="1">
        <f>DATE(2013,11,28) + TIME(1,51,47)</f>
        <v>41606.077627314815</v>
      </c>
      <c r="C1796">
        <v>80</v>
      </c>
      <c r="D1796">
        <v>77.265304564999994</v>
      </c>
      <c r="E1796">
        <v>50</v>
      </c>
      <c r="F1796">
        <v>49.977642058999997</v>
      </c>
      <c r="G1796">
        <v>1297.6497803</v>
      </c>
      <c r="H1796">
        <v>1283.2360839999999</v>
      </c>
      <c r="I1796">
        <v>1404.2124022999999</v>
      </c>
      <c r="J1796">
        <v>1381.6125488</v>
      </c>
      <c r="K1796">
        <v>0</v>
      </c>
      <c r="L1796">
        <v>2750</v>
      </c>
      <c r="M1796">
        <v>2750</v>
      </c>
      <c r="N1796">
        <v>0</v>
      </c>
    </row>
    <row r="1797" spans="1:14" x14ac:dyDescent="0.25">
      <c r="A1797">
        <v>1308.42464</v>
      </c>
      <c r="B1797" s="1">
        <f>DATE(2013,11,29) + TIME(10,11,28)</f>
        <v>41607.424629629626</v>
      </c>
      <c r="C1797">
        <v>80</v>
      </c>
      <c r="D1797">
        <v>77.153366089000002</v>
      </c>
      <c r="E1797">
        <v>50</v>
      </c>
      <c r="F1797">
        <v>49.977657317999999</v>
      </c>
      <c r="G1797">
        <v>1297.5854492000001</v>
      </c>
      <c r="H1797">
        <v>1283.1610106999999</v>
      </c>
      <c r="I1797">
        <v>1404.1622314000001</v>
      </c>
      <c r="J1797">
        <v>1381.5718993999999</v>
      </c>
      <c r="K1797">
        <v>0</v>
      </c>
      <c r="L1797">
        <v>2750</v>
      </c>
      <c r="M1797">
        <v>2750</v>
      </c>
      <c r="N1797">
        <v>0</v>
      </c>
    </row>
    <row r="1798" spans="1:14" x14ac:dyDescent="0.25">
      <c r="A1798">
        <v>1309.8171380000001</v>
      </c>
      <c r="B1798" s="1">
        <f>DATE(2013,11,30) + TIME(19,36,40)</f>
        <v>41608.817129629628</v>
      </c>
      <c r="C1798">
        <v>80</v>
      </c>
      <c r="D1798">
        <v>77.040092467999997</v>
      </c>
      <c r="E1798">
        <v>50</v>
      </c>
      <c r="F1798">
        <v>49.977672577</v>
      </c>
      <c r="G1798">
        <v>1297.5187988</v>
      </c>
      <c r="H1798">
        <v>1283.0831298999999</v>
      </c>
      <c r="I1798">
        <v>1404.1130370999999</v>
      </c>
      <c r="J1798">
        <v>1381.5321045000001</v>
      </c>
      <c r="K1798">
        <v>0</v>
      </c>
      <c r="L1798">
        <v>2750</v>
      </c>
      <c r="M1798">
        <v>2750</v>
      </c>
      <c r="N1798">
        <v>0</v>
      </c>
    </row>
    <row r="1799" spans="1:14" x14ac:dyDescent="0.25">
      <c r="A1799">
        <v>1310</v>
      </c>
      <c r="B1799" s="1">
        <f>DATE(2013,12,1) + TIME(0,0,0)</f>
        <v>41609</v>
      </c>
      <c r="C1799">
        <v>80</v>
      </c>
      <c r="D1799">
        <v>77.005523682000003</v>
      </c>
      <c r="E1799">
        <v>50</v>
      </c>
      <c r="F1799">
        <v>49.977668762</v>
      </c>
      <c r="G1799">
        <v>1297.447876</v>
      </c>
      <c r="H1799">
        <v>1283.0097656</v>
      </c>
      <c r="I1799">
        <v>1404.0645752</v>
      </c>
      <c r="J1799">
        <v>1381.4929199000001</v>
      </c>
      <c r="K1799">
        <v>0</v>
      </c>
      <c r="L1799">
        <v>2750</v>
      </c>
      <c r="M1799">
        <v>2750</v>
      </c>
      <c r="N1799">
        <v>0</v>
      </c>
    </row>
    <row r="1800" spans="1:14" x14ac:dyDescent="0.25">
      <c r="A1800">
        <v>1311.4556789999999</v>
      </c>
      <c r="B1800" s="1">
        <f>DATE(2013,12,2) + TIME(10,56,10)</f>
        <v>41610.455671296295</v>
      </c>
      <c r="C1800">
        <v>80</v>
      </c>
      <c r="D1800">
        <v>76.902946471999996</v>
      </c>
      <c r="E1800">
        <v>50</v>
      </c>
      <c r="F1800">
        <v>49.977691649999997</v>
      </c>
      <c r="G1800">
        <v>1297.4394531</v>
      </c>
      <c r="H1800">
        <v>1282.9885254000001</v>
      </c>
      <c r="I1800">
        <v>1404.0581055</v>
      </c>
      <c r="J1800">
        <v>1381.4875488</v>
      </c>
      <c r="K1800">
        <v>0</v>
      </c>
      <c r="L1800">
        <v>2750</v>
      </c>
      <c r="M1800">
        <v>2750</v>
      </c>
      <c r="N1800">
        <v>0</v>
      </c>
    </row>
    <row r="1801" spans="1:14" x14ac:dyDescent="0.25">
      <c r="A1801">
        <v>1313.0076650000001</v>
      </c>
      <c r="B1801" s="1">
        <f>DATE(2013,12,4) + TIME(0,11,2)</f>
        <v>41612.007662037038</v>
      </c>
      <c r="C1801">
        <v>80</v>
      </c>
      <c r="D1801">
        <v>76.787979125999996</v>
      </c>
      <c r="E1801">
        <v>50</v>
      </c>
      <c r="F1801">
        <v>49.977706908999998</v>
      </c>
      <c r="G1801">
        <v>1297.3657227000001</v>
      </c>
      <c r="H1801">
        <v>1282.9020995999999</v>
      </c>
      <c r="I1801">
        <v>1404.0096435999999</v>
      </c>
      <c r="J1801">
        <v>1381.4483643000001</v>
      </c>
      <c r="K1801">
        <v>0</v>
      </c>
      <c r="L1801">
        <v>2750</v>
      </c>
      <c r="M1801">
        <v>2750</v>
      </c>
      <c r="N1801">
        <v>0</v>
      </c>
    </row>
    <row r="1802" spans="1:14" x14ac:dyDescent="0.25">
      <c r="A1802">
        <v>1314.6551199999999</v>
      </c>
      <c r="B1802" s="1">
        <f>DATE(2013,12,5) + TIME(15,43,22)</f>
        <v>41613.655115740738</v>
      </c>
      <c r="C1802">
        <v>80</v>
      </c>
      <c r="D1802">
        <v>76.664802550999994</v>
      </c>
      <c r="E1802">
        <v>50</v>
      </c>
      <c r="F1802">
        <v>49.977725982999999</v>
      </c>
      <c r="G1802">
        <v>1297.2855225000001</v>
      </c>
      <c r="H1802">
        <v>1282.807251</v>
      </c>
      <c r="I1802">
        <v>1403.9599608999999</v>
      </c>
      <c r="J1802">
        <v>1381.4080810999999</v>
      </c>
      <c r="K1802">
        <v>0</v>
      </c>
      <c r="L1802">
        <v>2750</v>
      </c>
      <c r="M1802">
        <v>2750</v>
      </c>
      <c r="N1802">
        <v>0</v>
      </c>
    </row>
    <row r="1803" spans="1:14" x14ac:dyDescent="0.25">
      <c r="A1803">
        <v>1316.316552</v>
      </c>
      <c r="B1803" s="1">
        <f>DATE(2013,12,7) + TIME(7,35,50)</f>
        <v>41615.316550925927</v>
      </c>
      <c r="C1803">
        <v>80</v>
      </c>
      <c r="D1803">
        <v>76.536987304999997</v>
      </c>
      <c r="E1803">
        <v>50</v>
      </c>
      <c r="F1803">
        <v>49.977745056000003</v>
      </c>
      <c r="G1803">
        <v>1297.1988524999999</v>
      </c>
      <c r="H1803">
        <v>1282.7042236</v>
      </c>
      <c r="I1803">
        <v>1403.9093018000001</v>
      </c>
      <c r="J1803">
        <v>1381.3669434000001</v>
      </c>
      <c r="K1803">
        <v>0</v>
      </c>
      <c r="L1803">
        <v>2750</v>
      </c>
      <c r="M1803">
        <v>2750</v>
      </c>
      <c r="N1803">
        <v>0</v>
      </c>
    </row>
    <row r="1804" spans="1:14" x14ac:dyDescent="0.25">
      <c r="A1804">
        <v>1318.0042080000001</v>
      </c>
      <c r="B1804" s="1">
        <f>DATE(2013,12,9) + TIME(0,6,3)</f>
        <v>41617.004201388889</v>
      </c>
      <c r="C1804">
        <v>80</v>
      </c>
      <c r="D1804">
        <v>76.407989502000007</v>
      </c>
      <c r="E1804">
        <v>50</v>
      </c>
      <c r="F1804">
        <v>49.977764129999997</v>
      </c>
      <c r="G1804">
        <v>1297.1096190999999</v>
      </c>
      <c r="H1804">
        <v>1282.5975341999999</v>
      </c>
      <c r="I1804">
        <v>1403.8602295000001</v>
      </c>
      <c r="J1804">
        <v>1381.3270264</v>
      </c>
      <c r="K1804">
        <v>0</v>
      </c>
      <c r="L1804">
        <v>2750</v>
      </c>
      <c r="M1804">
        <v>2750</v>
      </c>
      <c r="N1804">
        <v>0</v>
      </c>
    </row>
    <row r="1805" spans="1:14" x14ac:dyDescent="0.25">
      <c r="A1805">
        <v>1319.7336740000001</v>
      </c>
      <c r="B1805" s="1">
        <f>DATE(2013,12,10) + TIME(17,36,29)</f>
        <v>41618.733668981484</v>
      </c>
      <c r="C1805">
        <v>80</v>
      </c>
      <c r="D1805">
        <v>76.278152465999995</v>
      </c>
      <c r="E1805">
        <v>50</v>
      </c>
      <c r="F1805">
        <v>49.977787018000001</v>
      </c>
      <c r="G1805">
        <v>1297.0172118999999</v>
      </c>
      <c r="H1805">
        <v>1282.4862060999999</v>
      </c>
      <c r="I1805">
        <v>1403.8123779</v>
      </c>
      <c r="J1805">
        <v>1381.2880858999999</v>
      </c>
      <c r="K1805">
        <v>0</v>
      </c>
      <c r="L1805">
        <v>2750</v>
      </c>
      <c r="M1805">
        <v>2750</v>
      </c>
      <c r="N1805">
        <v>0</v>
      </c>
    </row>
    <row r="1806" spans="1:14" x14ac:dyDescent="0.25">
      <c r="A1806">
        <v>1321.5261700000001</v>
      </c>
      <c r="B1806" s="1">
        <f>DATE(2013,12,12) + TIME(12,37,41)</f>
        <v>41620.52616898148</v>
      </c>
      <c r="C1806">
        <v>80</v>
      </c>
      <c r="D1806">
        <v>76.146690368999998</v>
      </c>
      <c r="E1806">
        <v>50</v>
      </c>
      <c r="F1806">
        <v>49.977806090999998</v>
      </c>
      <c r="G1806">
        <v>1296.9206543</v>
      </c>
      <c r="H1806">
        <v>1282.3692627</v>
      </c>
      <c r="I1806">
        <v>1403.7651367000001</v>
      </c>
      <c r="J1806">
        <v>1381.2496338000001</v>
      </c>
      <c r="K1806">
        <v>0</v>
      </c>
      <c r="L1806">
        <v>2750</v>
      </c>
      <c r="M1806">
        <v>2750</v>
      </c>
      <c r="N1806">
        <v>0</v>
      </c>
    </row>
    <row r="1807" spans="1:14" x14ac:dyDescent="0.25">
      <c r="A1807">
        <v>1323.4053550000001</v>
      </c>
      <c r="B1807" s="1">
        <f>DATE(2013,12,14) + TIME(9,43,42)</f>
        <v>41622.405347222222</v>
      </c>
      <c r="C1807">
        <v>80</v>
      </c>
      <c r="D1807">
        <v>76.012290954999997</v>
      </c>
      <c r="E1807">
        <v>50</v>
      </c>
      <c r="F1807">
        <v>49.977828979000002</v>
      </c>
      <c r="G1807">
        <v>1296.8184814000001</v>
      </c>
      <c r="H1807">
        <v>1282.2448730000001</v>
      </c>
      <c r="I1807">
        <v>1403.7180175999999</v>
      </c>
      <c r="J1807">
        <v>1381.2111815999999</v>
      </c>
      <c r="K1807">
        <v>0</v>
      </c>
      <c r="L1807">
        <v>2750</v>
      </c>
      <c r="M1807">
        <v>2750</v>
      </c>
      <c r="N1807">
        <v>0</v>
      </c>
    </row>
    <row r="1808" spans="1:14" x14ac:dyDescent="0.25">
      <c r="A1808">
        <v>1325.3563019999999</v>
      </c>
      <c r="B1808" s="1">
        <f>DATE(2013,12,16) + TIME(8,33,4)</f>
        <v>41624.356296296297</v>
      </c>
      <c r="C1808">
        <v>80</v>
      </c>
      <c r="D1808">
        <v>75.874214171999995</v>
      </c>
      <c r="E1808">
        <v>50</v>
      </c>
      <c r="F1808">
        <v>49.977855681999998</v>
      </c>
      <c r="G1808">
        <v>1296.7089844</v>
      </c>
      <c r="H1808">
        <v>1282.1110839999999</v>
      </c>
      <c r="I1808">
        <v>1403.6704102000001</v>
      </c>
      <c r="J1808">
        <v>1381.1722411999999</v>
      </c>
      <c r="K1808">
        <v>0</v>
      </c>
      <c r="L1808">
        <v>2750</v>
      </c>
      <c r="M1808">
        <v>2750</v>
      </c>
      <c r="N1808">
        <v>0</v>
      </c>
    </row>
    <row r="1809" spans="1:14" x14ac:dyDescent="0.25">
      <c r="A1809">
        <v>1327.3407130000001</v>
      </c>
      <c r="B1809" s="1">
        <f>DATE(2013,12,18) + TIME(8,10,37)</f>
        <v>41626.34070601852</v>
      </c>
      <c r="C1809">
        <v>80</v>
      </c>
      <c r="D1809">
        <v>75.733535767000006</v>
      </c>
      <c r="E1809">
        <v>50</v>
      </c>
      <c r="F1809">
        <v>49.977878570999998</v>
      </c>
      <c r="G1809">
        <v>1296.5926514</v>
      </c>
      <c r="H1809">
        <v>1281.9681396000001</v>
      </c>
      <c r="I1809">
        <v>1403.6226807</v>
      </c>
      <c r="J1809">
        <v>1381.1333007999999</v>
      </c>
      <c r="K1809">
        <v>0</v>
      </c>
      <c r="L1809">
        <v>2750</v>
      </c>
      <c r="M1809">
        <v>2750</v>
      </c>
      <c r="N1809">
        <v>0</v>
      </c>
    </row>
    <row r="1810" spans="1:14" x14ac:dyDescent="0.25">
      <c r="A1810">
        <v>1329.3618329999999</v>
      </c>
      <c r="B1810" s="1">
        <f>DATE(2013,12,20) + TIME(8,41,2)</f>
        <v>41628.361828703702</v>
      </c>
      <c r="C1810">
        <v>80</v>
      </c>
      <c r="D1810">
        <v>75.591781616000006</v>
      </c>
      <c r="E1810">
        <v>50</v>
      </c>
      <c r="F1810">
        <v>49.977905272999998</v>
      </c>
      <c r="G1810">
        <v>1296.4713135</v>
      </c>
      <c r="H1810">
        <v>1281.8181152</v>
      </c>
      <c r="I1810">
        <v>1403.5759277</v>
      </c>
      <c r="J1810">
        <v>1381.0949707</v>
      </c>
      <c r="K1810">
        <v>0</v>
      </c>
      <c r="L1810">
        <v>2750</v>
      </c>
      <c r="M1810">
        <v>2750</v>
      </c>
      <c r="N1810">
        <v>0</v>
      </c>
    </row>
    <row r="1811" spans="1:14" x14ac:dyDescent="0.25">
      <c r="A1811">
        <v>1331.4023569999999</v>
      </c>
      <c r="B1811" s="1">
        <f>DATE(2013,12,22) + TIME(9,39,23)</f>
        <v>41630.402349537035</v>
      </c>
      <c r="C1811">
        <v>80</v>
      </c>
      <c r="D1811">
        <v>75.449584960999999</v>
      </c>
      <c r="E1811">
        <v>50</v>
      </c>
      <c r="F1811">
        <v>49.977928161999998</v>
      </c>
      <c r="G1811">
        <v>1296.3446045000001</v>
      </c>
      <c r="H1811">
        <v>1281.6605225000001</v>
      </c>
      <c r="I1811">
        <v>1403.5299072</v>
      </c>
      <c r="J1811">
        <v>1381.0571289</v>
      </c>
      <c r="K1811">
        <v>0</v>
      </c>
      <c r="L1811">
        <v>2750</v>
      </c>
      <c r="M1811">
        <v>2750</v>
      </c>
      <c r="N1811">
        <v>0</v>
      </c>
    </row>
    <row r="1812" spans="1:14" x14ac:dyDescent="0.25">
      <c r="A1812">
        <v>1333.464166</v>
      </c>
      <c r="B1812" s="1">
        <f>DATE(2013,12,24) + TIME(11,8,23)</f>
        <v>41632.464155092595</v>
      </c>
      <c r="C1812">
        <v>80</v>
      </c>
      <c r="D1812">
        <v>75.307601929</v>
      </c>
      <c r="E1812">
        <v>50</v>
      </c>
      <c r="F1812">
        <v>49.977954865000001</v>
      </c>
      <c r="G1812">
        <v>1296.213501</v>
      </c>
      <c r="H1812">
        <v>1281.4964600000001</v>
      </c>
      <c r="I1812">
        <v>1403.4848632999999</v>
      </c>
      <c r="J1812">
        <v>1381.0201416</v>
      </c>
      <c r="K1812">
        <v>0</v>
      </c>
      <c r="L1812">
        <v>2750</v>
      </c>
      <c r="M1812">
        <v>2750</v>
      </c>
      <c r="N1812">
        <v>0</v>
      </c>
    </row>
    <row r="1813" spans="1:14" x14ac:dyDescent="0.25">
      <c r="A1813">
        <v>1335.5517560000001</v>
      </c>
      <c r="B1813" s="1">
        <f>DATE(2013,12,26) + TIME(13,14,31)</f>
        <v>41634.551747685182</v>
      </c>
      <c r="C1813">
        <v>80</v>
      </c>
      <c r="D1813">
        <v>75.165824889999996</v>
      </c>
      <c r="E1813">
        <v>50</v>
      </c>
      <c r="F1813">
        <v>49.977981567</v>
      </c>
      <c r="G1813">
        <v>1296.0775146000001</v>
      </c>
      <c r="H1813">
        <v>1281.3255615</v>
      </c>
      <c r="I1813">
        <v>1403.440918</v>
      </c>
      <c r="J1813">
        <v>1380.9840088000001</v>
      </c>
      <c r="K1813">
        <v>0</v>
      </c>
      <c r="L1813">
        <v>2750</v>
      </c>
      <c r="M1813">
        <v>2750</v>
      </c>
      <c r="N1813">
        <v>0</v>
      </c>
    </row>
    <row r="1814" spans="1:14" x14ac:dyDescent="0.25">
      <c r="A1814">
        <v>1337.6697979999999</v>
      </c>
      <c r="B1814" s="1">
        <f>DATE(2013,12,28) + TIME(16,4,30)</f>
        <v>41636.669791666667</v>
      </c>
      <c r="C1814">
        <v>80</v>
      </c>
      <c r="D1814">
        <v>75.024017334000007</v>
      </c>
      <c r="E1814">
        <v>50</v>
      </c>
      <c r="F1814">
        <v>49.978008269999997</v>
      </c>
      <c r="G1814">
        <v>1295.9364014</v>
      </c>
      <c r="H1814">
        <v>1281.1470947</v>
      </c>
      <c r="I1814">
        <v>1403.3978271000001</v>
      </c>
      <c r="J1814">
        <v>1380.9483643000001</v>
      </c>
      <c r="K1814">
        <v>0</v>
      </c>
      <c r="L1814">
        <v>2750</v>
      </c>
      <c r="M1814">
        <v>2750</v>
      </c>
      <c r="N1814">
        <v>0</v>
      </c>
    </row>
    <row r="1815" spans="1:14" x14ac:dyDescent="0.25">
      <c r="A1815">
        <v>1339.822453</v>
      </c>
      <c r="B1815" s="1">
        <f>DATE(2013,12,30) + TIME(19,44,19)</f>
        <v>41638.822442129633</v>
      </c>
      <c r="C1815">
        <v>80</v>
      </c>
      <c r="D1815">
        <v>74.881752014</v>
      </c>
      <c r="E1815">
        <v>50</v>
      </c>
      <c r="F1815">
        <v>49.978034973</v>
      </c>
      <c r="G1815">
        <v>1295.7896728999999</v>
      </c>
      <c r="H1815">
        <v>1280.9604492000001</v>
      </c>
      <c r="I1815">
        <v>1403.3554687999999</v>
      </c>
      <c r="J1815">
        <v>1380.9133300999999</v>
      </c>
      <c r="K1815">
        <v>0</v>
      </c>
      <c r="L1815">
        <v>2750</v>
      </c>
      <c r="M1815">
        <v>2750</v>
      </c>
      <c r="N1815">
        <v>0</v>
      </c>
    </row>
    <row r="1816" spans="1:14" x14ac:dyDescent="0.25">
      <c r="A1816">
        <v>1341</v>
      </c>
      <c r="B1816" s="1">
        <f>DATE(2014,1,1) + TIME(0,0,0)</f>
        <v>41640</v>
      </c>
      <c r="C1816">
        <v>80</v>
      </c>
      <c r="D1816">
        <v>74.764328003000003</v>
      </c>
      <c r="E1816">
        <v>50</v>
      </c>
      <c r="F1816">
        <v>49.978050232000001</v>
      </c>
      <c r="G1816">
        <v>1295.6379394999999</v>
      </c>
      <c r="H1816">
        <v>1280.7716064000001</v>
      </c>
      <c r="I1816">
        <v>1403.3131103999999</v>
      </c>
      <c r="J1816">
        <v>1380.8781738</v>
      </c>
      <c r="K1816">
        <v>0</v>
      </c>
      <c r="L1816">
        <v>2750</v>
      </c>
      <c r="M1816">
        <v>2750</v>
      </c>
      <c r="N1816">
        <v>0</v>
      </c>
    </row>
    <row r="1817" spans="1:14" x14ac:dyDescent="0.25">
      <c r="A1817">
        <v>1343.19139</v>
      </c>
      <c r="B1817" s="1">
        <f>DATE(2014,1,3) + TIME(4,35,36)</f>
        <v>41642.191388888888</v>
      </c>
      <c r="C1817">
        <v>80</v>
      </c>
      <c r="D1817">
        <v>74.651184082</v>
      </c>
      <c r="E1817">
        <v>50</v>
      </c>
      <c r="F1817">
        <v>49.978080749999997</v>
      </c>
      <c r="G1817">
        <v>1295.5474853999999</v>
      </c>
      <c r="H1817">
        <v>1280.6477050999999</v>
      </c>
      <c r="I1817">
        <v>1403.2912598</v>
      </c>
      <c r="J1817">
        <v>1380.8601074000001</v>
      </c>
      <c r="K1817">
        <v>0</v>
      </c>
      <c r="L1817">
        <v>2750</v>
      </c>
      <c r="M1817">
        <v>2750</v>
      </c>
      <c r="N1817">
        <v>0</v>
      </c>
    </row>
    <row r="1818" spans="1:14" x14ac:dyDescent="0.25">
      <c r="A1818">
        <v>1345.4254900000001</v>
      </c>
      <c r="B1818" s="1">
        <f>DATE(2014,1,5) + TIME(10,12,42)</f>
        <v>41644.425486111111</v>
      </c>
      <c r="C1818">
        <v>80</v>
      </c>
      <c r="D1818">
        <v>74.515083313000005</v>
      </c>
      <c r="E1818">
        <v>50</v>
      </c>
      <c r="F1818">
        <v>49.978107452000003</v>
      </c>
      <c r="G1818">
        <v>1295.3881836</v>
      </c>
      <c r="H1818">
        <v>1280.4448242000001</v>
      </c>
      <c r="I1818">
        <v>1403.2504882999999</v>
      </c>
      <c r="J1818">
        <v>1380.8262939000001</v>
      </c>
      <c r="K1818">
        <v>0</v>
      </c>
      <c r="L1818">
        <v>2750</v>
      </c>
      <c r="M1818">
        <v>2750</v>
      </c>
      <c r="N1818">
        <v>0</v>
      </c>
    </row>
    <row r="1819" spans="1:14" x14ac:dyDescent="0.25">
      <c r="A1819">
        <v>1347.6905819999999</v>
      </c>
      <c r="B1819" s="1">
        <f>DATE(2014,1,7) + TIME(16,34,26)</f>
        <v>41646.690578703703</v>
      </c>
      <c r="C1819">
        <v>80</v>
      </c>
      <c r="D1819">
        <v>74.372154236</v>
      </c>
      <c r="E1819">
        <v>50</v>
      </c>
      <c r="F1819">
        <v>49.978137969999999</v>
      </c>
      <c r="G1819">
        <v>1295.2196045000001</v>
      </c>
      <c r="H1819">
        <v>1280.2274170000001</v>
      </c>
      <c r="I1819">
        <v>1403.2100829999999</v>
      </c>
      <c r="J1819">
        <v>1380.7926024999999</v>
      </c>
      <c r="K1819">
        <v>0</v>
      </c>
      <c r="L1819">
        <v>2750</v>
      </c>
      <c r="M1819">
        <v>2750</v>
      </c>
      <c r="N1819">
        <v>0</v>
      </c>
    </row>
    <row r="1820" spans="1:14" x14ac:dyDescent="0.25">
      <c r="A1820">
        <v>1349.9822959999999</v>
      </c>
      <c r="B1820" s="1">
        <f>DATE(2014,1,9) + TIME(23,34,30)</f>
        <v>41648.982291666667</v>
      </c>
      <c r="C1820">
        <v>80</v>
      </c>
      <c r="D1820">
        <v>74.226860045999999</v>
      </c>
      <c r="E1820">
        <v>50</v>
      </c>
      <c r="F1820">
        <v>49.978168488000001</v>
      </c>
      <c r="G1820">
        <v>1295.0439452999999</v>
      </c>
      <c r="H1820">
        <v>1279.9992675999999</v>
      </c>
      <c r="I1820">
        <v>1403.1701660000001</v>
      </c>
      <c r="J1820">
        <v>1380.7592772999999</v>
      </c>
      <c r="K1820">
        <v>0</v>
      </c>
      <c r="L1820">
        <v>2750</v>
      </c>
      <c r="M1820">
        <v>2750</v>
      </c>
      <c r="N1820">
        <v>0</v>
      </c>
    </row>
    <row r="1821" spans="1:14" x14ac:dyDescent="0.25">
      <c r="A1821">
        <v>1352.296691</v>
      </c>
      <c r="B1821" s="1">
        <f>DATE(2014,1,12) + TIME(7,7,14)</f>
        <v>41651.296689814815</v>
      </c>
      <c r="C1821">
        <v>80</v>
      </c>
      <c r="D1821">
        <v>74.080421447999996</v>
      </c>
      <c r="E1821">
        <v>50</v>
      </c>
      <c r="F1821">
        <v>49.978195190000001</v>
      </c>
      <c r="G1821">
        <v>1294.8615723</v>
      </c>
      <c r="H1821">
        <v>1279.7613524999999</v>
      </c>
      <c r="I1821">
        <v>1403.1308594</v>
      </c>
      <c r="J1821">
        <v>1380.7264404</v>
      </c>
      <c r="K1821">
        <v>0</v>
      </c>
      <c r="L1821">
        <v>2750</v>
      </c>
      <c r="M1821">
        <v>2750</v>
      </c>
      <c r="N1821">
        <v>0</v>
      </c>
    </row>
    <row r="1822" spans="1:14" x14ac:dyDescent="0.25">
      <c r="A1822">
        <v>1354.6402459999999</v>
      </c>
      <c r="B1822" s="1">
        <f>DATE(2014,1,14) + TIME(15,21,57)</f>
        <v>41653.640243055554</v>
      </c>
      <c r="C1822">
        <v>80</v>
      </c>
      <c r="D1822">
        <v>73.933044433999996</v>
      </c>
      <c r="E1822">
        <v>50</v>
      </c>
      <c r="F1822">
        <v>49.978225707999997</v>
      </c>
      <c r="G1822">
        <v>1294.6728516000001</v>
      </c>
      <c r="H1822">
        <v>1279.5137939000001</v>
      </c>
      <c r="I1822">
        <v>1403.0921631000001</v>
      </c>
      <c r="J1822">
        <v>1380.6939697</v>
      </c>
      <c r="K1822">
        <v>0</v>
      </c>
      <c r="L1822">
        <v>2750</v>
      </c>
      <c r="M1822">
        <v>2750</v>
      </c>
      <c r="N1822">
        <v>0</v>
      </c>
    </row>
    <row r="1823" spans="1:14" x14ac:dyDescent="0.25">
      <c r="A1823">
        <v>1357.016535</v>
      </c>
      <c r="B1823" s="1">
        <f>DATE(2014,1,17) + TIME(0,23,48)</f>
        <v>41656.016527777778</v>
      </c>
      <c r="C1823">
        <v>80</v>
      </c>
      <c r="D1823">
        <v>73.784385681000003</v>
      </c>
      <c r="E1823">
        <v>50</v>
      </c>
      <c r="F1823">
        <v>49.978256225999999</v>
      </c>
      <c r="G1823">
        <v>1294.4771728999999</v>
      </c>
      <c r="H1823">
        <v>1279.2561035000001</v>
      </c>
      <c r="I1823">
        <v>1403.0538329999999</v>
      </c>
      <c r="J1823">
        <v>1380.6618652</v>
      </c>
      <c r="K1823">
        <v>0</v>
      </c>
      <c r="L1823">
        <v>2750</v>
      </c>
      <c r="M1823">
        <v>2750</v>
      </c>
      <c r="N1823">
        <v>0</v>
      </c>
    </row>
    <row r="1824" spans="1:14" x14ac:dyDescent="0.25">
      <c r="A1824">
        <v>1359.426314</v>
      </c>
      <c r="B1824" s="1">
        <f>DATE(2014,1,19) + TIME(10,13,53)</f>
        <v>41658.426307870373</v>
      </c>
      <c r="C1824">
        <v>80</v>
      </c>
      <c r="D1824">
        <v>73.634063721000004</v>
      </c>
      <c r="E1824">
        <v>50</v>
      </c>
      <c r="F1824">
        <v>49.978286742999998</v>
      </c>
      <c r="G1824">
        <v>1294.2740478999999</v>
      </c>
      <c r="H1824">
        <v>1278.9875488</v>
      </c>
      <c r="I1824">
        <v>1403.0159911999999</v>
      </c>
      <c r="J1824">
        <v>1380.6300048999999</v>
      </c>
      <c r="K1824">
        <v>0</v>
      </c>
      <c r="L1824">
        <v>2750</v>
      </c>
      <c r="M1824">
        <v>2750</v>
      </c>
      <c r="N1824">
        <v>0</v>
      </c>
    </row>
    <row r="1825" spans="1:14" x14ac:dyDescent="0.25">
      <c r="A1825">
        <v>1361.8745240000001</v>
      </c>
      <c r="B1825" s="1">
        <f>DATE(2014,1,21) + TIME(20,59,18)</f>
        <v>41660.874513888892</v>
      </c>
      <c r="C1825">
        <v>80</v>
      </c>
      <c r="D1825">
        <v>73.481742858999993</v>
      </c>
      <c r="E1825">
        <v>50</v>
      </c>
      <c r="F1825">
        <v>49.978321074999997</v>
      </c>
      <c r="G1825">
        <v>1294.0632324000001</v>
      </c>
      <c r="H1825">
        <v>1278.7076416</v>
      </c>
      <c r="I1825">
        <v>1402.9785156</v>
      </c>
      <c r="J1825">
        <v>1380.5983887</v>
      </c>
      <c r="K1825">
        <v>0</v>
      </c>
      <c r="L1825">
        <v>2750</v>
      </c>
      <c r="M1825">
        <v>2750</v>
      </c>
      <c r="N1825">
        <v>0</v>
      </c>
    </row>
    <row r="1826" spans="1:14" x14ac:dyDescent="0.25">
      <c r="A1826">
        <v>1364.357528</v>
      </c>
      <c r="B1826" s="1">
        <f>DATE(2014,1,24) + TIME(8,34,50)</f>
        <v>41663.357523148145</v>
      </c>
      <c r="C1826">
        <v>80</v>
      </c>
      <c r="D1826">
        <v>73.327026367000002</v>
      </c>
      <c r="E1826">
        <v>50</v>
      </c>
      <c r="F1826">
        <v>49.978351592999999</v>
      </c>
      <c r="G1826">
        <v>1293.8442382999999</v>
      </c>
      <c r="H1826">
        <v>1278.4156493999999</v>
      </c>
      <c r="I1826">
        <v>1402.9411620999999</v>
      </c>
      <c r="J1826">
        <v>1380.5670166</v>
      </c>
      <c r="K1826">
        <v>0</v>
      </c>
      <c r="L1826">
        <v>2750</v>
      </c>
      <c r="M1826">
        <v>2750</v>
      </c>
      <c r="N1826">
        <v>0</v>
      </c>
    </row>
    <row r="1827" spans="1:14" x14ac:dyDescent="0.25">
      <c r="A1827">
        <v>1366.8783989999999</v>
      </c>
      <c r="B1827" s="1">
        <f>DATE(2014,1,26) + TIME(21,4,53)</f>
        <v>41665.878391203703</v>
      </c>
      <c r="C1827">
        <v>80</v>
      </c>
      <c r="D1827">
        <v>73.169692992999998</v>
      </c>
      <c r="E1827">
        <v>50</v>
      </c>
      <c r="F1827">
        <v>49.978382111000002</v>
      </c>
      <c r="G1827">
        <v>1293.6169434000001</v>
      </c>
      <c r="H1827">
        <v>1278.1115723</v>
      </c>
      <c r="I1827">
        <v>1402.9041748</v>
      </c>
      <c r="J1827">
        <v>1380.5356445</v>
      </c>
      <c r="K1827">
        <v>0</v>
      </c>
      <c r="L1827">
        <v>2750</v>
      </c>
      <c r="M1827">
        <v>2750</v>
      </c>
      <c r="N1827">
        <v>0</v>
      </c>
    </row>
    <row r="1828" spans="1:14" x14ac:dyDescent="0.25">
      <c r="A1828">
        <v>1369.42608</v>
      </c>
      <c r="B1828" s="1">
        <f>DATE(2014,1,29) + TIME(10,13,33)</f>
        <v>41668.426076388889</v>
      </c>
      <c r="C1828">
        <v>80</v>
      </c>
      <c r="D1828">
        <v>73.009513854999994</v>
      </c>
      <c r="E1828">
        <v>50</v>
      </c>
      <c r="F1828">
        <v>49.978416443</v>
      </c>
      <c r="G1828">
        <v>1293.3812256000001</v>
      </c>
      <c r="H1828">
        <v>1277.7950439000001</v>
      </c>
      <c r="I1828">
        <v>1402.8674315999999</v>
      </c>
      <c r="J1828">
        <v>1380.5045166</v>
      </c>
      <c r="K1828">
        <v>0</v>
      </c>
      <c r="L1828">
        <v>2750</v>
      </c>
      <c r="M1828">
        <v>2750</v>
      </c>
      <c r="N1828">
        <v>0</v>
      </c>
    </row>
    <row r="1829" spans="1:14" x14ac:dyDescent="0.25">
      <c r="A1829">
        <v>1372</v>
      </c>
      <c r="B1829" s="1">
        <f>DATE(2014,2,1) + TIME(0,0,0)</f>
        <v>41671</v>
      </c>
      <c r="C1829">
        <v>80</v>
      </c>
      <c r="D1829">
        <v>72.846580505000006</v>
      </c>
      <c r="E1829">
        <v>50</v>
      </c>
      <c r="F1829">
        <v>49.978450774999999</v>
      </c>
      <c r="G1829">
        <v>1293.1376952999999</v>
      </c>
      <c r="H1829">
        <v>1277.4666748</v>
      </c>
      <c r="I1829">
        <v>1402.8310547000001</v>
      </c>
      <c r="J1829">
        <v>1380.4736327999999</v>
      </c>
      <c r="K1829">
        <v>0</v>
      </c>
      <c r="L1829">
        <v>2750</v>
      </c>
      <c r="M1829">
        <v>2750</v>
      </c>
      <c r="N1829">
        <v>0</v>
      </c>
    </row>
    <row r="1830" spans="1:14" x14ac:dyDescent="0.25">
      <c r="A1830">
        <v>1374.5727850000001</v>
      </c>
      <c r="B1830" s="1">
        <f>DATE(2014,2,3) + TIME(13,44,48)</f>
        <v>41673.572777777779</v>
      </c>
      <c r="C1830">
        <v>80</v>
      </c>
      <c r="D1830">
        <v>72.681030273000005</v>
      </c>
      <c r="E1830">
        <v>50</v>
      </c>
      <c r="F1830">
        <v>49.978481293000002</v>
      </c>
      <c r="G1830">
        <v>1292.8864745999999</v>
      </c>
      <c r="H1830">
        <v>1277.1269531</v>
      </c>
      <c r="I1830">
        <v>1402.7950439000001</v>
      </c>
      <c r="J1830">
        <v>1380.4428711</v>
      </c>
      <c r="K1830">
        <v>0</v>
      </c>
      <c r="L1830">
        <v>2750</v>
      </c>
      <c r="M1830">
        <v>2750</v>
      </c>
      <c r="N1830">
        <v>0</v>
      </c>
    </row>
    <row r="1831" spans="1:14" x14ac:dyDescent="0.25">
      <c r="A1831">
        <v>1377.2125779999999</v>
      </c>
      <c r="B1831" s="1">
        <f>DATE(2014,2,6) + TIME(5,6,6)</f>
        <v>41676.212569444448</v>
      </c>
      <c r="C1831">
        <v>80</v>
      </c>
      <c r="D1831">
        <v>72.512680054</v>
      </c>
      <c r="E1831">
        <v>50</v>
      </c>
      <c r="F1831">
        <v>49.978515625</v>
      </c>
      <c r="G1831">
        <v>1292.6297606999999</v>
      </c>
      <c r="H1831">
        <v>1276.7781981999999</v>
      </c>
      <c r="I1831">
        <v>1402.7596435999999</v>
      </c>
      <c r="J1831">
        <v>1380.4127197</v>
      </c>
      <c r="K1831">
        <v>0</v>
      </c>
      <c r="L1831">
        <v>2750</v>
      </c>
      <c r="M1831">
        <v>2750</v>
      </c>
      <c r="N1831">
        <v>0</v>
      </c>
    </row>
    <row r="1832" spans="1:14" x14ac:dyDescent="0.25">
      <c r="A1832">
        <v>1379.893585</v>
      </c>
      <c r="B1832" s="1">
        <f>DATE(2014,2,8) + TIME(21,26,45)</f>
        <v>41678.893576388888</v>
      </c>
      <c r="C1832">
        <v>80</v>
      </c>
      <c r="D1832">
        <v>72.339027404999996</v>
      </c>
      <c r="E1832">
        <v>50</v>
      </c>
      <c r="F1832">
        <v>49.978549956999998</v>
      </c>
      <c r="G1832">
        <v>1292.3619385</v>
      </c>
      <c r="H1832">
        <v>1276.4133300999999</v>
      </c>
      <c r="I1832">
        <v>1402.723999</v>
      </c>
      <c r="J1832">
        <v>1380.3823242000001</v>
      </c>
      <c r="K1832">
        <v>0</v>
      </c>
      <c r="L1832">
        <v>2750</v>
      </c>
      <c r="M1832">
        <v>2750</v>
      </c>
      <c r="N1832">
        <v>0</v>
      </c>
    </row>
    <row r="1833" spans="1:14" x14ac:dyDescent="0.25">
      <c r="A1833">
        <v>1382.621533</v>
      </c>
      <c r="B1833" s="1">
        <f>DATE(2014,2,11) + TIME(14,55,0)</f>
        <v>41681.621527777781</v>
      </c>
      <c r="C1833">
        <v>80</v>
      </c>
      <c r="D1833">
        <v>72.160011291999993</v>
      </c>
      <c r="E1833">
        <v>50</v>
      </c>
      <c r="F1833">
        <v>49.978584290000001</v>
      </c>
      <c r="G1833">
        <v>1292.0843506000001</v>
      </c>
      <c r="H1833">
        <v>1276.0339355000001</v>
      </c>
      <c r="I1833">
        <v>1402.6884766000001</v>
      </c>
      <c r="J1833">
        <v>1380.3518065999999</v>
      </c>
      <c r="K1833">
        <v>0</v>
      </c>
      <c r="L1833">
        <v>2750</v>
      </c>
      <c r="M1833">
        <v>2750</v>
      </c>
      <c r="N1833">
        <v>0</v>
      </c>
    </row>
    <row r="1834" spans="1:14" x14ac:dyDescent="0.25">
      <c r="A1834">
        <v>1385.3828390000001</v>
      </c>
      <c r="B1834" s="1">
        <f>DATE(2014,2,14) + TIME(9,11,17)</f>
        <v>41684.382835648146</v>
      </c>
      <c r="C1834">
        <v>80</v>
      </c>
      <c r="D1834">
        <v>71.975204468000001</v>
      </c>
      <c r="E1834">
        <v>50</v>
      </c>
      <c r="F1834">
        <v>49.978618621999999</v>
      </c>
      <c r="G1834">
        <v>1291.7967529</v>
      </c>
      <c r="H1834">
        <v>1275.6396483999999</v>
      </c>
      <c r="I1834">
        <v>1402.652832</v>
      </c>
      <c r="J1834">
        <v>1380.3212891000001</v>
      </c>
      <c r="K1834">
        <v>0</v>
      </c>
      <c r="L1834">
        <v>2750</v>
      </c>
      <c r="M1834">
        <v>2750</v>
      </c>
      <c r="N1834">
        <v>0</v>
      </c>
    </row>
    <row r="1835" spans="1:14" x14ac:dyDescent="0.25">
      <c r="A1835">
        <v>1388.1770590000001</v>
      </c>
      <c r="B1835" s="1">
        <f>DATE(2014,2,17) + TIME(4,14,57)</f>
        <v>41687.177048611113</v>
      </c>
      <c r="C1835">
        <v>80</v>
      </c>
      <c r="D1835">
        <v>71.784622192</v>
      </c>
      <c r="E1835">
        <v>50</v>
      </c>
      <c r="F1835">
        <v>49.978652953999998</v>
      </c>
      <c r="G1835">
        <v>1291.5002440999999</v>
      </c>
      <c r="H1835">
        <v>1275.2314452999999</v>
      </c>
      <c r="I1835">
        <v>1402.6174315999999</v>
      </c>
      <c r="J1835">
        <v>1380.2907714999999</v>
      </c>
      <c r="K1835">
        <v>0</v>
      </c>
      <c r="L1835">
        <v>2750</v>
      </c>
      <c r="M1835">
        <v>2750</v>
      </c>
      <c r="N1835">
        <v>0</v>
      </c>
    </row>
    <row r="1836" spans="1:14" x14ac:dyDescent="0.25">
      <c r="A1836">
        <v>1391.010164</v>
      </c>
      <c r="B1836" s="1">
        <f>DATE(2014,2,20) + TIME(0,14,38)</f>
        <v>41690.010162037041</v>
      </c>
      <c r="C1836">
        <v>80</v>
      </c>
      <c r="D1836">
        <v>71.587791443</v>
      </c>
      <c r="E1836">
        <v>50</v>
      </c>
      <c r="F1836">
        <v>49.978691101000003</v>
      </c>
      <c r="G1836">
        <v>1291.1947021000001</v>
      </c>
      <c r="H1836">
        <v>1274.8098144999999</v>
      </c>
      <c r="I1836">
        <v>1402.5820312000001</v>
      </c>
      <c r="J1836">
        <v>1380.2602539</v>
      </c>
      <c r="K1836">
        <v>0</v>
      </c>
      <c r="L1836">
        <v>2750</v>
      </c>
      <c r="M1836">
        <v>2750</v>
      </c>
      <c r="N1836">
        <v>0</v>
      </c>
    </row>
    <row r="1837" spans="1:14" x14ac:dyDescent="0.25">
      <c r="A1837">
        <v>1393.885125</v>
      </c>
      <c r="B1837" s="1">
        <f>DATE(2014,2,22) + TIME(21,14,34)</f>
        <v>41692.885115740741</v>
      </c>
      <c r="C1837">
        <v>80</v>
      </c>
      <c r="D1837">
        <v>71.383865356000001</v>
      </c>
      <c r="E1837">
        <v>50</v>
      </c>
      <c r="F1837">
        <v>49.978725433000001</v>
      </c>
      <c r="G1837">
        <v>1290.8798827999999</v>
      </c>
      <c r="H1837">
        <v>1274.3736572</v>
      </c>
      <c r="I1837">
        <v>1402.5467529</v>
      </c>
      <c r="J1837">
        <v>1380.2297363</v>
      </c>
      <c r="K1837">
        <v>0</v>
      </c>
      <c r="L1837">
        <v>2750</v>
      </c>
      <c r="M1837">
        <v>2750</v>
      </c>
      <c r="N1837">
        <v>0</v>
      </c>
    </row>
    <row r="1838" spans="1:14" x14ac:dyDescent="0.25">
      <c r="A1838">
        <v>1396.8032350000001</v>
      </c>
      <c r="B1838" s="1">
        <f>DATE(2014,2,25) + TIME(19,16,39)</f>
        <v>41695.803229166668</v>
      </c>
      <c r="C1838">
        <v>80</v>
      </c>
      <c r="D1838">
        <v>71.172004700000002</v>
      </c>
      <c r="E1838">
        <v>50</v>
      </c>
      <c r="F1838">
        <v>49.978763579999999</v>
      </c>
      <c r="G1838">
        <v>1290.5551757999999</v>
      </c>
      <c r="H1838">
        <v>1273.9226074000001</v>
      </c>
      <c r="I1838">
        <v>1402.5113524999999</v>
      </c>
      <c r="J1838">
        <v>1380.1990966999999</v>
      </c>
      <c r="K1838">
        <v>0</v>
      </c>
      <c r="L1838">
        <v>2750</v>
      </c>
      <c r="M1838">
        <v>2750</v>
      </c>
      <c r="N1838">
        <v>0</v>
      </c>
    </row>
    <row r="1839" spans="1:14" x14ac:dyDescent="0.25">
      <c r="A1839">
        <v>1399.7550639999999</v>
      </c>
      <c r="B1839" s="1">
        <f>DATE(2014,2,28) + TIME(18,7,17)</f>
        <v>41698.755057870374</v>
      </c>
      <c r="C1839">
        <v>80</v>
      </c>
      <c r="D1839">
        <v>70.951606749999996</v>
      </c>
      <c r="E1839">
        <v>50</v>
      </c>
      <c r="F1839">
        <v>49.978797913000001</v>
      </c>
      <c r="G1839">
        <v>1290.2207031</v>
      </c>
      <c r="H1839">
        <v>1273.4561768000001</v>
      </c>
      <c r="I1839">
        <v>1402.4759521000001</v>
      </c>
      <c r="J1839">
        <v>1380.1683350000001</v>
      </c>
      <c r="K1839">
        <v>0</v>
      </c>
      <c r="L1839">
        <v>2750</v>
      </c>
      <c r="M1839">
        <v>2750</v>
      </c>
      <c r="N1839">
        <v>0</v>
      </c>
    </row>
    <row r="1840" spans="1:14" x14ac:dyDescent="0.25">
      <c r="A1840">
        <v>1400</v>
      </c>
      <c r="B1840" s="1">
        <f>DATE(2014,3,1) + TIME(0,0,0)</f>
        <v>41699</v>
      </c>
      <c r="C1840">
        <v>80</v>
      </c>
      <c r="D1840">
        <v>70.877632141000007</v>
      </c>
      <c r="E1840">
        <v>50</v>
      </c>
      <c r="F1840">
        <v>49.978797913000001</v>
      </c>
      <c r="G1840">
        <v>1289.9124756000001</v>
      </c>
      <c r="H1840">
        <v>1273.0686035000001</v>
      </c>
      <c r="I1840">
        <v>1402.4403076000001</v>
      </c>
      <c r="J1840">
        <v>1380.1373291</v>
      </c>
      <c r="K1840">
        <v>0</v>
      </c>
      <c r="L1840">
        <v>2750</v>
      </c>
      <c r="M1840">
        <v>2750</v>
      </c>
      <c r="N1840">
        <v>0</v>
      </c>
    </row>
    <row r="1841" spans="1:14" x14ac:dyDescent="0.25">
      <c r="A1841">
        <v>1402.98197</v>
      </c>
      <c r="B1841" s="1">
        <f>DATE(2014,3,3) + TIME(23,34,2)</f>
        <v>41701.98196759259</v>
      </c>
      <c r="C1841">
        <v>80</v>
      </c>
      <c r="D1841">
        <v>70.692573546999995</v>
      </c>
      <c r="E1841">
        <v>50</v>
      </c>
      <c r="F1841">
        <v>49.978836059999999</v>
      </c>
      <c r="G1841">
        <v>1289.8377685999999</v>
      </c>
      <c r="H1841">
        <v>1272.9156493999999</v>
      </c>
      <c r="I1841">
        <v>1402.4375</v>
      </c>
      <c r="J1841">
        <v>1380.1348877</v>
      </c>
      <c r="K1841">
        <v>0</v>
      </c>
      <c r="L1841">
        <v>2750</v>
      </c>
      <c r="M1841">
        <v>2750</v>
      </c>
      <c r="N1841">
        <v>0</v>
      </c>
    </row>
    <row r="1842" spans="1:14" x14ac:dyDescent="0.25">
      <c r="A1842">
        <v>1406.0046970000001</v>
      </c>
      <c r="B1842" s="1">
        <f>DATE(2014,3,7) + TIME(0,6,45)</f>
        <v>41705.004687499997</v>
      </c>
      <c r="C1842">
        <v>80</v>
      </c>
      <c r="D1842">
        <v>70.462089539000004</v>
      </c>
      <c r="E1842">
        <v>50</v>
      </c>
      <c r="F1842">
        <v>49.978874206999997</v>
      </c>
      <c r="G1842">
        <v>1289.4938964999999</v>
      </c>
      <c r="H1842">
        <v>1272.4371338000001</v>
      </c>
      <c r="I1842">
        <v>1402.4022216999999</v>
      </c>
      <c r="J1842">
        <v>1380.104126</v>
      </c>
      <c r="K1842">
        <v>0</v>
      </c>
      <c r="L1842">
        <v>2750</v>
      </c>
      <c r="M1842">
        <v>2750</v>
      </c>
      <c r="N1842">
        <v>0</v>
      </c>
    </row>
    <row r="1843" spans="1:14" x14ac:dyDescent="0.25">
      <c r="A1843">
        <v>1409.0712309999999</v>
      </c>
      <c r="B1843" s="1">
        <f>DATE(2014,3,10) + TIME(1,42,34)</f>
        <v>41708.071226851855</v>
      </c>
      <c r="C1843">
        <v>80</v>
      </c>
      <c r="D1843">
        <v>70.214248656999999</v>
      </c>
      <c r="E1843">
        <v>50</v>
      </c>
      <c r="F1843">
        <v>49.978912354000002</v>
      </c>
      <c r="G1843">
        <v>1289.1337891000001</v>
      </c>
      <c r="H1843">
        <v>1271.9309082</v>
      </c>
      <c r="I1843">
        <v>1402.3666992000001</v>
      </c>
      <c r="J1843">
        <v>1380.0731201000001</v>
      </c>
      <c r="K1843">
        <v>0</v>
      </c>
      <c r="L1843">
        <v>2750</v>
      </c>
      <c r="M1843">
        <v>2750</v>
      </c>
      <c r="N1843">
        <v>0</v>
      </c>
    </row>
    <row r="1844" spans="1:14" x14ac:dyDescent="0.25">
      <c r="A1844">
        <v>1412.188521</v>
      </c>
      <c r="B1844" s="1">
        <f>DATE(2014,3,13) + TIME(4,31,28)</f>
        <v>41711.188518518517</v>
      </c>
      <c r="C1844">
        <v>80</v>
      </c>
      <c r="D1844">
        <v>69.953819275000001</v>
      </c>
      <c r="E1844">
        <v>50</v>
      </c>
      <c r="F1844">
        <v>49.978950500000003</v>
      </c>
      <c r="G1844">
        <v>1288.7626952999999</v>
      </c>
      <c r="H1844">
        <v>1271.4069824000001</v>
      </c>
      <c r="I1844">
        <v>1402.3309326000001</v>
      </c>
      <c r="J1844">
        <v>1380.0417480000001</v>
      </c>
      <c r="K1844">
        <v>0</v>
      </c>
      <c r="L1844">
        <v>2750</v>
      </c>
      <c r="M1844">
        <v>2750</v>
      </c>
      <c r="N1844">
        <v>0</v>
      </c>
    </row>
    <row r="1845" spans="1:14" x14ac:dyDescent="0.25">
      <c r="A1845">
        <v>1415.356035</v>
      </c>
      <c r="B1845" s="1">
        <f>DATE(2014,3,16) + TIME(8,32,41)</f>
        <v>41714.356030092589</v>
      </c>
      <c r="C1845">
        <v>80</v>
      </c>
      <c r="D1845">
        <v>69.680122374999996</v>
      </c>
      <c r="E1845">
        <v>50</v>
      </c>
      <c r="F1845">
        <v>49.978988647000001</v>
      </c>
      <c r="G1845">
        <v>1288.3809814000001</v>
      </c>
      <c r="H1845">
        <v>1270.8663329999999</v>
      </c>
      <c r="I1845">
        <v>1402.2949219</v>
      </c>
      <c r="J1845">
        <v>1380.0101318</v>
      </c>
      <c r="K1845">
        <v>0</v>
      </c>
      <c r="L1845">
        <v>2750</v>
      </c>
      <c r="M1845">
        <v>2750</v>
      </c>
      <c r="N1845">
        <v>0</v>
      </c>
    </row>
    <row r="1846" spans="1:14" x14ac:dyDescent="0.25">
      <c r="A1846">
        <v>1418.5711659999999</v>
      </c>
      <c r="B1846" s="1">
        <f>DATE(2014,3,19) + TIME(13,42,28)</f>
        <v>41717.571157407408</v>
      </c>
      <c r="C1846">
        <v>80</v>
      </c>
      <c r="D1846">
        <v>69.392761230000005</v>
      </c>
      <c r="E1846">
        <v>50</v>
      </c>
      <c r="F1846">
        <v>49.979026793999999</v>
      </c>
      <c r="G1846">
        <v>1287.9891356999999</v>
      </c>
      <c r="H1846">
        <v>1270.3094481999999</v>
      </c>
      <c r="I1846">
        <v>1402.2585449000001</v>
      </c>
      <c r="J1846">
        <v>1379.9781493999999</v>
      </c>
      <c r="K1846">
        <v>0</v>
      </c>
      <c r="L1846">
        <v>2750</v>
      </c>
      <c r="M1846">
        <v>2750</v>
      </c>
      <c r="N1846">
        <v>0</v>
      </c>
    </row>
    <row r="1847" spans="1:14" x14ac:dyDescent="0.25">
      <c r="A1847">
        <v>1421.841191</v>
      </c>
      <c r="B1847" s="1">
        <f>DATE(2014,3,22) + TIME(20,11,18)</f>
        <v>41720.841180555559</v>
      </c>
      <c r="C1847">
        <v>80</v>
      </c>
      <c r="D1847">
        <v>69.090896606000001</v>
      </c>
      <c r="E1847">
        <v>50</v>
      </c>
      <c r="F1847">
        <v>49.979064940999997</v>
      </c>
      <c r="G1847">
        <v>1287.5874022999999</v>
      </c>
      <c r="H1847">
        <v>1269.7366943</v>
      </c>
      <c r="I1847">
        <v>1402.2219238</v>
      </c>
      <c r="J1847">
        <v>1379.9458007999999</v>
      </c>
      <c r="K1847">
        <v>0</v>
      </c>
      <c r="L1847">
        <v>2750</v>
      </c>
      <c r="M1847">
        <v>2750</v>
      </c>
      <c r="N1847">
        <v>0</v>
      </c>
    </row>
    <row r="1848" spans="1:14" x14ac:dyDescent="0.25">
      <c r="A1848">
        <v>1425.1736960000001</v>
      </c>
      <c r="B1848" s="1">
        <f>DATE(2014,3,26) + TIME(4,10,7)</f>
        <v>41724.173692129632</v>
      </c>
      <c r="C1848">
        <v>80</v>
      </c>
      <c r="D1848">
        <v>68.773231506000002</v>
      </c>
      <c r="E1848">
        <v>50</v>
      </c>
      <c r="F1848">
        <v>49.979103088000002</v>
      </c>
      <c r="G1848">
        <v>1287.1754149999999</v>
      </c>
      <c r="H1848">
        <v>1269.1472168</v>
      </c>
      <c r="I1848">
        <v>1402.1848144999999</v>
      </c>
      <c r="J1848">
        <v>1379.9130858999999</v>
      </c>
      <c r="K1848">
        <v>0</v>
      </c>
      <c r="L1848">
        <v>2750</v>
      </c>
      <c r="M1848">
        <v>2750</v>
      </c>
      <c r="N1848">
        <v>0</v>
      </c>
    </row>
    <row r="1849" spans="1:14" x14ac:dyDescent="0.25">
      <c r="A1849">
        <v>1428.569559</v>
      </c>
      <c r="B1849" s="1">
        <f>DATE(2014,3,29) + TIME(13,40,9)</f>
        <v>41727.569548611114</v>
      </c>
      <c r="C1849">
        <v>80</v>
      </c>
      <c r="D1849">
        <v>68.438369750999996</v>
      </c>
      <c r="E1849">
        <v>50</v>
      </c>
      <c r="F1849">
        <v>49.97914505</v>
      </c>
      <c r="G1849">
        <v>1286.7524414</v>
      </c>
      <c r="H1849">
        <v>1268.5401611</v>
      </c>
      <c r="I1849">
        <v>1402.1472168</v>
      </c>
      <c r="J1849">
        <v>1379.8796387</v>
      </c>
      <c r="K1849">
        <v>0</v>
      </c>
      <c r="L1849">
        <v>2750</v>
      </c>
      <c r="M1849">
        <v>2750</v>
      </c>
      <c r="N1849">
        <v>0</v>
      </c>
    </row>
    <row r="1850" spans="1:14" x14ac:dyDescent="0.25">
      <c r="A1850">
        <v>1431</v>
      </c>
      <c r="B1850" s="1">
        <f>DATE(2014,4,1) + TIME(0,0,0)</f>
        <v>41730</v>
      </c>
      <c r="C1850">
        <v>80</v>
      </c>
      <c r="D1850">
        <v>68.107772827000005</v>
      </c>
      <c r="E1850">
        <v>50</v>
      </c>
      <c r="F1850">
        <v>49.979171753000003</v>
      </c>
      <c r="G1850">
        <v>1286.3227539</v>
      </c>
      <c r="H1850">
        <v>1267.9282227000001</v>
      </c>
      <c r="I1850">
        <v>1402.1086425999999</v>
      </c>
      <c r="J1850">
        <v>1379.8454589999999</v>
      </c>
      <c r="K1850">
        <v>0</v>
      </c>
      <c r="L1850">
        <v>2750</v>
      </c>
      <c r="M1850">
        <v>2750</v>
      </c>
      <c r="N1850">
        <v>0</v>
      </c>
    </row>
    <row r="1851" spans="1:14" x14ac:dyDescent="0.25">
      <c r="A1851">
        <v>1434.446737</v>
      </c>
      <c r="B1851" s="1">
        <f>DATE(2014,4,4) + TIME(10,43,18)</f>
        <v>41733.446736111109</v>
      </c>
      <c r="C1851">
        <v>80</v>
      </c>
      <c r="D1851">
        <v>67.811424255000006</v>
      </c>
      <c r="E1851">
        <v>50</v>
      </c>
      <c r="F1851">
        <v>49.979213715</v>
      </c>
      <c r="G1851">
        <v>1285.9948730000001</v>
      </c>
      <c r="H1851">
        <v>1267.4411620999999</v>
      </c>
      <c r="I1851">
        <v>1402.0816649999999</v>
      </c>
      <c r="J1851">
        <v>1379.8214111</v>
      </c>
      <c r="K1851">
        <v>0</v>
      </c>
      <c r="L1851">
        <v>2750</v>
      </c>
      <c r="M1851">
        <v>2750</v>
      </c>
      <c r="N1851">
        <v>0</v>
      </c>
    </row>
    <row r="1852" spans="1:14" x14ac:dyDescent="0.25">
      <c r="A1852">
        <v>1438.001964</v>
      </c>
      <c r="B1852" s="1">
        <f>DATE(2014,4,8) + TIME(0,2,49)</f>
        <v>41737.001956018517</v>
      </c>
      <c r="C1852">
        <v>80</v>
      </c>
      <c r="D1852">
        <v>67.441780089999995</v>
      </c>
      <c r="E1852">
        <v>50</v>
      </c>
      <c r="F1852">
        <v>49.979255676000001</v>
      </c>
      <c r="G1852">
        <v>1285.5604248</v>
      </c>
      <c r="H1852">
        <v>1266.8166504000001</v>
      </c>
      <c r="I1852">
        <v>1402.0429687999999</v>
      </c>
      <c r="J1852">
        <v>1379.7868652</v>
      </c>
      <c r="K1852">
        <v>0</v>
      </c>
      <c r="L1852">
        <v>2750</v>
      </c>
      <c r="M1852">
        <v>2750</v>
      </c>
      <c r="N1852">
        <v>0</v>
      </c>
    </row>
    <row r="1853" spans="1:14" x14ac:dyDescent="0.25">
      <c r="A1853">
        <v>1441.63311</v>
      </c>
      <c r="B1853" s="1">
        <f>DATE(2014,4,11) + TIME(15,11,40)</f>
        <v>41740.633101851854</v>
      </c>
      <c r="C1853">
        <v>80</v>
      </c>
      <c r="D1853">
        <v>67.039474487000007</v>
      </c>
      <c r="E1853">
        <v>50</v>
      </c>
      <c r="F1853">
        <v>49.979297637999998</v>
      </c>
      <c r="G1853">
        <v>1285.1032714999999</v>
      </c>
      <c r="H1853">
        <v>1266.1529541</v>
      </c>
      <c r="I1853">
        <v>1402.0031738</v>
      </c>
      <c r="J1853">
        <v>1379.7512207</v>
      </c>
      <c r="K1853">
        <v>0</v>
      </c>
      <c r="L1853">
        <v>2750</v>
      </c>
      <c r="M1853">
        <v>2750</v>
      </c>
      <c r="N1853">
        <v>0</v>
      </c>
    </row>
    <row r="1854" spans="1:14" x14ac:dyDescent="0.25">
      <c r="A1854">
        <v>1445.3514090000001</v>
      </c>
      <c r="B1854" s="1">
        <f>DATE(2014,4,15) + TIME(8,26,1)</f>
        <v>41744.351400462961</v>
      </c>
      <c r="C1854">
        <v>80</v>
      </c>
      <c r="D1854">
        <v>66.613731384000005</v>
      </c>
      <c r="E1854">
        <v>50</v>
      </c>
      <c r="F1854">
        <v>49.979339600000003</v>
      </c>
      <c r="G1854">
        <v>1284.6337891000001</v>
      </c>
      <c r="H1854">
        <v>1265.4680175999999</v>
      </c>
      <c r="I1854">
        <v>1401.9625243999999</v>
      </c>
      <c r="J1854">
        <v>1379.7147216999999</v>
      </c>
      <c r="K1854">
        <v>0</v>
      </c>
      <c r="L1854">
        <v>2750</v>
      </c>
      <c r="M1854">
        <v>2750</v>
      </c>
      <c r="N1854">
        <v>0</v>
      </c>
    </row>
    <row r="1855" spans="1:14" x14ac:dyDescent="0.25">
      <c r="A1855">
        <v>1449.152611</v>
      </c>
      <c r="B1855" s="1">
        <f>DATE(2014,4,19) + TIME(3,39,45)</f>
        <v>41748.152604166666</v>
      </c>
      <c r="C1855">
        <v>80</v>
      </c>
      <c r="D1855">
        <v>66.164070128999995</v>
      </c>
      <c r="E1855">
        <v>50</v>
      </c>
      <c r="F1855">
        <v>49.979381560999997</v>
      </c>
      <c r="G1855">
        <v>1284.1525879000001</v>
      </c>
      <c r="H1855">
        <v>1264.7634277</v>
      </c>
      <c r="I1855">
        <v>1401.9207764</v>
      </c>
      <c r="J1855">
        <v>1379.6772461</v>
      </c>
      <c r="K1855">
        <v>0</v>
      </c>
      <c r="L1855">
        <v>2750</v>
      </c>
      <c r="M1855">
        <v>2750</v>
      </c>
      <c r="N1855">
        <v>0</v>
      </c>
    </row>
    <row r="1856" spans="1:14" x14ac:dyDescent="0.25">
      <c r="A1856">
        <v>1453.03566</v>
      </c>
      <c r="B1856" s="1">
        <f>DATE(2014,4,23) + TIME(0,51,21)</f>
        <v>41752.03565972222</v>
      </c>
      <c r="C1856">
        <v>80</v>
      </c>
      <c r="D1856">
        <v>65.691078185999999</v>
      </c>
      <c r="E1856">
        <v>50</v>
      </c>
      <c r="F1856">
        <v>49.979423523000001</v>
      </c>
      <c r="G1856">
        <v>1283.6610106999999</v>
      </c>
      <c r="H1856">
        <v>1264.0410156</v>
      </c>
      <c r="I1856">
        <v>1401.8781738</v>
      </c>
      <c r="J1856">
        <v>1379.6387939000001</v>
      </c>
      <c r="K1856">
        <v>0</v>
      </c>
      <c r="L1856">
        <v>2750</v>
      </c>
      <c r="M1856">
        <v>2750</v>
      </c>
      <c r="N1856">
        <v>0</v>
      </c>
    </row>
    <row r="1857" spans="1:14" x14ac:dyDescent="0.25">
      <c r="A1857">
        <v>1457.0134760000001</v>
      </c>
      <c r="B1857" s="1">
        <f>DATE(2014,4,27) + TIME(0,19,24)</f>
        <v>41756.013472222221</v>
      </c>
      <c r="C1857">
        <v>80</v>
      </c>
      <c r="D1857">
        <v>65.193756104000002</v>
      </c>
      <c r="E1857">
        <v>50</v>
      </c>
      <c r="F1857">
        <v>49.979469299000002</v>
      </c>
      <c r="G1857">
        <v>1283.1601562000001</v>
      </c>
      <c r="H1857">
        <v>1263.3017577999999</v>
      </c>
      <c r="I1857">
        <v>1401.8344727000001</v>
      </c>
      <c r="J1857">
        <v>1379.5993652</v>
      </c>
      <c r="K1857">
        <v>0</v>
      </c>
      <c r="L1857">
        <v>2750</v>
      </c>
      <c r="M1857">
        <v>2750</v>
      </c>
      <c r="N1857">
        <v>0</v>
      </c>
    </row>
    <row r="1858" spans="1:14" x14ac:dyDescent="0.25">
      <c r="A1858">
        <v>1461</v>
      </c>
      <c r="B1858" s="1">
        <f>DATE(2014,5,1) + TIME(0,0,0)</f>
        <v>41760</v>
      </c>
      <c r="C1858">
        <v>80</v>
      </c>
      <c r="D1858">
        <v>64.673561096</v>
      </c>
      <c r="E1858">
        <v>50</v>
      </c>
      <c r="F1858">
        <v>49.979515075999998</v>
      </c>
      <c r="G1858">
        <v>1282.6495361</v>
      </c>
      <c r="H1858">
        <v>1262.5460204999999</v>
      </c>
      <c r="I1858">
        <v>1401.7895507999999</v>
      </c>
      <c r="J1858">
        <v>1379.5585937999999</v>
      </c>
      <c r="K1858">
        <v>0</v>
      </c>
      <c r="L1858">
        <v>2750</v>
      </c>
      <c r="M1858">
        <v>2750</v>
      </c>
      <c r="N1858">
        <v>0</v>
      </c>
    </row>
    <row r="1859" spans="1:14" x14ac:dyDescent="0.25">
      <c r="A1859">
        <v>1461.0000010000001</v>
      </c>
      <c r="B1859" s="1">
        <f>DATE(2014,5,1) + TIME(0,0,0)</f>
        <v>41760</v>
      </c>
      <c r="C1859">
        <v>80</v>
      </c>
      <c r="D1859">
        <v>64.673744201999995</v>
      </c>
      <c r="E1859">
        <v>50</v>
      </c>
      <c r="F1859">
        <v>49.979389191000003</v>
      </c>
      <c r="G1859">
        <v>1304.3096923999999</v>
      </c>
      <c r="H1859">
        <v>1283.8009033000001</v>
      </c>
      <c r="I1859">
        <v>1378.5565185999999</v>
      </c>
      <c r="J1859">
        <v>1356.855957</v>
      </c>
      <c r="K1859">
        <v>2750</v>
      </c>
      <c r="L1859">
        <v>0</v>
      </c>
      <c r="M1859">
        <v>0</v>
      </c>
      <c r="N1859">
        <v>2750</v>
      </c>
    </row>
    <row r="1860" spans="1:14" x14ac:dyDescent="0.25">
      <c r="A1860">
        <v>1461.000004</v>
      </c>
      <c r="B1860" s="1">
        <f>DATE(2014,5,1) + TIME(0,0,0)</f>
        <v>41760</v>
      </c>
      <c r="C1860">
        <v>80</v>
      </c>
      <c r="D1860">
        <v>64.674209594999994</v>
      </c>
      <c r="E1860">
        <v>50</v>
      </c>
      <c r="F1860">
        <v>49.979049683</v>
      </c>
      <c r="G1860">
        <v>1307.0075684000001</v>
      </c>
      <c r="H1860">
        <v>1286.7745361</v>
      </c>
      <c r="I1860">
        <v>1375.8837891000001</v>
      </c>
      <c r="J1860">
        <v>1354.1824951000001</v>
      </c>
      <c r="K1860">
        <v>2750</v>
      </c>
      <c r="L1860">
        <v>0</v>
      </c>
      <c r="M1860">
        <v>0</v>
      </c>
      <c r="N1860">
        <v>2750</v>
      </c>
    </row>
    <row r="1861" spans="1:14" x14ac:dyDescent="0.25">
      <c r="A1861">
        <v>1461.0000130000001</v>
      </c>
      <c r="B1861" s="1">
        <f>DATE(2014,5,1) + TIME(0,0,1)</f>
        <v>41760.000011574077</v>
      </c>
      <c r="C1861">
        <v>80</v>
      </c>
      <c r="D1861">
        <v>64.675270080999994</v>
      </c>
      <c r="E1861">
        <v>50</v>
      </c>
      <c r="F1861">
        <v>49.978294372999997</v>
      </c>
      <c r="G1861">
        <v>1312.9146728999999</v>
      </c>
      <c r="H1861">
        <v>1293.0489502</v>
      </c>
      <c r="I1861">
        <v>1369.8884277</v>
      </c>
      <c r="J1861">
        <v>1348.1860352000001</v>
      </c>
      <c r="K1861">
        <v>2750</v>
      </c>
      <c r="L1861">
        <v>0</v>
      </c>
      <c r="M1861">
        <v>0</v>
      </c>
      <c r="N1861">
        <v>2750</v>
      </c>
    </row>
    <row r="1862" spans="1:14" x14ac:dyDescent="0.25">
      <c r="A1862">
        <v>1461.0000399999999</v>
      </c>
      <c r="B1862" s="1">
        <f>DATE(2014,5,1) + TIME(0,0,3)</f>
        <v>41760.000034722223</v>
      </c>
      <c r="C1862">
        <v>80</v>
      </c>
      <c r="D1862">
        <v>64.677215575999995</v>
      </c>
      <c r="E1862">
        <v>50</v>
      </c>
      <c r="F1862">
        <v>49.977031707999998</v>
      </c>
      <c r="G1862">
        <v>1322.4951172000001</v>
      </c>
      <c r="H1862">
        <v>1302.7791748</v>
      </c>
      <c r="I1862">
        <v>1359.8698730000001</v>
      </c>
      <c r="J1862">
        <v>1338.1682129000001</v>
      </c>
      <c r="K1862">
        <v>2750</v>
      </c>
      <c r="L1862">
        <v>0</v>
      </c>
      <c r="M1862">
        <v>0</v>
      </c>
      <c r="N1862">
        <v>2750</v>
      </c>
    </row>
    <row r="1863" spans="1:14" x14ac:dyDescent="0.25">
      <c r="A1863">
        <v>1461.000121</v>
      </c>
      <c r="B1863" s="1">
        <f>DATE(2014,5,1) + TIME(0,0,10)</f>
        <v>41760.000115740739</v>
      </c>
      <c r="C1863">
        <v>80</v>
      </c>
      <c r="D1863">
        <v>64.680686950999998</v>
      </c>
      <c r="E1863">
        <v>50</v>
      </c>
      <c r="F1863">
        <v>49.975482941000003</v>
      </c>
      <c r="G1863">
        <v>1334.0008545000001</v>
      </c>
      <c r="H1863">
        <v>1314.1690673999999</v>
      </c>
      <c r="I1863">
        <v>1347.6414795000001</v>
      </c>
      <c r="J1863">
        <v>1325.9440918</v>
      </c>
      <c r="K1863">
        <v>2750</v>
      </c>
      <c r="L1863">
        <v>0</v>
      </c>
      <c r="M1863">
        <v>0</v>
      </c>
      <c r="N1863">
        <v>2750</v>
      </c>
    </row>
    <row r="1864" spans="1:14" x14ac:dyDescent="0.25">
      <c r="A1864">
        <v>1461.000364</v>
      </c>
      <c r="B1864" s="1">
        <f>DATE(2014,5,1) + TIME(0,0,31)</f>
        <v>41760.000358796293</v>
      </c>
      <c r="C1864">
        <v>80</v>
      </c>
      <c r="D1864">
        <v>64.688140868999994</v>
      </c>
      <c r="E1864">
        <v>50</v>
      </c>
      <c r="F1864">
        <v>49.973873138000002</v>
      </c>
      <c r="G1864">
        <v>1345.9228516000001</v>
      </c>
      <c r="H1864">
        <v>1325.9248047000001</v>
      </c>
      <c r="I1864">
        <v>1335.0549315999999</v>
      </c>
      <c r="J1864">
        <v>1313.3659668</v>
      </c>
      <c r="K1864">
        <v>2750</v>
      </c>
      <c r="L1864">
        <v>0</v>
      </c>
      <c r="M1864">
        <v>0</v>
      </c>
      <c r="N1864">
        <v>2750</v>
      </c>
    </row>
    <row r="1865" spans="1:14" x14ac:dyDescent="0.25">
      <c r="A1865">
        <v>1461.0010930000001</v>
      </c>
      <c r="B1865" s="1">
        <f>DATE(2014,5,1) + TIME(0,1,34)</f>
        <v>41760.001087962963</v>
      </c>
      <c r="C1865">
        <v>80</v>
      </c>
      <c r="D1865">
        <v>64.707527161000002</v>
      </c>
      <c r="E1865">
        <v>50</v>
      </c>
      <c r="F1865">
        <v>49.972217559999997</v>
      </c>
      <c r="G1865">
        <v>1358.1539307</v>
      </c>
      <c r="H1865">
        <v>1337.9633789</v>
      </c>
      <c r="I1865">
        <v>1322.4836425999999</v>
      </c>
      <c r="J1865">
        <v>1300.8039550999999</v>
      </c>
      <c r="K1865">
        <v>2750</v>
      </c>
      <c r="L1865">
        <v>0</v>
      </c>
      <c r="M1865">
        <v>0</v>
      </c>
      <c r="N1865">
        <v>2750</v>
      </c>
    </row>
    <row r="1866" spans="1:14" x14ac:dyDescent="0.25">
      <c r="A1866">
        <v>1461.0032799999999</v>
      </c>
      <c r="B1866" s="1">
        <f>DATE(2014,5,1) + TIME(0,4,43)</f>
        <v>41760.003275462965</v>
      </c>
      <c r="C1866">
        <v>80</v>
      </c>
      <c r="D1866">
        <v>64.763015746999997</v>
      </c>
      <c r="E1866">
        <v>50</v>
      </c>
      <c r="F1866">
        <v>49.970397949000002</v>
      </c>
      <c r="G1866">
        <v>1371.0325928</v>
      </c>
      <c r="H1866">
        <v>1350.6052245999999</v>
      </c>
      <c r="I1866">
        <v>1309.8527832</v>
      </c>
      <c r="J1866">
        <v>1288.1564940999999</v>
      </c>
      <c r="K1866">
        <v>2750</v>
      </c>
      <c r="L1866">
        <v>0</v>
      </c>
      <c r="M1866">
        <v>0</v>
      </c>
      <c r="N1866">
        <v>2750</v>
      </c>
    </row>
    <row r="1867" spans="1:14" x14ac:dyDescent="0.25">
      <c r="A1867">
        <v>1461.0098410000001</v>
      </c>
      <c r="B1867" s="1">
        <f>DATE(2014,5,1) + TIME(0,14,10)</f>
        <v>41760.009837962964</v>
      </c>
      <c r="C1867">
        <v>80</v>
      </c>
      <c r="D1867">
        <v>64.926307678000001</v>
      </c>
      <c r="E1867">
        <v>50</v>
      </c>
      <c r="F1867">
        <v>49.968162536999998</v>
      </c>
      <c r="G1867">
        <v>1384.0097656</v>
      </c>
      <c r="H1867">
        <v>1363.3828125</v>
      </c>
      <c r="I1867">
        <v>1297.5280762</v>
      </c>
      <c r="J1867">
        <v>1275.7655029</v>
      </c>
      <c r="K1867">
        <v>2750</v>
      </c>
      <c r="L1867">
        <v>0</v>
      </c>
      <c r="M1867">
        <v>0</v>
      </c>
      <c r="N1867">
        <v>2750</v>
      </c>
    </row>
    <row r="1868" spans="1:14" x14ac:dyDescent="0.25">
      <c r="A1868">
        <v>1461.029524</v>
      </c>
      <c r="B1868" s="1">
        <f>DATE(2014,5,1) + TIME(0,42,30)</f>
        <v>41760.029513888891</v>
      </c>
      <c r="C1868">
        <v>80</v>
      </c>
      <c r="D1868">
        <v>65.400497436999999</v>
      </c>
      <c r="E1868">
        <v>50</v>
      </c>
      <c r="F1868">
        <v>49.964920044000003</v>
      </c>
      <c r="G1868">
        <v>1394.4929199000001</v>
      </c>
      <c r="H1868">
        <v>1373.8629149999999</v>
      </c>
      <c r="I1868">
        <v>1287.807251</v>
      </c>
      <c r="J1868">
        <v>1265.9818115</v>
      </c>
      <c r="K1868">
        <v>2750</v>
      </c>
      <c r="L1868">
        <v>0</v>
      </c>
      <c r="M1868">
        <v>0</v>
      </c>
      <c r="N1868">
        <v>2750</v>
      </c>
    </row>
    <row r="1869" spans="1:14" x14ac:dyDescent="0.25">
      <c r="A1869">
        <v>1461.0538240000001</v>
      </c>
      <c r="B1869" s="1">
        <f>DATE(2014,5,1) + TIME(1,17,30)</f>
        <v>41760.053819444445</v>
      </c>
      <c r="C1869">
        <v>80</v>
      </c>
      <c r="D1869">
        <v>65.963439941000004</v>
      </c>
      <c r="E1869">
        <v>50</v>
      </c>
      <c r="F1869">
        <v>49.961990356000001</v>
      </c>
      <c r="G1869">
        <v>1398.6326904</v>
      </c>
      <c r="H1869">
        <v>1378.1243896000001</v>
      </c>
      <c r="I1869">
        <v>1284.3132324000001</v>
      </c>
      <c r="J1869">
        <v>1262.4664307</v>
      </c>
      <c r="K1869">
        <v>2750</v>
      </c>
      <c r="L1869">
        <v>0</v>
      </c>
      <c r="M1869">
        <v>0</v>
      </c>
      <c r="N1869">
        <v>2750</v>
      </c>
    </row>
    <row r="1870" spans="1:14" x14ac:dyDescent="0.25">
      <c r="A1870">
        <v>1461.078726</v>
      </c>
      <c r="B1870" s="1">
        <f>DATE(2014,5,1) + TIME(1,53,21)</f>
        <v>41760.078715277778</v>
      </c>
      <c r="C1870">
        <v>80</v>
      </c>
      <c r="D1870">
        <v>66.517692565999994</v>
      </c>
      <c r="E1870">
        <v>50</v>
      </c>
      <c r="F1870">
        <v>49.959323883000003</v>
      </c>
      <c r="G1870">
        <v>1400.1563721</v>
      </c>
      <c r="H1870">
        <v>1379.7917480000001</v>
      </c>
      <c r="I1870">
        <v>1283.2473144999999</v>
      </c>
      <c r="J1870">
        <v>1261.3937988</v>
      </c>
      <c r="K1870">
        <v>2750</v>
      </c>
      <c r="L1870">
        <v>0</v>
      </c>
      <c r="M1870">
        <v>0</v>
      </c>
      <c r="N1870">
        <v>2750</v>
      </c>
    </row>
    <row r="1871" spans="1:14" x14ac:dyDescent="0.25">
      <c r="A1871">
        <v>1461.10418</v>
      </c>
      <c r="B1871" s="1">
        <f>DATE(2014,5,1) + TIME(2,30,1)</f>
        <v>41760.104178240741</v>
      </c>
      <c r="C1871">
        <v>80</v>
      </c>
      <c r="D1871">
        <v>67.061470032000003</v>
      </c>
      <c r="E1871">
        <v>50</v>
      </c>
      <c r="F1871">
        <v>49.956718445</v>
      </c>
      <c r="G1871">
        <v>1400.6944579999999</v>
      </c>
      <c r="H1871">
        <v>1380.4768065999999</v>
      </c>
      <c r="I1871">
        <v>1282.9686279</v>
      </c>
      <c r="J1871">
        <v>1261.1126709</v>
      </c>
      <c r="K1871">
        <v>2750</v>
      </c>
      <c r="L1871">
        <v>0</v>
      </c>
      <c r="M1871">
        <v>0</v>
      </c>
      <c r="N1871">
        <v>2750</v>
      </c>
    </row>
    <row r="1872" spans="1:14" x14ac:dyDescent="0.25">
      <c r="A1872">
        <v>1461.1301840000001</v>
      </c>
      <c r="B1872" s="1">
        <f>DATE(2014,5,1) + TIME(3,7,27)</f>
        <v>41760.130173611113</v>
      </c>
      <c r="C1872">
        <v>80</v>
      </c>
      <c r="D1872">
        <v>67.594261169000006</v>
      </c>
      <c r="E1872">
        <v>50</v>
      </c>
      <c r="F1872">
        <v>49.954116821</v>
      </c>
      <c r="G1872">
        <v>1400.822876</v>
      </c>
      <c r="H1872">
        <v>1380.75</v>
      </c>
      <c r="I1872">
        <v>1282.9353027</v>
      </c>
      <c r="J1872">
        <v>1261.0783690999999</v>
      </c>
      <c r="K1872">
        <v>2750</v>
      </c>
      <c r="L1872">
        <v>0</v>
      </c>
      <c r="M1872">
        <v>0</v>
      </c>
      <c r="N1872">
        <v>2750</v>
      </c>
    </row>
    <row r="1873" spans="1:14" x14ac:dyDescent="0.25">
      <c r="A1873">
        <v>1461.1567640000001</v>
      </c>
      <c r="B1873" s="1">
        <f>DATE(2014,5,1) + TIME(3,45,44)</f>
        <v>41760.156759259262</v>
      </c>
      <c r="C1873">
        <v>80</v>
      </c>
      <c r="D1873">
        <v>68.116020203000005</v>
      </c>
      <c r="E1873">
        <v>50</v>
      </c>
      <c r="F1873">
        <v>49.951492309999999</v>
      </c>
      <c r="G1873">
        <v>1400.7702637</v>
      </c>
      <c r="H1873">
        <v>1380.8382568</v>
      </c>
      <c r="I1873">
        <v>1282.9654541</v>
      </c>
      <c r="J1873">
        <v>1261.1080322</v>
      </c>
      <c r="K1873">
        <v>2750</v>
      </c>
      <c r="L1873">
        <v>0</v>
      </c>
      <c r="M1873">
        <v>0</v>
      </c>
      <c r="N1873">
        <v>2750</v>
      </c>
    </row>
    <row r="1874" spans="1:14" x14ac:dyDescent="0.25">
      <c r="A1874">
        <v>1461.1839480000001</v>
      </c>
      <c r="B1874" s="1">
        <f>DATE(2014,5,1) + TIME(4,24,53)</f>
        <v>41760.183946759258</v>
      </c>
      <c r="C1874">
        <v>80</v>
      </c>
      <c r="D1874">
        <v>68.626823424999998</v>
      </c>
      <c r="E1874">
        <v>50</v>
      </c>
      <c r="F1874">
        <v>49.948833466000004</v>
      </c>
      <c r="G1874">
        <v>1400.6346435999999</v>
      </c>
      <c r="H1874">
        <v>1380.8392334</v>
      </c>
      <c r="I1874">
        <v>1283.0019531</v>
      </c>
      <c r="J1874">
        <v>1261.1442870999999</v>
      </c>
      <c r="K1874">
        <v>2750</v>
      </c>
      <c r="L1874">
        <v>0</v>
      </c>
      <c r="M1874">
        <v>0</v>
      </c>
      <c r="N1874">
        <v>2750</v>
      </c>
    </row>
    <row r="1875" spans="1:14" x14ac:dyDescent="0.25">
      <c r="A1875">
        <v>1461.2117720000001</v>
      </c>
      <c r="B1875" s="1">
        <f>DATE(2014,5,1) + TIME(5,4,57)</f>
        <v>41760.211770833332</v>
      </c>
      <c r="C1875">
        <v>80</v>
      </c>
      <c r="D1875">
        <v>69.126747131000002</v>
      </c>
      <c r="E1875">
        <v>50</v>
      </c>
      <c r="F1875">
        <v>49.946136475000003</v>
      </c>
      <c r="G1875">
        <v>1400.4608154</v>
      </c>
      <c r="H1875">
        <v>1380.7974853999999</v>
      </c>
      <c r="I1875">
        <v>1283.0301514</v>
      </c>
      <c r="J1875">
        <v>1261.1722411999999</v>
      </c>
      <c r="K1875">
        <v>2750</v>
      </c>
      <c r="L1875">
        <v>0</v>
      </c>
      <c r="M1875">
        <v>0</v>
      </c>
      <c r="N1875">
        <v>2750</v>
      </c>
    </row>
    <row r="1876" spans="1:14" x14ac:dyDescent="0.25">
      <c r="A1876">
        <v>1461.2402709999999</v>
      </c>
      <c r="B1876" s="1">
        <f>DATE(2014,5,1) + TIME(5,45,59)</f>
        <v>41760.240266203706</v>
      </c>
      <c r="C1876">
        <v>80</v>
      </c>
      <c r="D1876">
        <v>69.615852356000005</v>
      </c>
      <c r="E1876">
        <v>50</v>
      </c>
      <c r="F1876">
        <v>49.943405151</v>
      </c>
      <c r="G1876">
        <v>1400.2701416</v>
      </c>
      <c r="H1876">
        <v>1380.734375</v>
      </c>
      <c r="I1876">
        <v>1283.0489502</v>
      </c>
      <c r="J1876">
        <v>1261.190918</v>
      </c>
      <c r="K1876">
        <v>2750</v>
      </c>
      <c r="L1876">
        <v>0</v>
      </c>
      <c r="M1876">
        <v>0</v>
      </c>
      <c r="N1876">
        <v>2750</v>
      </c>
    </row>
    <row r="1877" spans="1:14" x14ac:dyDescent="0.25">
      <c r="A1877">
        <v>1461.2694859999999</v>
      </c>
      <c r="B1877" s="1">
        <f>DATE(2014,5,1) + TIME(6,28,3)</f>
        <v>41760.269479166665</v>
      </c>
      <c r="C1877">
        <v>80</v>
      </c>
      <c r="D1877">
        <v>70.094154357999997</v>
      </c>
      <c r="E1877">
        <v>50</v>
      </c>
      <c r="F1877">
        <v>49.940628052000001</v>
      </c>
      <c r="G1877">
        <v>1400.0732422000001</v>
      </c>
      <c r="H1877">
        <v>1380.6607666</v>
      </c>
      <c r="I1877">
        <v>1283.0607910000001</v>
      </c>
      <c r="J1877">
        <v>1261.2023925999999</v>
      </c>
      <c r="K1877">
        <v>2750</v>
      </c>
      <c r="L1877">
        <v>0</v>
      </c>
      <c r="M1877">
        <v>0</v>
      </c>
      <c r="N1877">
        <v>2750</v>
      </c>
    </row>
    <row r="1878" spans="1:14" x14ac:dyDescent="0.25">
      <c r="A1878">
        <v>1461.2994610000001</v>
      </c>
      <c r="B1878" s="1">
        <f>DATE(2014,5,1) + TIME(7,11,13)</f>
        <v>41760.299456018518</v>
      </c>
      <c r="C1878">
        <v>80</v>
      </c>
      <c r="D1878">
        <v>70.561508179</v>
      </c>
      <c r="E1878">
        <v>50</v>
      </c>
      <c r="F1878">
        <v>49.937808990000001</v>
      </c>
      <c r="G1878">
        <v>1399.8754882999999</v>
      </c>
      <c r="H1878">
        <v>1380.5822754000001</v>
      </c>
      <c r="I1878">
        <v>1283.0676269999999</v>
      </c>
      <c r="J1878">
        <v>1261.2091064000001</v>
      </c>
      <c r="K1878">
        <v>2750</v>
      </c>
      <c r="L1878">
        <v>0</v>
      </c>
      <c r="M1878">
        <v>0</v>
      </c>
      <c r="N1878">
        <v>2750</v>
      </c>
    </row>
    <row r="1879" spans="1:14" x14ac:dyDescent="0.25">
      <c r="A1879">
        <v>1461.330242</v>
      </c>
      <c r="B1879" s="1">
        <f>DATE(2014,5,1) + TIME(7,55,32)</f>
        <v>41760.330231481479</v>
      </c>
      <c r="C1879">
        <v>80</v>
      </c>
      <c r="D1879">
        <v>71.018249511999997</v>
      </c>
      <c r="E1879">
        <v>50</v>
      </c>
      <c r="F1879">
        <v>49.934944153000004</v>
      </c>
      <c r="G1879">
        <v>1399.6799315999999</v>
      </c>
      <c r="H1879">
        <v>1380.5018310999999</v>
      </c>
      <c r="I1879">
        <v>1283.0716553</v>
      </c>
      <c r="J1879">
        <v>1261.2127685999999</v>
      </c>
      <c r="K1879">
        <v>2750</v>
      </c>
      <c r="L1879">
        <v>0</v>
      </c>
      <c r="M1879">
        <v>0</v>
      </c>
      <c r="N1879">
        <v>2750</v>
      </c>
    </row>
    <row r="1880" spans="1:14" x14ac:dyDescent="0.25">
      <c r="A1880">
        <v>1461.3618819999999</v>
      </c>
      <c r="B1880" s="1">
        <f>DATE(2014,5,1) + TIME(8,41,6)</f>
        <v>41760.361875000002</v>
      </c>
      <c r="C1880">
        <v>80</v>
      </c>
      <c r="D1880">
        <v>71.464408875000004</v>
      </c>
      <c r="E1880">
        <v>50</v>
      </c>
      <c r="F1880">
        <v>49.932025908999996</v>
      </c>
      <c r="G1880">
        <v>1399.4879149999999</v>
      </c>
      <c r="H1880">
        <v>1380.4210204999999</v>
      </c>
      <c r="I1880">
        <v>1283.0738524999999</v>
      </c>
      <c r="J1880">
        <v>1261.2147216999999</v>
      </c>
      <c r="K1880">
        <v>2750</v>
      </c>
      <c r="L1880">
        <v>0</v>
      </c>
      <c r="M1880">
        <v>0</v>
      </c>
      <c r="N1880">
        <v>2750</v>
      </c>
    </row>
    <row r="1881" spans="1:14" x14ac:dyDescent="0.25">
      <c r="A1881">
        <v>1461.394436</v>
      </c>
      <c r="B1881" s="1">
        <f>DATE(2014,5,1) + TIME(9,27,59)</f>
        <v>41760.394432870373</v>
      </c>
      <c r="C1881">
        <v>80</v>
      </c>
      <c r="D1881">
        <v>71.900047302000004</v>
      </c>
      <c r="E1881">
        <v>50</v>
      </c>
      <c r="F1881">
        <v>49.929054260000001</v>
      </c>
      <c r="G1881">
        <v>1399.3001709</v>
      </c>
      <c r="H1881">
        <v>1380.3408202999999</v>
      </c>
      <c r="I1881">
        <v>1283.0749512</v>
      </c>
      <c r="J1881">
        <v>1261.2154541</v>
      </c>
      <c r="K1881">
        <v>2750</v>
      </c>
      <c r="L1881">
        <v>0</v>
      </c>
      <c r="M1881">
        <v>0</v>
      </c>
      <c r="N1881">
        <v>2750</v>
      </c>
    </row>
    <row r="1882" spans="1:14" x14ac:dyDescent="0.25">
      <c r="A1882">
        <v>1461.4279730000001</v>
      </c>
      <c r="B1882" s="1">
        <f>DATE(2014,5,1) + TIME(10,16,16)</f>
        <v>41760.42796296296</v>
      </c>
      <c r="C1882">
        <v>80</v>
      </c>
      <c r="D1882">
        <v>72.325263977000006</v>
      </c>
      <c r="E1882">
        <v>50</v>
      </c>
      <c r="F1882">
        <v>49.926025391000003</v>
      </c>
      <c r="G1882">
        <v>1399.1168213000001</v>
      </c>
      <c r="H1882">
        <v>1380.2614745999999</v>
      </c>
      <c r="I1882">
        <v>1283.0754394999999</v>
      </c>
      <c r="J1882">
        <v>1261.2156981999999</v>
      </c>
      <c r="K1882">
        <v>2750</v>
      </c>
      <c r="L1882">
        <v>0</v>
      </c>
      <c r="M1882">
        <v>0</v>
      </c>
      <c r="N1882">
        <v>2750</v>
      </c>
    </row>
    <row r="1883" spans="1:14" x14ac:dyDescent="0.25">
      <c r="A1883">
        <v>1461.462565</v>
      </c>
      <c r="B1883" s="1">
        <f>DATE(2014,5,1) + TIME(11,6,5)</f>
        <v>41760.462557870371</v>
      </c>
      <c r="C1883">
        <v>80</v>
      </c>
      <c r="D1883">
        <v>72.740119934000006</v>
      </c>
      <c r="E1883">
        <v>50</v>
      </c>
      <c r="F1883">
        <v>49.922931671000001</v>
      </c>
      <c r="G1883">
        <v>1398.9381103999999</v>
      </c>
      <c r="H1883">
        <v>1380.1832274999999</v>
      </c>
      <c r="I1883">
        <v>1283.0755615</v>
      </c>
      <c r="J1883">
        <v>1261.2155762</v>
      </c>
      <c r="K1883">
        <v>2750</v>
      </c>
      <c r="L1883">
        <v>0</v>
      </c>
      <c r="M1883">
        <v>0</v>
      </c>
      <c r="N1883">
        <v>2750</v>
      </c>
    </row>
    <row r="1884" spans="1:14" x14ac:dyDescent="0.25">
      <c r="A1884">
        <v>1461.4982769999999</v>
      </c>
      <c r="B1884" s="1">
        <f>DATE(2014,5,1) + TIME(11,57,31)</f>
        <v>41760.49827546296</v>
      </c>
      <c r="C1884">
        <v>80</v>
      </c>
      <c r="D1884">
        <v>73.144508361999996</v>
      </c>
      <c r="E1884">
        <v>50</v>
      </c>
      <c r="F1884">
        <v>49.919773102000001</v>
      </c>
      <c r="G1884">
        <v>1398.7639160000001</v>
      </c>
      <c r="H1884">
        <v>1380.1062012</v>
      </c>
      <c r="I1884">
        <v>1283.0754394999999</v>
      </c>
      <c r="J1884">
        <v>1261.2152100000001</v>
      </c>
      <c r="K1884">
        <v>2750</v>
      </c>
      <c r="L1884">
        <v>0</v>
      </c>
      <c r="M1884">
        <v>0</v>
      </c>
      <c r="N1884">
        <v>2750</v>
      </c>
    </row>
    <row r="1885" spans="1:14" x14ac:dyDescent="0.25">
      <c r="A1885">
        <v>1461.5351920000001</v>
      </c>
      <c r="B1885" s="1">
        <f>DATE(2014,5,1) + TIME(12,50,40)</f>
        <v>41760.535185185188</v>
      </c>
      <c r="C1885">
        <v>80</v>
      </c>
      <c r="D1885">
        <v>73.53843689</v>
      </c>
      <c r="E1885">
        <v>50</v>
      </c>
      <c r="F1885">
        <v>49.916538238999998</v>
      </c>
      <c r="G1885">
        <v>1398.5939940999999</v>
      </c>
      <c r="H1885">
        <v>1380.0302733999999</v>
      </c>
      <c r="I1885">
        <v>1283.0751952999999</v>
      </c>
      <c r="J1885">
        <v>1261.2145995999999</v>
      </c>
      <c r="K1885">
        <v>2750</v>
      </c>
      <c r="L1885">
        <v>0</v>
      </c>
      <c r="M1885">
        <v>0</v>
      </c>
      <c r="N1885">
        <v>2750</v>
      </c>
    </row>
    <row r="1886" spans="1:14" x14ac:dyDescent="0.25">
      <c r="A1886">
        <v>1461.5734</v>
      </c>
      <c r="B1886" s="1">
        <f>DATE(2014,5,1) + TIME(13,45,41)</f>
        <v>41760.573391203703</v>
      </c>
      <c r="C1886">
        <v>80</v>
      </c>
      <c r="D1886">
        <v>73.921897888000004</v>
      </c>
      <c r="E1886">
        <v>50</v>
      </c>
      <c r="F1886">
        <v>49.913227081000002</v>
      </c>
      <c r="G1886">
        <v>1398.4283447</v>
      </c>
      <c r="H1886">
        <v>1379.9553223</v>
      </c>
      <c r="I1886">
        <v>1283.0748291</v>
      </c>
      <c r="J1886">
        <v>1261.2139893000001</v>
      </c>
      <c r="K1886">
        <v>2750</v>
      </c>
      <c r="L1886">
        <v>0</v>
      </c>
      <c r="M1886">
        <v>0</v>
      </c>
      <c r="N1886">
        <v>2750</v>
      </c>
    </row>
    <row r="1887" spans="1:14" x14ac:dyDescent="0.25">
      <c r="A1887">
        <v>1461.6130029999999</v>
      </c>
      <c r="B1887" s="1">
        <f>DATE(2014,5,1) + TIME(14,42,43)</f>
        <v>41760.612997685188</v>
      </c>
      <c r="C1887">
        <v>80</v>
      </c>
      <c r="D1887">
        <v>74.294876099000007</v>
      </c>
      <c r="E1887">
        <v>50</v>
      </c>
      <c r="F1887">
        <v>49.909832000999998</v>
      </c>
      <c r="G1887">
        <v>1398.2666016000001</v>
      </c>
      <c r="H1887">
        <v>1379.8813477000001</v>
      </c>
      <c r="I1887">
        <v>1283.0744629000001</v>
      </c>
      <c r="J1887">
        <v>1261.2132568</v>
      </c>
      <c r="K1887">
        <v>2750</v>
      </c>
      <c r="L1887">
        <v>0</v>
      </c>
      <c r="M1887">
        <v>0</v>
      </c>
      <c r="N1887">
        <v>2750</v>
      </c>
    </row>
    <row r="1888" spans="1:14" x14ac:dyDescent="0.25">
      <c r="A1888">
        <v>1461.6541130000001</v>
      </c>
      <c r="B1888" s="1">
        <f>DATE(2014,5,1) + TIME(15,41,55)</f>
        <v>41760.654108796298</v>
      </c>
      <c r="C1888">
        <v>80</v>
      </c>
      <c r="D1888">
        <v>74.657333374000004</v>
      </c>
      <c r="E1888">
        <v>50</v>
      </c>
      <c r="F1888">
        <v>49.906341552999997</v>
      </c>
      <c r="G1888">
        <v>1398.1087646000001</v>
      </c>
      <c r="H1888">
        <v>1379.8083495999999</v>
      </c>
      <c r="I1888">
        <v>1283.0739745999999</v>
      </c>
      <c r="J1888">
        <v>1261.2124022999999</v>
      </c>
      <c r="K1888">
        <v>2750</v>
      </c>
      <c r="L1888">
        <v>0</v>
      </c>
      <c r="M1888">
        <v>0</v>
      </c>
      <c r="N1888">
        <v>2750</v>
      </c>
    </row>
    <row r="1889" spans="1:14" x14ac:dyDescent="0.25">
      <c r="A1889">
        <v>1461.696858</v>
      </c>
      <c r="B1889" s="1">
        <f>DATE(2014,5,1) + TIME(16,43,28)</f>
        <v>41760.696851851855</v>
      </c>
      <c r="C1889">
        <v>80</v>
      </c>
      <c r="D1889">
        <v>75.009239196999999</v>
      </c>
      <c r="E1889">
        <v>50</v>
      </c>
      <c r="F1889">
        <v>49.902751922999997</v>
      </c>
      <c r="G1889">
        <v>1397.9543457</v>
      </c>
      <c r="H1889">
        <v>1379.7359618999999</v>
      </c>
      <c r="I1889">
        <v>1283.0734863</v>
      </c>
      <c r="J1889">
        <v>1261.2115478999999</v>
      </c>
      <c r="K1889">
        <v>2750</v>
      </c>
      <c r="L1889">
        <v>0</v>
      </c>
      <c r="M1889">
        <v>0</v>
      </c>
      <c r="N1889">
        <v>2750</v>
      </c>
    </row>
    <row r="1890" spans="1:14" x14ac:dyDescent="0.25">
      <c r="A1890">
        <v>1461.7413799999999</v>
      </c>
      <c r="B1890" s="1">
        <f>DATE(2014,5,1) + TIME(17,47,35)</f>
        <v>41760.741377314815</v>
      </c>
      <c r="C1890">
        <v>80</v>
      </c>
      <c r="D1890">
        <v>75.350288391000007</v>
      </c>
      <c r="E1890">
        <v>50</v>
      </c>
      <c r="F1890">
        <v>49.899051665999998</v>
      </c>
      <c r="G1890">
        <v>1397.8034668</v>
      </c>
      <c r="H1890">
        <v>1379.6643065999999</v>
      </c>
      <c r="I1890">
        <v>1283.072876</v>
      </c>
      <c r="J1890">
        <v>1261.2106934000001</v>
      </c>
      <c r="K1890">
        <v>2750</v>
      </c>
      <c r="L1890">
        <v>0</v>
      </c>
      <c r="M1890">
        <v>0</v>
      </c>
      <c r="N1890">
        <v>2750</v>
      </c>
    </row>
    <row r="1891" spans="1:14" x14ac:dyDescent="0.25">
      <c r="A1891">
        <v>1461.7878390000001</v>
      </c>
      <c r="B1891" s="1">
        <f>DATE(2014,5,1) + TIME(18,54,29)</f>
        <v>41760.787835648145</v>
      </c>
      <c r="C1891">
        <v>80</v>
      </c>
      <c r="D1891">
        <v>75.680671692000004</v>
      </c>
      <c r="E1891">
        <v>50</v>
      </c>
      <c r="F1891">
        <v>49.895233154000003</v>
      </c>
      <c r="G1891">
        <v>1397.6556396000001</v>
      </c>
      <c r="H1891">
        <v>1379.5930175999999</v>
      </c>
      <c r="I1891">
        <v>1283.0722656</v>
      </c>
      <c r="J1891">
        <v>1261.2097168</v>
      </c>
      <c r="K1891">
        <v>2750</v>
      </c>
      <c r="L1891">
        <v>0</v>
      </c>
      <c r="M1891">
        <v>0</v>
      </c>
      <c r="N1891">
        <v>2750</v>
      </c>
    </row>
    <row r="1892" spans="1:14" x14ac:dyDescent="0.25">
      <c r="A1892">
        <v>1461.8364200000001</v>
      </c>
      <c r="B1892" s="1">
        <f>DATE(2014,5,1) + TIME(20,4,26)</f>
        <v>41760.836412037039</v>
      </c>
      <c r="C1892">
        <v>80</v>
      </c>
      <c r="D1892">
        <v>76.000312804999993</v>
      </c>
      <c r="E1892">
        <v>50</v>
      </c>
      <c r="F1892">
        <v>49.891281128000003</v>
      </c>
      <c r="G1892">
        <v>1397.5107422000001</v>
      </c>
      <c r="H1892">
        <v>1379.5222168</v>
      </c>
      <c r="I1892">
        <v>1283.0715332</v>
      </c>
      <c r="J1892">
        <v>1261.2086182</v>
      </c>
      <c r="K1892">
        <v>2750</v>
      </c>
      <c r="L1892">
        <v>0</v>
      </c>
      <c r="M1892">
        <v>0</v>
      </c>
      <c r="N1892">
        <v>2750</v>
      </c>
    </row>
    <row r="1893" spans="1:14" x14ac:dyDescent="0.25">
      <c r="A1893">
        <v>1461.8873679999999</v>
      </c>
      <c r="B1893" s="1">
        <f>DATE(2014,5,1) + TIME(21,17,48)</f>
        <v>41760.887361111112</v>
      </c>
      <c r="C1893">
        <v>80</v>
      </c>
      <c r="D1893">
        <v>76.309349060000002</v>
      </c>
      <c r="E1893">
        <v>50</v>
      </c>
      <c r="F1893">
        <v>49.887184142999999</v>
      </c>
      <c r="G1893">
        <v>1397.3685303</v>
      </c>
      <c r="H1893">
        <v>1379.4515381000001</v>
      </c>
      <c r="I1893">
        <v>1283.0709228999999</v>
      </c>
      <c r="J1893">
        <v>1261.2075195</v>
      </c>
      <c r="K1893">
        <v>2750</v>
      </c>
      <c r="L1893">
        <v>0</v>
      </c>
      <c r="M1893">
        <v>0</v>
      </c>
      <c r="N1893">
        <v>2750</v>
      </c>
    </row>
    <row r="1894" spans="1:14" x14ac:dyDescent="0.25">
      <c r="A1894">
        <v>1461.940895</v>
      </c>
      <c r="B1894" s="1">
        <f>DATE(2014,5,1) + TIME(22,34,53)</f>
        <v>41760.940891203703</v>
      </c>
      <c r="C1894">
        <v>80</v>
      </c>
      <c r="D1894">
        <v>76.607460021999998</v>
      </c>
      <c r="E1894">
        <v>50</v>
      </c>
      <c r="F1894">
        <v>49.882926941000001</v>
      </c>
      <c r="G1894">
        <v>1397.2288818</v>
      </c>
      <c r="H1894">
        <v>1379.3809814000001</v>
      </c>
      <c r="I1894">
        <v>1283.0700684000001</v>
      </c>
      <c r="J1894">
        <v>1261.2062988</v>
      </c>
      <c r="K1894">
        <v>2750</v>
      </c>
      <c r="L1894">
        <v>0</v>
      </c>
      <c r="M1894">
        <v>0</v>
      </c>
      <c r="N1894">
        <v>2750</v>
      </c>
    </row>
    <row r="1895" spans="1:14" x14ac:dyDescent="0.25">
      <c r="A1895">
        <v>1461.99728</v>
      </c>
      <c r="B1895" s="1">
        <f>DATE(2014,5,1) + TIME(23,56,4)</f>
        <v>41760.99726851852</v>
      </c>
      <c r="C1895">
        <v>80</v>
      </c>
      <c r="D1895">
        <v>76.894546508999994</v>
      </c>
      <c r="E1895">
        <v>50</v>
      </c>
      <c r="F1895">
        <v>49.878494263</v>
      </c>
      <c r="G1895">
        <v>1397.0914307</v>
      </c>
      <c r="H1895">
        <v>1379.3103027</v>
      </c>
      <c r="I1895">
        <v>1283.0692139</v>
      </c>
      <c r="J1895">
        <v>1261.2050781</v>
      </c>
      <c r="K1895">
        <v>2750</v>
      </c>
      <c r="L1895">
        <v>0</v>
      </c>
      <c r="M1895">
        <v>0</v>
      </c>
      <c r="N1895">
        <v>2750</v>
      </c>
    </row>
    <row r="1896" spans="1:14" x14ac:dyDescent="0.25">
      <c r="A1896">
        <v>1462.0568510000001</v>
      </c>
      <c r="B1896" s="1">
        <f>DATE(2014,5,2) + TIME(1,21,51)</f>
        <v>41761.056840277779</v>
      </c>
      <c r="C1896">
        <v>80</v>
      </c>
      <c r="D1896">
        <v>77.170486449999999</v>
      </c>
      <c r="E1896">
        <v>50</v>
      </c>
      <c r="F1896">
        <v>49.873863219999997</v>
      </c>
      <c r="G1896">
        <v>1396.9561768000001</v>
      </c>
      <c r="H1896">
        <v>1379.2395019999999</v>
      </c>
      <c r="I1896">
        <v>1283.0683594</v>
      </c>
      <c r="J1896">
        <v>1261.2037353999999</v>
      </c>
      <c r="K1896">
        <v>2750</v>
      </c>
      <c r="L1896">
        <v>0</v>
      </c>
      <c r="M1896">
        <v>0</v>
      </c>
      <c r="N1896">
        <v>2750</v>
      </c>
    </row>
    <row r="1897" spans="1:14" x14ac:dyDescent="0.25">
      <c r="A1897">
        <v>1462.1199919999999</v>
      </c>
      <c r="B1897" s="1">
        <f>DATE(2014,5,2) + TIME(2,52,47)</f>
        <v>41761.119988425926</v>
      </c>
      <c r="C1897">
        <v>80</v>
      </c>
      <c r="D1897">
        <v>77.435142517000003</v>
      </c>
      <c r="E1897">
        <v>50</v>
      </c>
      <c r="F1897">
        <v>49.869014739999997</v>
      </c>
      <c r="G1897">
        <v>1396.8226318</v>
      </c>
      <c r="H1897">
        <v>1379.1683350000001</v>
      </c>
      <c r="I1897">
        <v>1283.0673827999999</v>
      </c>
      <c r="J1897">
        <v>1261.2023925999999</v>
      </c>
      <c r="K1897">
        <v>2750</v>
      </c>
      <c r="L1897">
        <v>0</v>
      </c>
      <c r="M1897">
        <v>0</v>
      </c>
      <c r="N1897">
        <v>2750</v>
      </c>
    </row>
    <row r="1898" spans="1:14" x14ac:dyDescent="0.25">
      <c r="A1898">
        <v>1462.1871490000001</v>
      </c>
      <c r="B1898" s="1">
        <f>DATE(2014,5,2) + TIME(4,29,29)</f>
        <v>41761.187141203707</v>
      </c>
      <c r="C1898">
        <v>80</v>
      </c>
      <c r="D1898">
        <v>77.688316345000004</v>
      </c>
      <c r="E1898">
        <v>50</v>
      </c>
      <c r="F1898">
        <v>49.863918304000002</v>
      </c>
      <c r="G1898">
        <v>1396.6906738</v>
      </c>
      <c r="H1898">
        <v>1379.0964355000001</v>
      </c>
      <c r="I1898">
        <v>1283.0664062000001</v>
      </c>
      <c r="J1898">
        <v>1261.2008057</v>
      </c>
      <c r="K1898">
        <v>2750</v>
      </c>
      <c r="L1898">
        <v>0</v>
      </c>
      <c r="M1898">
        <v>0</v>
      </c>
      <c r="N1898">
        <v>2750</v>
      </c>
    </row>
    <row r="1899" spans="1:14" x14ac:dyDescent="0.25">
      <c r="A1899">
        <v>1462.258875</v>
      </c>
      <c r="B1899" s="1">
        <f>DATE(2014,5,2) + TIME(6,12,46)</f>
        <v>41761.25886574074</v>
      </c>
      <c r="C1899">
        <v>80</v>
      </c>
      <c r="D1899">
        <v>77.929862975999995</v>
      </c>
      <c r="E1899">
        <v>50</v>
      </c>
      <c r="F1899">
        <v>49.858539581000002</v>
      </c>
      <c r="G1899">
        <v>1396.5599365</v>
      </c>
      <c r="H1899">
        <v>1379.0239257999999</v>
      </c>
      <c r="I1899">
        <v>1283.0653076000001</v>
      </c>
      <c r="J1899">
        <v>1261.1992187999999</v>
      </c>
      <c r="K1899">
        <v>2750</v>
      </c>
      <c r="L1899">
        <v>0</v>
      </c>
      <c r="M1899">
        <v>0</v>
      </c>
      <c r="N1899">
        <v>2750</v>
      </c>
    </row>
    <row r="1900" spans="1:14" x14ac:dyDescent="0.25">
      <c r="A1900">
        <v>1462.3358390000001</v>
      </c>
      <c r="B1900" s="1">
        <f>DATE(2014,5,2) + TIME(8,3,36)</f>
        <v>41761.335833333331</v>
      </c>
      <c r="C1900">
        <v>80</v>
      </c>
      <c r="D1900">
        <v>78.159606933999996</v>
      </c>
      <c r="E1900">
        <v>50</v>
      </c>
      <c r="F1900">
        <v>49.852844238000003</v>
      </c>
      <c r="G1900">
        <v>1396.4302978999999</v>
      </c>
      <c r="H1900">
        <v>1378.9503173999999</v>
      </c>
      <c r="I1900">
        <v>1283.0642089999999</v>
      </c>
      <c r="J1900">
        <v>1261.1975098</v>
      </c>
      <c r="K1900">
        <v>2750</v>
      </c>
      <c r="L1900">
        <v>0</v>
      </c>
      <c r="M1900">
        <v>0</v>
      </c>
      <c r="N1900">
        <v>2750</v>
      </c>
    </row>
    <row r="1901" spans="1:14" x14ac:dyDescent="0.25">
      <c r="A1901">
        <v>1462.4188549999999</v>
      </c>
      <c r="B1901" s="1">
        <f>DATE(2014,5,2) + TIME(10,3,9)</f>
        <v>41761.418854166666</v>
      </c>
      <c r="C1901">
        <v>80</v>
      </c>
      <c r="D1901">
        <v>78.377334594999994</v>
      </c>
      <c r="E1901">
        <v>50</v>
      </c>
      <c r="F1901">
        <v>49.846782683999997</v>
      </c>
      <c r="G1901">
        <v>1396.3012695</v>
      </c>
      <c r="H1901">
        <v>1378.8753661999999</v>
      </c>
      <c r="I1901">
        <v>1283.0628661999999</v>
      </c>
      <c r="J1901">
        <v>1261.1956786999999</v>
      </c>
      <c r="K1901">
        <v>2750</v>
      </c>
      <c r="L1901">
        <v>0</v>
      </c>
      <c r="M1901">
        <v>0</v>
      </c>
      <c r="N1901">
        <v>2750</v>
      </c>
    </row>
    <row r="1902" spans="1:14" x14ac:dyDescent="0.25">
      <c r="A1902">
        <v>1462.5089390000001</v>
      </c>
      <c r="B1902" s="1">
        <f>DATE(2014,5,2) + TIME(12,12,52)</f>
        <v>41761.508935185186</v>
      </c>
      <c r="C1902">
        <v>80</v>
      </c>
      <c r="D1902">
        <v>78.582801818999997</v>
      </c>
      <c r="E1902">
        <v>50</v>
      </c>
      <c r="F1902">
        <v>49.840293883999998</v>
      </c>
      <c r="G1902">
        <v>1396.1724853999999</v>
      </c>
      <c r="H1902">
        <v>1378.7988281</v>
      </c>
      <c r="I1902">
        <v>1283.0615233999999</v>
      </c>
      <c r="J1902">
        <v>1261.1937256000001</v>
      </c>
      <c r="K1902">
        <v>2750</v>
      </c>
      <c r="L1902">
        <v>0</v>
      </c>
      <c r="M1902">
        <v>0</v>
      </c>
      <c r="N1902">
        <v>2750</v>
      </c>
    </row>
    <row r="1903" spans="1:14" x14ac:dyDescent="0.25">
      <c r="A1903">
        <v>1462.607403</v>
      </c>
      <c r="B1903" s="1">
        <f>DATE(2014,5,2) + TIME(14,34,39)</f>
        <v>41761.607395833336</v>
      </c>
      <c r="C1903">
        <v>80</v>
      </c>
      <c r="D1903">
        <v>78.775787354000002</v>
      </c>
      <c r="E1903">
        <v>50</v>
      </c>
      <c r="F1903">
        <v>49.833305359000001</v>
      </c>
      <c r="G1903">
        <v>1396.0433350000001</v>
      </c>
      <c r="H1903">
        <v>1378.7202147999999</v>
      </c>
      <c r="I1903">
        <v>1283.0600586</v>
      </c>
      <c r="J1903">
        <v>1261.1916504000001</v>
      </c>
      <c r="K1903">
        <v>2750</v>
      </c>
      <c r="L1903">
        <v>0</v>
      </c>
      <c r="M1903">
        <v>0</v>
      </c>
      <c r="N1903">
        <v>2750</v>
      </c>
    </row>
    <row r="1904" spans="1:14" x14ac:dyDescent="0.25">
      <c r="A1904">
        <v>1462.7084480000001</v>
      </c>
      <c r="B1904" s="1">
        <f>DATE(2014,5,2) + TIME(17,0,9)</f>
        <v>41761.708437499998</v>
      </c>
      <c r="C1904">
        <v>80</v>
      </c>
      <c r="D1904">
        <v>78.945358275999993</v>
      </c>
      <c r="E1904">
        <v>50</v>
      </c>
      <c r="F1904">
        <v>49.826179504000002</v>
      </c>
      <c r="G1904">
        <v>1395.9201660000001</v>
      </c>
      <c r="H1904">
        <v>1378.6425781</v>
      </c>
      <c r="I1904">
        <v>1283.0583495999999</v>
      </c>
      <c r="J1904">
        <v>1261.1893310999999</v>
      </c>
      <c r="K1904">
        <v>2750</v>
      </c>
      <c r="L1904">
        <v>0</v>
      </c>
      <c r="M1904">
        <v>0</v>
      </c>
      <c r="N1904">
        <v>2750</v>
      </c>
    </row>
    <row r="1905" spans="1:14" x14ac:dyDescent="0.25">
      <c r="A1905">
        <v>1462.8097479999999</v>
      </c>
      <c r="B1905" s="1">
        <f>DATE(2014,5,2) + TIME(19,26,2)</f>
        <v>41761.809745370374</v>
      </c>
      <c r="C1905">
        <v>80</v>
      </c>
      <c r="D1905">
        <v>79.090881347999996</v>
      </c>
      <c r="E1905">
        <v>50</v>
      </c>
      <c r="F1905">
        <v>49.819065094000003</v>
      </c>
      <c r="G1905">
        <v>1395.8050536999999</v>
      </c>
      <c r="H1905">
        <v>1378.5679932</v>
      </c>
      <c r="I1905">
        <v>1283.0566406</v>
      </c>
      <c r="J1905">
        <v>1261.1868896000001</v>
      </c>
      <c r="K1905">
        <v>2750</v>
      </c>
      <c r="L1905">
        <v>0</v>
      </c>
      <c r="M1905">
        <v>0</v>
      </c>
      <c r="N1905">
        <v>2750</v>
      </c>
    </row>
    <row r="1906" spans="1:14" x14ac:dyDescent="0.25">
      <c r="A1906">
        <v>1462.9117189999999</v>
      </c>
      <c r="B1906" s="1">
        <f>DATE(2014,5,2) + TIME(21,52,52)</f>
        <v>41761.911712962959</v>
      </c>
      <c r="C1906">
        <v>80</v>
      </c>
      <c r="D1906">
        <v>79.216178893999995</v>
      </c>
      <c r="E1906">
        <v>50</v>
      </c>
      <c r="F1906">
        <v>49.811931610000002</v>
      </c>
      <c r="G1906">
        <v>1395.6972656</v>
      </c>
      <c r="H1906">
        <v>1378.4967041</v>
      </c>
      <c r="I1906">
        <v>1283.0548096</v>
      </c>
      <c r="J1906">
        <v>1261.1845702999999</v>
      </c>
      <c r="K1906">
        <v>2750</v>
      </c>
      <c r="L1906">
        <v>0</v>
      </c>
      <c r="M1906">
        <v>0</v>
      </c>
      <c r="N1906">
        <v>2750</v>
      </c>
    </row>
    <row r="1907" spans="1:14" x14ac:dyDescent="0.25">
      <c r="A1907">
        <v>1463.014647</v>
      </c>
      <c r="B1907" s="1">
        <f>DATE(2014,5,3) + TIME(0,21,5)</f>
        <v>41762.014641203707</v>
      </c>
      <c r="C1907">
        <v>80</v>
      </c>
      <c r="D1907">
        <v>79.324226378999995</v>
      </c>
      <c r="E1907">
        <v>50</v>
      </c>
      <c r="F1907">
        <v>49.804759979000004</v>
      </c>
      <c r="G1907">
        <v>1395.5957031</v>
      </c>
      <c r="H1907">
        <v>1378.4282227000001</v>
      </c>
      <c r="I1907">
        <v>1283.0529785000001</v>
      </c>
      <c r="J1907">
        <v>1261.1821289</v>
      </c>
      <c r="K1907">
        <v>2750</v>
      </c>
      <c r="L1907">
        <v>0</v>
      </c>
      <c r="M1907">
        <v>0</v>
      </c>
      <c r="N1907">
        <v>2750</v>
      </c>
    </row>
    <row r="1908" spans="1:14" x14ac:dyDescent="0.25">
      <c r="A1908">
        <v>1463.1188159999999</v>
      </c>
      <c r="B1908" s="1">
        <f>DATE(2014,5,3) + TIME(2,51,5)</f>
        <v>41762.118807870371</v>
      </c>
      <c r="C1908">
        <v>80</v>
      </c>
      <c r="D1908">
        <v>79.417488098000007</v>
      </c>
      <c r="E1908">
        <v>50</v>
      </c>
      <c r="F1908">
        <v>49.797538756999998</v>
      </c>
      <c r="G1908">
        <v>1395.4995117000001</v>
      </c>
      <c r="H1908">
        <v>1378.3621826000001</v>
      </c>
      <c r="I1908">
        <v>1283.0512695</v>
      </c>
      <c r="J1908">
        <v>1261.1796875</v>
      </c>
      <c r="K1908">
        <v>2750</v>
      </c>
      <c r="L1908">
        <v>0</v>
      </c>
      <c r="M1908">
        <v>0</v>
      </c>
      <c r="N1908">
        <v>2750</v>
      </c>
    </row>
    <row r="1909" spans="1:14" x14ac:dyDescent="0.25">
      <c r="A1909">
        <v>1463.2245339999999</v>
      </c>
      <c r="B1909" s="1">
        <f>DATE(2014,5,3) + TIME(5,23,19)</f>
        <v>41762.22452546296</v>
      </c>
      <c r="C1909">
        <v>80</v>
      </c>
      <c r="D1909">
        <v>79.498062133999994</v>
      </c>
      <c r="E1909">
        <v>50</v>
      </c>
      <c r="F1909">
        <v>49.790245056000003</v>
      </c>
      <c r="G1909">
        <v>1395.4078368999999</v>
      </c>
      <c r="H1909">
        <v>1378.2982178</v>
      </c>
      <c r="I1909">
        <v>1283.0493164</v>
      </c>
      <c r="J1909">
        <v>1261.1772461</v>
      </c>
      <c r="K1909">
        <v>2750</v>
      </c>
      <c r="L1909">
        <v>0</v>
      </c>
      <c r="M1909">
        <v>0</v>
      </c>
      <c r="N1909">
        <v>2750</v>
      </c>
    </row>
    <row r="1910" spans="1:14" x14ac:dyDescent="0.25">
      <c r="A1910">
        <v>1463.332034</v>
      </c>
      <c r="B1910" s="1">
        <f>DATE(2014,5,3) + TIME(7,58,7)</f>
        <v>41762.332025462965</v>
      </c>
      <c r="C1910">
        <v>80</v>
      </c>
      <c r="D1910">
        <v>79.567642211999996</v>
      </c>
      <c r="E1910">
        <v>50</v>
      </c>
      <c r="F1910">
        <v>49.782867432000003</v>
      </c>
      <c r="G1910">
        <v>1395.3203125</v>
      </c>
      <c r="H1910">
        <v>1378.2360839999999</v>
      </c>
      <c r="I1910">
        <v>1283.0474853999999</v>
      </c>
      <c r="J1910">
        <v>1261.1746826000001</v>
      </c>
      <c r="K1910">
        <v>2750</v>
      </c>
      <c r="L1910">
        <v>0</v>
      </c>
      <c r="M1910">
        <v>0</v>
      </c>
      <c r="N1910">
        <v>2750</v>
      </c>
    </row>
    <row r="1911" spans="1:14" x14ac:dyDescent="0.25">
      <c r="A1911">
        <v>1463.441595</v>
      </c>
      <c r="B1911" s="1">
        <f>DATE(2014,5,3) + TIME(10,35,53)</f>
        <v>41762.44158564815</v>
      </c>
      <c r="C1911">
        <v>80</v>
      </c>
      <c r="D1911">
        <v>79.627708435000002</v>
      </c>
      <c r="E1911">
        <v>50</v>
      </c>
      <c r="F1911">
        <v>49.775382995999998</v>
      </c>
      <c r="G1911">
        <v>1395.2360839999999</v>
      </c>
      <c r="H1911">
        <v>1378.1755370999999</v>
      </c>
      <c r="I1911">
        <v>1283.0456543</v>
      </c>
      <c r="J1911">
        <v>1261.1721190999999</v>
      </c>
      <c r="K1911">
        <v>2750</v>
      </c>
      <c r="L1911">
        <v>0</v>
      </c>
      <c r="M1911">
        <v>0</v>
      </c>
      <c r="N1911">
        <v>2750</v>
      </c>
    </row>
    <row r="1912" spans="1:14" x14ac:dyDescent="0.25">
      <c r="A1912">
        <v>1463.5535070000001</v>
      </c>
      <c r="B1912" s="1">
        <f>DATE(2014,5,3) + TIME(13,17,2)</f>
        <v>41762.553495370368</v>
      </c>
      <c r="C1912">
        <v>80</v>
      </c>
      <c r="D1912">
        <v>79.679519653</v>
      </c>
      <c r="E1912">
        <v>50</v>
      </c>
      <c r="F1912">
        <v>49.767784118999998</v>
      </c>
      <c r="G1912">
        <v>1395.1550293</v>
      </c>
      <c r="H1912">
        <v>1378.1163329999999</v>
      </c>
      <c r="I1912">
        <v>1283.0437012</v>
      </c>
      <c r="J1912">
        <v>1261.1695557</v>
      </c>
      <c r="K1912">
        <v>2750</v>
      </c>
      <c r="L1912">
        <v>0</v>
      </c>
      <c r="M1912">
        <v>0</v>
      </c>
      <c r="N1912">
        <v>2750</v>
      </c>
    </row>
    <row r="1913" spans="1:14" x14ac:dyDescent="0.25">
      <c r="A1913">
        <v>1463.668075</v>
      </c>
      <c r="B1913" s="1">
        <f>DATE(2014,5,3) + TIME(16,2,1)</f>
        <v>41762.668067129627</v>
      </c>
      <c r="C1913">
        <v>80</v>
      </c>
      <c r="D1913">
        <v>79.724159240999995</v>
      </c>
      <c r="E1913">
        <v>50</v>
      </c>
      <c r="F1913">
        <v>49.760044098000002</v>
      </c>
      <c r="G1913">
        <v>1395.0764160000001</v>
      </c>
      <c r="H1913">
        <v>1378.0582274999999</v>
      </c>
      <c r="I1913">
        <v>1283.041626</v>
      </c>
      <c r="J1913">
        <v>1261.1668701000001</v>
      </c>
      <c r="K1913">
        <v>2750</v>
      </c>
      <c r="L1913">
        <v>0</v>
      </c>
      <c r="M1913">
        <v>0</v>
      </c>
      <c r="N1913">
        <v>2750</v>
      </c>
    </row>
    <row r="1914" spans="1:14" x14ac:dyDescent="0.25">
      <c r="A1914">
        <v>1463.7856240000001</v>
      </c>
      <c r="B1914" s="1">
        <f>DATE(2014,5,3) + TIME(18,51,17)</f>
        <v>41762.785613425927</v>
      </c>
      <c r="C1914">
        <v>80</v>
      </c>
      <c r="D1914">
        <v>79.762565613000007</v>
      </c>
      <c r="E1914">
        <v>50</v>
      </c>
      <c r="F1914">
        <v>49.752147675000003</v>
      </c>
      <c r="G1914">
        <v>1395.0001221</v>
      </c>
      <c r="H1914">
        <v>1378.0012207</v>
      </c>
      <c r="I1914">
        <v>1283.0396728999999</v>
      </c>
      <c r="J1914">
        <v>1261.1640625</v>
      </c>
      <c r="K1914">
        <v>2750</v>
      </c>
      <c r="L1914">
        <v>0</v>
      </c>
      <c r="M1914">
        <v>0</v>
      </c>
      <c r="N1914">
        <v>2750</v>
      </c>
    </row>
    <row r="1915" spans="1:14" x14ac:dyDescent="0.25">
      <c r="A1915">
        <v>1463.9065049999999</v>
      </c>
      <c r="B1915" s="1">
        <f>DATE(2014,5,3) + TIME(21,45,22)</f>
        <v>41762.906504629631</v>
      </c>
      <c r="C1915">
        <v>80</v>
      </c>
      <c r="D1915">
        <v>79.795539856000005</v>
      </c>
      <c r="E1915">
        <v>50</v>
      </c>
      <c r="F1915">
        <v>49.744071959999999</v>
      </c>
      <c r="G1915">
        <v>1394.9255370999999</v>
      </c>
      <c r="H1915">
        <v>1377.9449463000001</v>
      </c>
      <c r="I1915">
        <v>1283.0374756000001</v>
      </c>
      <c r="J1915">
        <v>1261.1612548999999</v>
      </c>
      <c r="K1915">
        <v>2750</v>
      </c>
      <c r="L1915">
        <v>0</v>
      </c>
      <c r="M1915">
        <v>0</v>
      </c>
      <c r="N1915">
        <v>2750</v>
      </c>
    </row>
    <row r="1916" spans="1:14" x14ac:dyDescent="0.25">
      <c r="A1916">
        <v>1464.0311019999999</v>
      </c>
      <c r="B1916" s="1">
        <f>DATE(2014,5,4) + TIME(0,44,47)</f>
        <v>41763.031099537038</v>
      </c>
      <c r="C1916">
        <v>80</v>
      </c>
      <c r="D1916">
        <v>79.823783875000004</v>
      </c>
      <c r="E1916">
        <v>50</v>
      </c>
      <c r="F1916">
        <v>49.735797882</v>
      </c>
      <c r="G1916">
        <v>1394.8526611</v>
      </c>
      <c r="H1916">
        <v>1377.8892822</v>
      </c>
      <c r="I1916">
        <v>1283.0352783000001</v>
      </c>
      <c r="J1916">
        <v>1261.1583252</v>
      </c>
      <c r="K1916">
        <v>2750</v>
      </c>
      <c r="L1916">
        <v>0</v>
      </c>
      <c r="M1916">
        <v>0</v>
      </c>
      <c r="N1916">
        <v>2750</v>
      </c>
    </row>
    <row r="1917" spans="1:14" x14ac:dyDescent="0.25">
      <c r="A1917">
        <v>1464.1598369999999</v>
      </c>
      <c r="B1917" s="1">
        <f>DATE(2014,5,4) + TIME(3,50,9)</f>
        <v>41763.159826388888</v>
      </c>
      <c r="C1917">
        <v>80</v>
      </c>
      <c r="D1917">
        <v>79.847908020000006</v>
      </c>
      <c r="E1917">
        <v>50</v>
      </c>
      <c r="F1917">
        <v>49.727302551000001</v>
      </c>
      <c r="G1917">
        <v>1394.7808838000001</v>
      </c>
      <c r="H1917">
        <v>1377.8342285000001</v>
      </c>
      <c r="I1917">
        <v>1283.0330810999999</v>
      </c>
      <c r="J1917">
        <v>1261.1552733999999</v>
      </c>
      <c r="K1917">
        <v>2750</v>
      </c>
      <c r="L1917">
        <v>0</v>
      </c>
      <c r="M1917">
        <v>0</v>
      </c>
      <c r="N1917">
        <v>2750</v>
      </c>
    </row>
    <row r="1918" spans="1:14" x14ac:dyDescent="0.25">
      <c r="A1918">
        <v>1464.2931799999999</v>
      </c>
      <c r="B1918" s="1">
        <f>DATE(2014,5,4) + TIME(7,2,10)</f>
        <v>41763.293171296296</v>
      </c>
      <c r="C1918">
        <v>80</v>
      </c>
      <c r="D1918">
        <v>79.868461608999993</v>
      </c>
      <c r="E1918">
        <v>50</v>
      </c>
      <c r="F1918">
        <v>49.718555449999997</v>
      </c>
      <c r="G1918">
        <v>1394.7102050999999</v>
      </c>
      <c r="H1918">
        <v>1377.7794189000001</v>
      </c>
      <c r="I1918">
        <v>1283.0307617000001</v>
      </c>
      <c r="J1918">
        <v>1261.1522216999999</v>
      </c>
      <c r="K1918">
        <v>2750</v>
      </c>
      <c r="L1918">
        <v>0</v>
      </c>
      <c r="M1918">
        <v>0</v>
      </c>
      <c r="N1918">
        <v>2750</v>
      </c>
    </row>
    <row r="1919" spans="1:14" x14ac:dyDescent="0.25">
      <c r="A1919">
        <v>1464.4317450000001</v>
      </c>
      <c r="B1919" s="1">
        <f>DATE(2014,5,4) + TIME(10,21,42)</f>
        <v>41763.43173611111</v>
      </c>
      <c r="C1919">
        <v>80</v>
      </c>
      <c r="D1919">
        <v>79.885902404999996</v>
      </c>
      <c r="E1919">
        <v>50</v>
      </c>
      <c r="F1919">
        <v>49.709526062000002</v>
      </c>
      <c r="G1919">
        <v>1394.6401367000001</v>
      </c>
      <c r="H1919">
        <v>1377.7247314000001</v>
      </c>
      <c r="I1919">
        <v>1283.0283202999999</v>
      </c>
      <c r="J1919">
        <v>1261.1489257999999</v>
      </c>
      <c r="K1919">
        <v>2750</v>
      </c>
      <c r="L1919">
        <v>0</v>
      </c>
      <c r="M1919">
        <v>0</v>
      </c>
      <c r="N1919">
        <v>2750</v>
      </c>
    </row>
    <row r="1920" spans="1:14" x14ac:dyDescent="0.25">
      <c r="A1920">
        <v>1464.5760620000001</v>
      </c>
      <c r="B1920" s="1">
        <f>DATE(2014,5,4) + TIME(13,49,31)</f>
        <v>41763.576053240744</v>
      </c>
      <c r="C1920">
        <v>80</v>
      </c>
      <c r="D1920">
        <v>79.900650024000001</v>
      </c>
      <c r="E1920">
        <v>50</v>
      </c>
      <c r="F1920">
        <v>49.700180054</v>
      </c>
      <c r="G1920">
        <v>1394.5705565999999</v>
      </c>
      <c r="H1920">
        <v>1377.6701660000001</v>
      </c>
      <c r="I1920">
        <v>1283.0258789</v>
      </c>
      <c r="J1920">
        <v>1261.1456298999999</v>
      </c>
      <c r="K1920">
        <v>2750</v>
      </c>
      <c r="L1920">
        <v>0</v>
      </c>
      <c r="M1920">
        <v>0</v>
      </c>
      <c r="N1920">
        <v>2750</v>
      </c>
    </row>
    <row r="1921" spans="1:14" x14ac:dyDescent="0.25">
      <c r="A1921">
        <v>1464.7268099999999</v>
      </c>
      <c r="B1921" s="1">
        <f>DATE(2014,5,4) + TIME(17,26,36)</f>
        <v>41763.726805555554</v>
      </c>
      <c r="C1921">
        <v>80</v>
      </c>
      <c r="D1921">
        <v>79.913055420000006</v>
      </c>
      <c r="E1921">
        <v>50</v>
      </c>
      <c r="F1921">
        <v>49.690486907999997</v>
      </c>
      <c r="G1921">
        <v>1394.5009766000001</v>
      </c>
      <c r="H1921">
        <v>1377.6153564000001</v>
      </c>
      <c r="I1921">
        <v>1283.0231934000001</v>
      </c>
      <c r="J1921">
        <v>1261.1420897999999</v>
      </c>
      <c r="K1921">
        <v>2750</v>
      </c>
      <c r="L1921">
        <v>0</v>
      </c>
      <c r="M1921">
        <v>0</v>
      </c>
      <c r="N1921">
        <v>2750</v>
      </c>
    </row>
    <row r="1922" spans="1:14" x14ac:dyDescent="0.25">
      <c r="A1922">
        <v>1464.8834139999999</v>
      </c>
      <c r="B1922" s="1">
        <f>DATE(2014,5,4) + TIME(21,12,6)</f>
        <v>41763.883402777778</v>
      </c>
      <c r="C1922">
        <v>80</v>
      </c>
      <c r="D1922">
        <v>79.923370360999996</v>
      </c>
      <c r="E1922">
        <v>50</v>
      </c>
      <c r="F1922">
        <v>49.680469512999998</v>
      </c>
      <c r="G1922">
        <v>1394.4315185999999</v>
      </c>
      <c r="H1922">
        <v>1377.5601807</v>
      </c>
      <c r="I1922">
        <v>1283.0205077999999</v>
      </c>
      <c r="J1922">
        <v>1261.1384277</v>
      </c>
      <c r="K1922">
        <v>2750</v>
      </c>
      <c r="L1922">
        <v>0</v>
      </c>
      <c r="M1922">
        <v>0</v>
      </c>
      <c r="N1922">
        <v>2750</v>
      </c>
    </row>
    <row r="1923" spans="1:14" x14ac:dyDescent="0.25">
      <c r="A1923">
        <v>1465.045785</v>
      </c>
      <c r="B1923" s="1">
        <f>DATE(2014,5,5) + TIME(1,5,55)</f>
        <v>41764.045775462961</v>
      </c>
      <c r="C1923">
        <v>80</v>
      </c>
      <c r="D1923">
        <v>79.931877135999997</v>
      </c>
      <c r="E1923">
        <v>50</v>
      </c>
      <c r="F1923">
        <v>49.670139313</v>
      </c>
      <c r="G1923">
        <v>1394.3623047000001</v>
      </c>
      <c r="H1923">
        <v>1377.5051269999999</v>
      </c>
      <c r="I1923">
        <v>1283.0175781</v>
      </c>
      <c r="J1923">
        <v>1261.1346435999999</v>
      </c>
      <c r="K1923">
        <v>2750</v>
      </c>
      <c r="L1923">
        <v>0</v>
      </c>
      <c r="M1923">
        <v>0</v>
      </c>
      <c r="N1923">
        <v>2750</v>
      </c>
    </row>
    <row r="1924" spans="1:14" x14ac:dyDescent="0.25">
      <c r="A1924">
        <v>1465.2146310000001</v>
      </c>
      <c r="B1924" s="1">
        <f>DATE(2014,5,5) + TIME(5,9,4)</f>
        <v>41764.214629629627</v>
      </c>
      <c r="C1924">
        <v>80</v>
      </c>
      <c r="D1924">
        <v>79.938865661999998</v>
      </c>
      <c r="E1924">
        <v>50</v>
      </c>
      <c r="F1924">
        <v>49.659454345999997</v>
      </c>
      <c r="G1924">
        <v>1394.2933350000001</v>
      </c>
      <c r="H1924">
        <v>1377.4500731999999</v>
      </c>
      <c r="I1924">
        <v>1283.0146483999999</v>
      </c>
      <c r="J1924">
        <v>1261.1306152</v>
      </c>
      <c r="K1924">
        <v>2750</v>
      </c>
      <c r="L1924">
        <v>0</v>
      </c>
      <c r="M1924">
        <v>0</v>
      </c>
      <c r="N1924">
        <v>2750</v>
      </c>
    </row>
    <row r="1925" spans="1:14" x14ac:dyDescent="0.25">
      <c r="A1925">
        <v>1465.390656</v>
      </c>
      <c r="B1925" s="1">
        <f>DATE(2014,5,5) + TIME(9,22,32)</f>
        <v>41764.390648148146</v>
      </c>
      <c r="C1925">
        <v>80</v>
      </c>
      <c r="D1925">
        <v>79.944580078000001</v>
      </c>
      <c r="E1925">
        <v>50</v>
      </c>
      <c r="F1925">
        <v>49.648376464999998</v>
      </c>
      <c r="G1925">
        <v>1394.2243652</v>
      </c>
      <c r="H1925">
        <v>1377.3947754000001</v>
      </c>
      <c r="I1925">
        <v>1283.0114745999999</v>
      </c>
      <c r="J1925">
        <v>1261.1264647999999</v>
      </c>
      <c r="K1925">
        <v>2750</v>
      </c>
      <c r="L1925">
        <v>0</v>
      </c>
      <c r="M1925">
        <v>0</v>
      </c>
      <c r="N1925">
        <v>2750</v>
      </c>
    </row>
    <row r="1926" spans="1:14" x14ac:dyDescent="0.25">
      <c r="A1926">
        <v>1465.5746079999999</v>
      </c>
      <c r="B1926" s="1">
        <f>DATE(2014,5,5) + TIME(13,47,26)</f>
        <v>41764.574606481481</v>
      </c>
      <c r="C1926">
        <v>80</v>
      </c>
      <c r="D1926">
        <v>79.949234008999994</v>
      </c>
      <c r="E1926">
        <v>50</v>
      </c>
      <c r="F1926">
        <v>49.636871337999999</v>
      </c>
      <c r="G1926">
        <v>1394.1551514</v>
      </c>
      <c r="H1926">
        <v>1377.3393555</v>
      </c>
      <c r="I1926">
        <v>1283.0081786999999</v>
      </c>
      <c r="J1926">
        <v>1261.1221923999999</v>
      </c>
      <c r="K1926">
        <v>2750</v>
      </c>
      <c r="L1926">
        <v>0</v>
      </c>
      <c r="M1926">
        <v>0</v>
      </c>
      <c r="N1926">
        <v>2750</v>
      </c>
    </row>
    <row r="1927" spans="1:14" x14ac:dyDescent="0.25">
      <c r="A1927">
        <v>1465.7674159999999</v>
      </c>
      <c r="B1927" s="1">
        <f>DATE(2014,5,5) + TIME(18,25,4)</f>
        <v>41764.767407407409</v>
      </c>
      <c r="C1927">
        <v>80</v>
      </c>
      <c r="D1927">
        <v>79.952995299999998</v>
      </c>
      <c r="E1927">
        <v>50</v>
      </c>
      <c r="F1927">
        <v>49.624893188000001</v>
      </c>
      <c r="G1927">
        <v>1394.0854492000001</v>
      </c>
      <c r="H1927">
        <v>1377.2834473</v>
      </c>
      <c r="I1927">
        <v>1283.0048827999999</v>
      </c>
      <c r="J1927">
        <v>1261.1176757999999</v>
      </c>
      <c r="K1927">
        <v>2750</v>
      </c>
      <c r="L1927">
        <v>0</v>
      </c>
      <c r="M1927">
        <v>0</v>
      </c>
      <c r="N1927">
        <v>2750</v>
      </c>
    </row>
    <row r="1928" spans="1:14" x14ac:dyDescent="0.25">
      <c r="A1928">
        <v>1465.970149</v>
      </c>
      <c r="B1928" s="1">
        <f>DATE(2014,5,5) + TIME(23,17,0)</f>
        <v>41764.970138888886</v>
      </c>
      <c r="C1928">
        <v>80</v>
      </c>
      <c r="D1928">
        <v>79.956031799000002</v>
      </c>
      <c r="E1928">
        <v>50</v>
      </c>
      <c r="F1928">
        <v>49.612380981000001</v>
      </c>
      <c r="G1928">
        <v>1394.0151367000001</v>
      </c>
      <c r="H1928">
        <v>1377.2269286999999</v>
      </c>
      <c r="I1928">
        <v>1283.0012207</v>
      </c>
      <c r="J1928">
        <v>1261.1129149999999</v>
      </c>
      <c r="K1928">
        <v>2750</v>
      </c>
      <c r="L1928">
        <v>0</v>
      </c>
      <c r="M1928">
        <v>0</v>
      </c>
      <c r="N1928">
        <v>2750</v>
      </c>
    </row>
    <row r="1929" spans="1:14" x14ac:dyDescent="0.25">
      <c r="A1929">
        <v>1466.178764</v>
      </c>
      <c r="B1929" s="1">
        <f>DATE(2014,5,6) + TIME(4,17,25)</f>
        <v>41765.178761574076</v>
      </c>
      <c r="C1929">
        <v>80</v>
      </c>
      <c r="D1929">
        <v>79.958412170000003</v>
      </c>
      <c r="E1929">
        <v>50</v>
      </c>
      <c r="F1929">
        <v>49.599525452000002</v>
      </c>
      <c r="G1929">
        <v>1393.9438477000001</v>
      </c>
      <c r="H1929">
        <v>1377.1695557</v>
      </c>
      <c r="I1929">
        <v>1282.9974365</v>
      </c>
      <c r="J1929">
        <v>1261.1080322</v>
      </c>
      <c r="K1929">
        <v>2750</v>
      </c>
      <c r="L1929">
        <v>0</v>
      </c>
      <c r="M1929">
        <v>0</v>
      </c>
      <c r="N1929">
        <v>2750</v>
      </c>
    </row>
    <row r="1930" spans="1:14" x14ac:dyDescent="0.25">
      <c r="A1930">
        <v>1466.388684</v>
      </c>
      <c r="B1930" s="1">
        <f>DATE(2014,5,6) + TIME(9,19,42)</f>
        <v>41765.388680555552</v>
      </c>
      <c r="C1930">
        <v>80</v>
      </c>
      <c r="D1930">
        <v>79.960250853999995</v>
      </c>
      <c r="E1930">
        <v>50</v>
      </c>
      <c r="F1930">
        <v>49.586559295999997</v>
      </c>
      <c r="G1930">
        <v>1393.8731689000001</v>
      </c>
      <c r="H1930">
        <v>1377.1126709</v>
      </c>
      <c r="I1930">
        <v>1282.9935303</v>
      </c>
      <c r="J1930">
        <v>1261.1029053</v>
      </c>
      <c r="K1930">
        <v>2750</v>
      </c>
      <c r="L1930">
        <v>0</v>
      </c>
      <c r="M1930">
        <v>0</v>
      </c>
      <c r="N1930">
        <v>2750</v>
      </c>
    </row>
    <row r="1931" spans="1:14" x14ac:dyDescent="0.25">
      <c r="A1931">
        <v>1466.6005929999999</v>
      </c>
      <c r="B1931" s="1">
        <f>DATE(2014,5,6) + TIME(14,24,51)</f>
        <v>41765.600590277776</v>
      </c>
      <c r="C1931">
        <v>80</v>
      </c>
      <c r="D1931">
        <v>79.961669921999999</v>
      </c>
      <c r="E1931">
        <v>50</v>
      </c>
      <c r="F1931">
        <v>49.573459624999998</v>
      </c>
      <c r="G1931">
        <v>1393.8044434000001</v>
      </c>
      <c r="H1931">
        <v>1377.0573730000001</v>
      </c>
      <c r="I1931">
        <v>1282.9895019999999</v>
      </c>
      <c r="J1931">
        <v>1261.0977783000001</v>
      </c>
      <c r="K1931">
        <v>2750</v>
      </c>
      <c r="L1931">
        <v>0</v>
      </c>
      <c r="M1931">
        <v>0</v>
      </c>
      <c r="N1931">
        <v>2750</v>
      </c>
    </row>
    <row r="1932" spans="1:14" x14ac:dyDescent="0.25">
      <c r="A1932">
        <v>1466.8151419999999</v>
      </c>
      <c r="B1932" s="1">
        <f>DATE(2014,5,6) + TIME(19,33,48)</f>
        <v>41765.815138888887</v>
      </c>
      <c r="C1932">
        <v>80</v>
      </c>
      <c r="D1932">
        <v>79.962776184000006</v>
      </c>
      <c r="E1932">
        <v>50</v>
      </c>
      <c r="F1932">
        <v>49.560211182000003</v>
      </c>
      <c r="G1932">
        <v>1393.7373047000001</v>
      </c>
      <c r="H1932">
        <v>1377.003418</v>
      </c>
      <c r="I1932">
        <v>1282.9855957</v>
      </c>
      <c r="J1932">
        <v>1261.0925293</v>
      </c>
      <c r="K1932">
        <v>2750</v>
      </c>
      <c r="L1932">
        <v>0</v>
      </c>
      <c r="M1932">
        <v>0</v>
      </c>
      <c r="N1932">
        <v>2750</v>
      </c>
    </row>
    <row r="1933" spans="1:14" x14ac:dyDescent="0.25">
      <c r="A1933">
        <v>1467.0329790000001</v>
      </c>
      <c r="B1933" s="1">
        <f>DATE(2014,5,7) + TIME(0,47,29)</f>
        <v>41766.03297453704</v>
      </c>
      <c r="C1933">
        <v>80</v>
      </c>
      <c r="D1933">
        <v>79.963638306000007</v>
      </c>
      <c r="E1933">
        <v>50</v>
      </c>
      <c r="F1933">
        <v>49.546794890999998</v>
      </c>
      <c r="G1933">
        <v>1393.6715088000001</v>
      </c>
      <c r="H1933">
        <v>1376.9505615</v>
      </c>
      <c r="I1933">
        <v>1282.9814452999999</v>
      </c>
      <c r="J1933">
        <v>1261.0872803</v>
      </c>
      <c r="K1933">
        <v>2750</v>
      </c>
      <c r="L1933">
        <v>0</v>
      </c>
      <c r="M1933">
        <v>0</v>
      </c>
      <c r="N1933">
        <v>2750</v>
      </c>
    </row>
    <row r="1934" spans="1:14" x14ac:dyDescent="0.25">
      <c r="A1934">
        <v>1467.254762</v>
      </c>
      <c r="B1934" s="1">
        <f>DATE(2014,5,7) + TIME(6,6,51)</f>
        <v>41766.254756944443</v>
      </c>
      <c r="C1934">
        <v>80</v>
      </c>
      <c r="D1934">
        <v>79.964317321999999</v>
      </c>
      <c r="E1934">
        <v>50</v>
      </c>
      <c r="F1934">
        <v>49.533180237000003</v>
      </c>
      <c r="G1934">
        <v>1393.6068115</v>
      </c>
      <c r="H1934">
        <v>1376.8985596</v>
      </c>
      <c r="I1934">
        <v>1282.9774170000001</v>
      </c>
      <c r="J1934">
        <v>1261.0819091999999</v>
      </c>
      <c r="K1934">
        <v>2750</v>
      </c>
      <c r="L1934">
        <v>0</v>
      </c>
      <c r="M1934">
        <v>0</v>
      </c>
      <c r="N1934">
        <v>2750</v>
      </c>
    </row>
    <row r="1935" spans="1:14" x14ac:dyDescent="0.25">
      <c r="A1935">
        <v>1467.481176</v>
      </c>
      <c r="B1935" s="1">
        <f>DATE(2014,5,7) + TIME(11,32,53)</f>
        <v>41766.481168981481</v>
      </c>
      <c r="C1935">
        <v>80</v>
      </c>
      <c r="D1935">
        <v>79.964851378999995</v>
      </c>
      <c r="E1935">
        <v>50</v>
      </c>
      <c r="F1935">
        <v>49.519340515000003</v>
      </c>
      <c r="G1935">
        <v>1393.5428466999999</v>
      </c>
      <c r="H1935">
        <v>1376.8472899999999</v>
      </c>
      <c r="I1935">
        <v>1282.9732666</v>
      </c>
      <c r="J1935">
        <v>1261.0764160000001</v>
      </c>
      <c r="K1935">
        <v>2750</v>
      </c>
      <c r="L1935">
        <v>0</v>
      </c>
      <c r="M1935">
        <v>0</v>
      </c>
      <c r="N1935">
        <v>2750</v>
      </c>
    </row>
    <row r="1936" spans="1:14" x14ac:dyDescent="0.25">
      <c r="A1936">
        <v>1467.7129460000001</v>
      </c>
      <c r="B1936" s="1">
        <f>DATE(2014,5,7) + TIME(17,6,38)</f>
        <v>41766.712939814817</v>
      </c>
      <c r="C1936">
        <v>80</v>
      </c>
      <c r="D1936">
        <v>79.965278624999996</v>
      </c>
      <c r="E1936">
        <v>50</v>
      </c>
      <c r="F1936">
        <v>49.505241394000002</v>
      </c>
      <c r="G1936">
        <v>1393.4793701000001</v>
      </c>
      <c r="H1936">
        <v>1376.7963867000001</v>
      </c>
      <c r="I1936">
        <v>1282.9689940999999</v>
      </c>
      <c r="J1936">
        <v>1261.0708007999999</v>
      </c>
      <c r="K1936">
        <v>2750</v>
      </c>
      <c r="L1936">
        <v>0</v>
      </c>
      <c r="M1936">
        <v>0</v>
      </c>
      <c r="N1936">
        <v>2750</v>
      </c>
    </row>
    <row r="1937" spans="1:14" x14ac:dyDescent="0.25">
      <c r="A1937">
        <v>1467.9508530000001</v>
      </c>
      <c r="B1937" s="1">
        <f>DATE(2014,5,7) + TIME(22,49,13)</f>
        <v>41766.950844907406</v>
      </c>
      <c r="C1937">
        <v>80</v>
      </c>
      <c r="D1937">
        <v>79.965614318999997</v>
      </c>
      <c r="E1937">
        <v>50</v>
      </c>
      <c r="F1937">
        <v>49.490844727000002</v>
      </c>
      <c r="G1937">
        <v>1393.4163818</v>
      </c>
      <c r="H1937">
        <v>1376.7458495999999</v>
      </c>
      <c r="I1937">
        <v>1282.9645995999999</v>
      </c>
      <c r="J1937">
        <v>1261.0650635</v>
      </c>
      <c r="K1937">
        <v>2750</v>
      </c>
      <c r="L1937">
        <v>0</v>
      </c>
      <c r="M1937">
        <v>0</v>
      </c>
      <c r="N1937">
        <v>2750</v>
      </c>
    </row>
    <row r="1938" spans="1:14" x14ac:dyDescent="0.25">
      <c r="A1938">
        <v>1468.1958460000001</v>
      </c>
      <c r="B1938" s="1">
        <f>DATE(2014,5,8) + TIME(4,42,1)</f>
        <v>41767.195844907408</v>
      </c>
      <c r="C1938">
        <v>80</v>
      </c>
      <c r="D1938">
        <v>79.965888977000006</v>
      </c>
      <c r="E1938">
        <v>50</v>
      </c>
      <c r="F1938">
        <v>49.476104736000003</v>
      </c>
      <c r="G1938">
        <v>1393.3533935999999</v>
      </c>
      <c r="H1938">
        <v>1376.6955565999999</v>
      </c>
      <c r="I1938">
        <v>1282.9600829999999</v>
      </c>
      <c r="J1938">
        <v>1261.0592041</v>
      </c>
      <c r="K1938">
        <v>2750</v>
      </c>
      <c r="L1938">
        <v>0</v>
      </c>
      <c r="M1938">
        <v>0</v>
      </c>
      <c r="N1938">
        <v>2750</v>
      </c>
    </row>
    <row r="1939" spans="1:14" x14ac:dyDescent="0.25">
      <c r="A1939">
        <v>1468.4470699999999</v>
      </c>
      <c r="B1939" s="1">
        <f>DATE(2014,5,8) + TIME(10,43,46)</f>
        <v>41767.447060185186</v>
      </c>
      <c r="C1939">
        <v>80</v>
      </c>
      <c r="D1939">
        <v>79.966102599999999</v>
      </c>
      <c r="E1939">
        <v>50</v>
      </c>
      <c r="F1939">
        <v>49.461055756</v>
      </c>
      <c r="G1939">
        <v>1393.2904053</v>
      </c>
      <c r="H1939">
        <v>1376.6451416</v>
      </c>
      <c r="I1939">
        <v>1282.9554443</v>
      </c>
      <c r="J1939">
        <v>1261.0531006000001</v>
      </c>
      <c r="K1939">
        <v>2750</v>
      </c>
      <c r="L1939">
        <v>0</v>
      </c>
      <c r="M1939">
        <v>0</v>
      </c>
      <c r="N1939">
        <v>2750</v>
      </c>
    </row>
    <row r="1940" spans="1:14" x14ac:dyDescent="0.25">
      <c r="A1940">
        <v>1468.7032790000001</v>
      </c>
      <c r="B1940" s="1">
        <f>DATE(2014,5,8) + TIME(16,52,43)</f>
        <v>41767.703275462962</v>
      </c>
      <c r="C1940">
        <v>80</v>
      </c>
      <c r="D1940">
        <v>79.966270446999999</v>
      </c>
      <c r="E1940">
        <v>50</v>
      </c>
      <c r="F1940">
        <v>49.445755005000002</v>
      </c>
      <c r="G1940">
        <v>1393.2276611</v>
      </c>
      <c r="H1940">
        <v>1376.5949707</v>
      </c>
      <c r="I1940">
        <v>1282.9506836</v>
      </c>
      <c r="J1940">
        <v>1261.0469971</v>
      </c>
      <c r="K1940">
        <v>2750</v>
      </c>
      <c r="L1940">
        <v>0</v>
      </c>
      <c r="M1940">
        <v>0</v>
      </c>
      <c r="N1940">
        <v>2750</v>
      </c>
    </row>
    <row r="1941" spans="1:14" x14ac:dyDescent="0.25">
      <c r="A1941">
        <v>1468.965177</v>
      </c>
      <c r="B1941" s="1">
        <f>DATE(2014,5,8) + TIME(23,9,51)</f>
        <v>41767.965173611112</v>
      </c>
      <c r="C1941">
        <v>80</v>
      </c>
      <c r="D1941">
        <v>79.966407775999997</v>
      </c>
      <c r="E1941">
        <v>50</v>
      </c>
      <c r="F1941">
        <v>49.430171967</v>
      </c>
      <c r="G1941">
        <v>1393.1652832</v>
      </c>
      <c r="H1941">
        <v>1376.5452881000001</v>
      </c>
      <c r="I1941">
        <v>1282.9458007999999</v>
      </c>
      <c r="J1941">
        <v>1261.0406493999999</v>
      </c>
      <c r="K1941">
        <v>2750</v>
      </c>
      <c r="L1941">
        <v>0</v>
      </c>
      <c r="M1941">
        <v>0</v>
      </c>
      <c r="N1941">
        <v>2750</v>
      </c>
    </row>
    <row r="1942" spans="1:14" x14ac:dyDescent="0.25">
      <c r="A1942">
        <v>1469.233487</v>
      </c>
      <c r="B1942" s="1">
        <f>DATE(2014,5,9) + TIME(5,36,13)</f>
        <v>41768.233483796299</v>
      </c>
      <c r="C1942">
        <v>80</v>
      </c>
      <c r="D1942">
        <v>79.966522217000005</v>
      </c>
      <c r="E1942">
        <v>50</v>
      </c>
      <c r="F1942">
        <v>49.414279938</v>
      </c>
      <c r="G1942">
        <v>1393.1032714999999</v>
      </c>
      <c r="H1942">
        <v>1376.4957274999999</v>
      </c>
      <c r="I1942">
        <v>1282.9407959</v>
      </c>
      <c r="J1942">
        <v>1261.0340576000001</v>
      </c>
      <c r="K1942">
        <v>2750</v>
      </c>
      <c r="L1942">
        <v>0</v>
      </c>
      <c r="M1942">
        <v>0</v>
      </c>
      <c r="N1942">
        <v>2750</v>
      </c>
    </row>
    <row r="1943" spans="1:14" x14ac:dyDescent="0.25">
      <c r="A1943">
        <v>1469.508994</v>
      </c>
      <c r="B1943" s="1">
        <f>DATE(2014,5,9) + TIME(12,12,57)</f>
        <v>41768.508993055555</v>
      </c>
      <c r="C1943">
        <v>80</v>
      </c>
      <c r="D1943">
        <v>79.966613769999995</v>
      </c>
      <c r="E1943">
        <v>50</v>
      </c>
      <c r="F1943">
        <v>49.398040770999998</v>
      </c>
      <c r="G1943">
        <v>1393.0415039</v>
      </c>
      <c r="H1943">
        <v>1376.4465332</v>
      </c>
      <c r="I1943">
        <v>1282.9356689000001</v>
      </c>
      <c r="J1943">
        <v>1261.0274658000001</v>
      </c>
      <c r="K1943">
        <v>2750</v>
      </c>
      <c r="L1943">
        <v>0</v>
      </c>
      <c r="M1943">
        <v>0</v>
      </c>
      <c r="N1943">
        <v>2750</v>
      </c>
    </row>
    <row r="1944" spans="1:14" x14ac:dyDescent="0.25">
      <c r="A1944">
        <v>1469.7925660000001</v>
      </c>
      <c r="B1944" s="1">
        <f>DATE(2014,5,9) + TIME(19,1,17)</f>
        <v>41768.792557870373</v>
      </c>
      <c r="C1944">
        <v>80</v>
      </c>
      <c r="D1944">
        <v>79.966682434000006</v>
      </c>
      <c r="E1944">
        <v>50</v>
      </c>
      <c r="F1944">
        <v>49.381416321000003</v>
      </c>
      <c r="G1944">
        <v>1392.9796143000001</v>
      </c>
      <c r="H1944">
        <v>1376.3972168</v>
      </c>
      <c r="I1944">
        <v>1282.9304199000001</v>
      </c>
      <c r="J1944">
        <v>1261.0206298999999</v>
      </c>
      <c r="K1944">
        <v>2750</v>
      </c>
      <c r="L1944">
        <v>0</v>
      </c>
      <c r="M1944">
        <v>0</v>
      </c>
      <c r="N1944">
        <v>2750</v>
      </c>
    </row>
    <row r="1945" spans="1:14" x14ac:dyDescent="0.25">
      <c r="A1945">
        <v>1470.085206</v>
      </c>
      <c r="B1945" s="1">
        <f>DATE(2014,5,10) + TIME(2,2,41)</f>
        <v>41769.085196759261</v>
      </c>
      <c r="C1945">
        <v>80</v>
      </c>
      <c r="D1945">
        <v>79.966735839999998</v>
      </c>
      <c r="E1945">
        <v>50</v>
      </c>
      <c r="F1945">
        <v>49.364360808999997</v>
      </c>
      <c r="G1945">
        <v>1392.9176024999999</v>
      </c>
      <c r="H1945">
        <v>1376.3479004000001</v>
      </c>
      <c r="I1945">
        <v>1282.9250488</v>
      </c>
      <c r="J1945">
        <v>1261.0135498</v>
      </c>
      <c r="K1945">
        <v>2750</v>
      </c>
      <c r="L1945">
        <v>0</v>
      </c>
      <c r="M1945">
        <v>0</v>
      </c>
      <c r="N1945">
        <v>2750</v>
      </c>
    </row>
    <row r="1946" spans="1:14" x14ac:dyDescent="0.25">
      <c r="A1946">
        <v>1470.388121</v>
      </c>
      <c r="B1946" s="1">
        <f>DATE(2014,5,10) + TIME(9,18,53)</f>
        <v>41769.388113425928</v>
      </c>
      <c r="C1946">
        <v>80</v>
      </c>
      <c r="D1946">
        <v>79.966781616000006</v>
      </c>
      <c r="E1946">
        <v>50</v>
      </c>
      <c r="F1946">
        <v>49.346820831000002</v>
      </c>
      <c r="G1946">
        <v>1392.8552245999999</v>
      </c>
      <c r="H1946">
        <v>1376.2983397999999</v>
      </c>
      <c r="I1946">
        <v>1282.9194336</v>
      </c>
      <c r="J1946">
        <v>1261.0062256000001</v>
      </c>
      <c r="K1946">
        <v>2750</v>
      </c>
      <c r="L1946">
        <v>0</v>
      </c>
      <c r="M1946">
        <v>0</v>
      </c>
      <c r="N1946">
        <v>2750</v>
      </c>
    </row>
    <row r="1947" spans="1:14" x14ac:dyDescent="0.25">
      <c r="A1947">
        <v>1470.7023959999999</v>
      </c>
      <c r="B1947" s="1">
        <f>DATE(2014,5,10) + TIME(16,51,27)</f>
        <v>41769.70239583333</v>
      </c>
      <c r="C1947">
        <v>80</v>
      </c>
      <c r="D1947">
        <v>79.966819763000004</v>
      </c>
      <c r="E1947">
        <v>50</v>
      </c>
      <c r="F1947">
        <v>49.328735352000002</v>
      </c>
      <c r="G1947">
        <v>1392.7923584</v>
      </c>
      <c r="H1947">
        <v>1376.2484131000001</v>
      </c>
      <c r="I1947">
        <v>1282.9136963000001</v>
      </c>
      <c r="J1947">
        <v>1260.9987793</v>
      </c>
      <c r="K1947">
        <v>2750</v>
      </c>
      <c r="L1947">
        <v>0</v>
      </c>
      <c r="M1947">
        <v>0</v>
      </c>
      <c r="N1947">
        <v>2750</v>
      </c>
    </row>
    <row r="1948" spans="1:14" x14ac:dyDescent="0.25">
      <c r="A1948">
        <v>1471.029446</v>
      </c>
      <c r="B1948" s="1">
        <f>DATE(2014,5,11) + TIME(0,42,24)</f>
        <v>41770.029444444444</v>
      </c>
      <c r="C1948">
        <v>80</v>
      </c>
      <c r="D1948">
        <v>79.966842650999993</v>
      </c>
      <c r="E1948">
        <v>50</v>
      </c>
      <c r="F1948">
        <v>49.310043335000003</v>
      </c>
      <c r="G1948">
        <v>1392.7288818</v>
      </c>
      <c r="H1948">
        <v>1376.1979980000001</v>
      </c>
      <c r="I1948">
        <v>1282.9077147999999</v>
      </c>
      <c r="J1948">
        <v>1260.9908447</v>
      </c>
      <c r="K1948">
        <v>2750</v>
      </c>
      <c r="L1948">
        <v>0</v>
      </c>
      <c r="M1948">
        <v>0</v>
      </c>
      <c r="N1948">
        <v>2750</v>
      </c>
    </row>
    <row r="1949" spans="1:14" x14ac:dyDescent="0.25">
      <c r="A1949">
        <v>1471.3614660000001</v>
      </c>
      <c r="B1949" s="1">
        <f>DATE(2014,5,11) + TIME(8,40,30)</f>
        <v>41770.361458333333</v>
      </c>
      <c r="C1949">
        <v>80</v>
      </c>
      <c r="D1949">
        <v>79.966865540000001</v>
      </c>
      <c r="E1949">
        <v>50</v>
      </c>
      <c r="F1949">
        <v>49.291038512999997</v>
      </c>
      <c r="G1949">
        <v>1392.6644286999999</v>
      </c>
      <c r="H1949">
        <v>1376.1468506000001</v>
      </c>
      <c r="I1949">
        <v>1282.9013672000001</v>
      </c>
      <c r="J1949">
        <v>1260.9827881000001</v>
      </c>
      <c r="K1949">
        <v>2750</v>
      </c>
      <c r="L1949">
        <v>0</v>
      </c>
      <c r="M1949">
        <v>0</v>
      </c>
      <c r="N1949">
        <v>2750</v>
      </c>
    </row>
    <row r="1950" spans="1:14" x14ac:dyDescent="0.25">
      <c r="A1950">
        <v>1471.6962659999999</v>
      </c>
      <c r="B1950" s="1">
        <f>DATE(2014,5,11) + TIME(16,42,37)</f>
        <v>41770.696261574078</v>
      </c>
      <c r="C1950">
        <v>80</v>
      </c>
      <c r="D1950">
        <v>79.966880798000005</v>
      </c>
      <c r="E1950">
        <v>50</v>
      </c>
      <c r="F1950">
        <v>49.271835326999998</v>
      </c>
      <c r="G1950">
        <v>1392.6005858999999</v>
      </c>
      <c r="H1950">
        <v>1376.0963135</v>
      </c>
      <c r="I1950">
        <v>1282.8950195</v>
      </c>
      <c r="J1950">
        <v>1260.9744873</v>
      </c>
      <c r="K1950">
        <v>2750</v>
      </c>
      <c r="L1950">
        <v>0</v>
      </c>
      <c r="M1950">
        <v>0</v>
      </c>
      <c r="N1950">
        <v>2750</v>
      </c>
    </row>
    <row r="1951" spans="1:14" x14ac:dyDescent="0.25">
      <c r="A1951">
        <v>1472.03484</v>
      </c>
      <c r="B1951" s="1">
        <f>DATE(2014,5,12) + TIME(0,50,10)</f>
        <v>41771.034837962965</v>
      </c>
      <c r="C1951">
        <v>80</v>
      </c>
      <c r="D1951">
        <v>79.966888428000004</v>
      </c>
      <c r="E1951">
        <v>50</v>
      </c>
      <c r="F1951">
        <v>49.252433777</v>
      </c>
      <c r="G1951">
        <v>1392.5379639</v>
      </c>
      <c r="H1951">
        <v>1376.0466309000001</v>
      </c>
      <c r="I1951">
        <v>1282.8885498</v>
      </c>
      <c r="J1951">
        <v>1260.9660644999999</v>
      </c>
      <c r="K1951">
        <v>2750</v>
      </c>
      <c r="L1951">
        <v>0</v>
      </c>
      <c r="M1951">
        <v>0</v>
      </c>
      <c r="N1951">
        <v>2750</v>
      </c>
    </row>
    <row r="1952" spans="1:14" x14ac:dyDescent="0.25">
      <c r="A1952">
        <v>1472.3781759999999</v>
      </c>
      <c r="B1952" s="1">
        <f>DATE(2014,5,12) + TIME(9,4,34)</f>
        <v>41771.378171296295</v>
      </c>
      <c r="C1952">
        <v>80</v>
      </c>
      <c r="D1952">
        <v>79.966888428000004</v>
      </c>
      <c r="E1952">
        <v>50</v>
      </c>
      <c r="F1952">
        <v>49.232814789000003</v>
      </c>
      <c r="G1952">
        <v>1392.4761963000001</v>
      </c>
      <c r="H1952">
        <v>1375.9976807</v>
      </c>
      <c r="I1952">
        <v>1282.8819579999999</v>
      </c>
      <c r="J1952">
        <v>1260.9576416</v>
      </c>
      <c r="K1952">
        <v>2750</v>
      </c>
      <c r="L1952">
        <v>0</v>
      </c>
      <c r="M1952">
        <v>0</v>
      </c>
      <c r="N1952">
        <v>2750</v>
      </c>
    </row>
    <row r="1953" spans="1:14" x14ac:dyDescent="0.25">
      <c r="A1953">
        <v>1472.7272849999999</v>
      </c>
      <c r="B1953" s="1">
        <f>DATE(2014,5,12) + TIME(17,27,17)</f>
        <v>41771.727280092593</v>
      </c>
      <c r="C1953">
        <v>80</v>
      </c>
      <c r="D1953">
        <v>79.966888428000004</v>
      </c>
      <c r="E1953">
        <v>50</v>
      </c>
      <c r="F1953">
        <v>49.212947845000002</v>
      </c>
      <c r="G1953">
        <v>1392.4150391000001</v>
      </c>
      <c r="H1953">
        <v>1375.9493408000001</v>
      </c>
      <c r="I1953">
        <v>1282.8753661999999</v>
      </c>
      <c r="J1953">
        <v>1260.9490966999999</v>
      </c>
      <c r="K1953">
        <v>2750</v>
      </c>
      <c r="L1953">
        <v>0</v>
      </c>
      <c r="M1953">
        <v>0</v>
      </c>
      <c r="N1953">
        <v>2750</v>
      </c>
    </row>
    <row r="1954" spans="1:14" x14ac:dyDescent="0.25">
      <c r="A1954">
        <v>1473.0832190000001</v>
      </c>
      <c r="B1954" s="1">
        <f>DATE(2014,5,13) + TIME(1,59,50)</f>
        <v>41772.08321759259</v>
      </c>
      <c r="C1954">
        <v>80</v>
      </c>
      <c r="D1954">
        <v>79.966888428000004</v>
      </c>
      <c r="E1954">
        <v>50</v>
      </c>
      <c r="F1954">
        <v>49.192794800000001</v>
      </c>
      <c r="G1954">
        <v>1392.3542480000001</v>
      </c>
      <c r="H1954">
        <v>1375.9012451000001</v>
      </c>
      <c r="I1954">
        <v>1282.8685303</v>
      </c>
      <c r="J1954">
        <v>1260.9403076000001</v>
      </c>
      <c r="K1954">
        <v>2750</v>
      </c>
      <c r="L1954">
        <v>0</v>
      </c>
      <c r="M1954">
        <v>0</v>
      </c>
      <c r="N1954">
        <v>2750</v>
      </c>
    </row>
    <row r="1955" spans="1:14" x14ac:dyDescent="0.25">
      <c r="A1955">
        <v>1473.4470980000001</v>
      </c>
      <c r="B1955" s="1">
        <f>DATE(2014,5,13) + TIME(10,43,49)</f>
        <v>41772.447094907409</v>
      </c>
      <c r="C1955">
        <v>80</v>
      </c>
      <c r="D1955">
        <v>79.966880798000005</v>
      </c>
      <c r="E1955">
        <v>50</v>
      </c>
      <c r="F1955">
        <v>49.172302246000001</v>
      </c>
      <c r="G1955">
        <v>1392.2938231999999</v>
      </c>
      <c r="H1955">
        <v>1375.8533935999999</v>
      </c>
      <c r="I1955">
        <v>1282.8616943</v>
      </c>
      <c r="J1955">
        <v>1260.9312743999999</v>
      </c>
      <c r="K1955">
        <v>2750</v>
      </c>
      <c r="L1955">
        <v>0</v>
      </c>
      <c r="M1955">
        <v>0</v>
      </c>
      <c r="N1955">
        <v>2750</v>
      </c>
    </row>
    <row r="1956" spans="1:14" x14ac:dyDescent="0.25">
      <c r="A1956">
        <v>1473.8201260000001</v>
      </c>
      <c r="B1956" s="1">
        <f>DATE(2014,5,13) + TIME(19,40,58)</f>
        <v>41772.820115740738</v>
      </c>
      <c r="C1956">
        <v>80</v>
      </c>
      <c r="D1956">
        <v>79.966873168999996</v>
      </c>
      <c r="E1956">
        <v>50</v>
      </c>
      <c r="F1956">
        <v>49.151428223000003</v>
      </c>
      <c r="G1956">
        <v>1392.2335204999999</v>
      </c>
      <c r="H1956">
        <v>1375.8056641000001</v>
      </c>
      <c r="I1956">
        <v>1282.8546143000001</v>
      </c>
      <c r="J1956">
        <v>1260.9221190999999</v>
      </c>
      <c r="K1956">
        <v>2750</v>
      </c>
      <c r="L1956">
        <v>0</v>
      </c>
      <c r="M1956">
        <v>0</v>
      </c>
      <c r="N1956">
        <v>2750</v>
      </c>
    </row>
    <row r="1957" spans="1:14" x14ac:dyDescent="0.25">
      <c r="A1957">
        <v>1474.203685</v>
      </c>
      <c r="B1957" s="1">
        <f>DATE(2014,5,14) + TIME(4,53,18)</f>
        <v>41773.203680555554</v>
      </c>
      <c r="C1957">
        <v>80</v>
      </c>
      <c r="D1957">
        <v>79.966865540000001</v>
      </c>
      <c r="E1957">
        <v>50</v>
      </c>
      <c r="F1957">
        <v>49.130104064999998</v>
      </c>
      <c r="G1957">
        <v>1392.1729736</v>
      </c>
      <c r="H1957">
        <v>1375.7579346</v>
      </c>
      <c r="I1957">
        <v>1282.8474120999999</v>
      </c>
      <c r="J1957">
        <v>1260.9127197</v>
      </c>
      <c r="K1957">
        <v>2750</v>
      </c>
      <c r="L1957">
        <v>0</v>
      </c>
      <c r="M1957">
        <v>0</v>
      </c>
      <c r="N1957">
        <v>2750</v>
      </c>
    </row>
    <row r="1958" spans="1:14" x14ac:dyDescent="0.25">
      <c r="A1958">
        <v>1474.5993800000001</v>
      </c>
      <c r="B1958" s="1">
        <f>DATE(2014,5,14) + TIME(14,23,6)</f>
        <v>41773.599374999998</v>
      </c>
      <c r="C1958">
        <v>80</v>
      </c>
      <c r="D1958">
        <v>79.966857910000002</v>
      </c>
      <c r="E1958">
        <v>50</v>
      </c>
      <c r="F1958">
        <v>49.108257293999998</v>
      </c>
      <c r="G1958">
        <v>1392.1121826000001</v>
      </c>
      <c r="H1958">
        <v>1375.7099608999999</v>
      </c>
      <c r="I1958">
        <v>1282.8399658000001</v>
      </c>
      <c r="J1958">
        <v>1260.9030762</v>
      </c>
      <c r="K1958">
        <v>2750</v>
      </c>
      <c r="L1958">
        <v>0</v>
      </c>
      <c r="M1958">
        <v>0</v>
      </c>
      <c r="N1958">
        <v>2750</v>
      </c>
    </row>
    <row r="1959" spans="1:14" x14ac:dyDescent="0.25">
      <c r="A1959">
        <v>1475.0018620000001</v>
      </c>
      <c r="B1959" s="1">
        <f>DATE(2014,5,15) + TIME(0,2,40)</f>
        <v>41774.001851851855</v>
      </c>
      <c r="C1959">
        <v>80</v>
      </c>
      <c r="D1959">
        <v>79.966850281000006</v>
      </c>
      <c r="E1959">
        <v>50</v>
      </c>
      <c r="F1959">
        <v>49.086063385000003</v>
      </c>
      <c r="G1959">
        <v>1392.0509033000001</v>
      </c>
      <c r="H1959">
        <v>1375.661499</v>
      </c>
      <c r="I1959">
        <v>1282.8321533000001</v>
      </c>
      <c r="J1959">
        <v>1260.8930664</v>
      </c>
      <c r="K1959">
        <v>2750</v>
      </c>
      <c r="L1959">
        <v>0</v>
      </c>
      <c r="M1959">
        <v>0</v>
      </c>
      <c r="N1959">
        <v>2750</v>
      </c>
    </row>
    <row r="1960" spans="1:14" x14ac:dyDescent="0.25">
      <c r="A1960">
        <v>1475.410275</v>
      </c>
      <c r="B1960" s="1">
        <f>DATE(2014,5,15) + TIME(9,50,47)</f>
        <v>41774.410266203704</v>
      </c>
      <c r="C1960">
        <v>80</v>
      </c>
      <c r="D1960">
        <v>79.966835021999998</v>
      </c>
      <c r="E1960">
        <v>50</v>
      </c>
      <c r="F1960">
        <v>49.063575745000001</v>
      </c>
      <c r="G1960">
        <v>1391.9899902</v>
      </c>
      <c r="H1960">
        <v>1375.6134033000001</v>
      </c>
      <c r="I1960">
        <v>1282.8243408000001</v>
      </c>
      <c r="J1960">
        <v>1260.8828125</v>
      </c>
      <c r="K1960">
        <v>2750</v>
      </c>
      <c r="L1960">
        <v>0</v>
      </c>
      <c r="M1960">
        <v>0</v>
      </c>
      <c r="N1960">
        <v>2750</v>
      </c>
    </row>
    <row r="1961" spans="1:14" x14ac:dyDescent="0.25">
      <c r="A1961">
        <v>1475.8256670000001</v>
      </c>
      <c r="B1961" s="1">
        <f>DATE(2014,5,15) + TIME(19,48,57)</f>
        <v>41774.825659722221</v>
      </c>
      <c r="C1961">
        <v>80</v>
      </c>
      <c r="D1961">
        <v>79.966819763000004</v>
      </c>
      <c r="E1961">
        <v>50</v>
      </c>
      <c r="F1961">
        <v>49.040779114000003</v>
      </c>
      <c r="G1961">
        <v>1391.9295654</v>
      </c>
      <c r="H1961">
        <v>1375.5656738</v>
      </c>
      <c r="I1961">
        <v>1282.8162841999999</v>
      </c>
      <c r="J1961">
        <v>1260.8724365</v>
      </c>
      <c r="K1961">
        <v>2750</v>
      </c>
      <c r="L1961">
        <v>0</v>
      </c>
      <c r="M1961">
        <v>0</v>
      </c>
      <c r="N1961">
        <v>2750</v>
      </c>
    </row>
    <row r="1962" spans="1:14" x14ac:dyDescent="0.25">
      <c r="A1962">
        <v>1476.2491219999999</v>
      </c>
      <c r="B1962" s="1">
        <f>DATE(2014,5,16) + TIME(5,58,44)</f>
        <v>41775.249120370368</v>
      </c>
      <c r="C1962">
        <v>80</v>
      </c>
      <c r="D1962">
        <v>79.966812133999994</v>
      </c>
      <c r="E1962">
        <v>50</v>
      </c>
      <c r="F1962">
        <v>49.017642975000001</v>
      </c>
      <c r="G1962">
        <v>1391.8693848</v>
      </c>
      <c r="H1962">
        <v>1375.5181885</v>
      </c>
      <c r="I1962">
        <v>1282.8081055</v>
      </c>
      <c r="J1962">
        <v>1260.8619385</v>
      </c>
      <c r="K1962">
        <v>2750</v>
      </c>
      <c r="L1962">
        <v>0</v>
      </c>
      <c r="M1962">
        <v>0</v>
      </c>
      <c r="N1962">
        <v>2750</v>
      </c>
    </row>
    <row r="1963" spans="1:14" x14ac:dyDescent="0.25">
      <c r="A1963">
        <v>1476.6817920000001</v>
      </c>
      <c r="B1963" s="1">
        <f>DATE(2014,5,16) + TIME(16,21,46)</f>
        <v>41775.68178240741</v>
      </c>
      <c r="C1963">
        <v>80</v>
      </c>
      <c r="D1963">
        <v>79.966796875</v>
      </c>
      <c r="E1963">
        <v>50</v>
      </c>
      <c r="F1963">
        <v>48.994129180999998</v>
      </c>
      <c r="G1963">
        <v>1391.8094481999999</v>
      </c>
      <c r="H1963">
        <v>1375.4708252</v>
      </c>
      <c r="I1963">
        <v>1282.7998047000001</v>
      </c>
      <c r="J1963">
        <v>1260.8510742000001</v>
      </c>
      <c r="K1963">
        <v>2750</v>
      </c>
      <c r="L1963">
        <v>0</v>
      </c>
      <c r="M1963">
        <v>0</v>
      </c>
      <c r="N1963">
        <v>2750</v>
      </c>
    </row>
    <row r="1964" spans="1:14" x14ac:dyDescent="0.25">
      <c r="A1964">
        <v>1477.1249350000001</v>
      </c>
      <c r="B1964" s="1">
        <f>DATE(2014,5,17) + TIME(2,59,54)</f>
        <v>41776.124930555554</v>
      </c>
      <c r="C1964">
        <v>80</v>
      </c>
      <c r="D1964">
        <v>79.966781616000006</v>
      </c>
      <c r="E1964">
        <v>50</v>
      </c>
      <c r="F1964">
        <v>48.970191956000001</v>
      </c>
      <c r="G1964">
        <v>1391.7495117000001</v>
      </c>
      <c r="H1964">
        <v>1375.4235839999999</v>
      </c>
      <c r="I1964">
        <v>1282.7912598</v>
      </c>
      <c r="J1964">
        <v>1260.8400879000001</v>
      </c>
      <c r="K1964">
        <v>2750</v>
      </c>
      <c r="L1964">
        <v>0</v>
      </c>
      <c r="M1964">
        <v>0</v>
      </c>
      <c r="N1964">
        <v>2750</v>
      </c>
    </row>
    <row r="1965" spans="1:14" x14ac:dyDescent="0.25">
      <c r="A1965">
        <v>1477.5799239999999</v>
      </c>
      <c r="B1965" s="1">
        <f>DATE(2014,5,17) + TIME(13,55,5)</f>
        <v>41776.579918981479</v>
      </c>
      <c r="C1965">
        <v>80</v>
      </c>
      <c r="D1965">
        <v>79.966766356999997</v>
      </c>
      <c r="E1965">
        <v>50</v>
      </c>
      <c r="F1965">
        <v>48.945766448999997</v>
      </c>
      <c r="G1965">
        <v>1391.6893310999999</v>
      </c>
      <c r="H1965">
        <v>1375.3760986</v>
      </c>
      <c r="I1965">
        <v>1282.7824707</v>
      </c>
      <c r="J1965">
        <v>1260.8287353999999</v>
      </c>
      <c r="K1965">
        <v>2750</v>
      </c>
      <c r="L1965">
        <v>0</v>
      </c>
      <c r="M1965">
        <v>0</v>
      </c>
      <c r="N1965">
        <v>2750</v>
      </c>
    </row>
    <row r="1966" spans="1:14" x14ac:dyDescent="0.25">
      <c r="A1966">
        <v>1478.0401609999999</v>
      </c>
      <c r="B1966" s="1">
        <f>DATE(2014,5,18) + TIME(0,57,49)</f>
        <v>41777.040150462963</v>
      </c>
      <c r="C1966">
        <v>80</v>
      </c>
      <c r="D1966">
        <v>79.966758728000002</v>
      </c>
      <c r="E1966">
        <v>50</v>
      </c>
      <c r="F1966">
        <v>48.921062468999999</v>
      </c>
      <c r="G1966">
        <v>1391.6290283000001</v>
      </c>
      <c r="H1966">
        <v>1375.3284911999999</v>
      </c>
      <c r="I1966">
        <v>1282.7734375</v>
      </c>
      <c r="J1966">
        <v>1260.8170166</v>
      </c>
      <c r="K1966">
        <v>2750</v>
      </c>
      <c r="L1966">
        <v>0</v>
      </c>
      <c r="M1966">
        <v>0</v>
      </c>
      <c r="N1966">
        <v>2750</v>
      </c>
    </row>
    <row r="1967" spans="1:14" x14ac:dyDescent="0.25">
      <c r="A1967">
        <v>1478.5067200000001</v>
      </c>
      <c r="B1967" s="1">
        <f>DATE(2014,5,18) + TIME(12,9,40)</f>
        <v>41777.506712962961</v>
      </c>
      <c r="C1967">
        <v>80</v>
      </c>
      <c r="D1967">
        <v>79.966743468999994</v>
      </c>
      <c r="E1967">
        <v>50</v>
      </c>
      <c r="F1967">
        <v>48.896080017000003</v>
      </c>
      <c r="G1967">
        <v>1391.5692139</v>
      </c>
      <c r="H1967">
        <v>1375.28125</v>
      </c>
      <c r="I1967">
        <v>1282.7642822</v>
      </c>
      <c r="J1967">
        <v>1260.8052978999999</v>
      </c>
      <c r="K1967">
        <v>2750</v>
      </c>
      <c r="L1967">
        <v>0</v>
      </c>
      <c r="M1967">
        <v>0</v>
      </c>
      <c r="N1967">
        <v>2750</v>
      </c>
    </row>
    <row r="1968" spans="1:14" x14ac:dyDescent="0.25">
      <c r="A1968">
        <v>1478.981041</v>
      </c>
      <c r="B1968" s="1">
        <f>DATE(2014,5,18) + TIME(23,32,41)</f>
        <v>41777.981030092589</v>
      </c>
      <c r="C1968">
        <v>80</v>
      </c>
      <c r="D1968">
        <v>79.966728209999999</v>
      </c>
      <c r="E1968">
        <v>50</v>
      </c>
      <c r="F1968">
        <v>48.870796204000001</v>
      </c>
      <c r="G1968">
        <v>1391.5097656</v>
      </c>
      <c r="H1968">
        <v>1375.234375</v>
      </c>
      <c r="I1968">
        <v>1282.7550048999999</v>
      </c>
      <c r="J1968">
        <v>1260.7932129000001</v>
      </c>
      <c r="K1968">
        <v>2750</v>
      </c>
      <c r="L1968">
        <v>0</v>
      </c>
      <c r="M1968">
        <v>0</v>
      </c>
      <c r="N1968">
        <v>2750</v>
      </c>
    </row>
    <row r="1969" spans="1:14" x14ac:dyDescent="0.25">
      <c r="A1969">
        <v>1479.4646479999999</v>
      </c>
      <c r="B1969" s="1">
        <f>DATE(2014,5,19) + TIME(11,9,5)</f>
        <v>41778.464641203704</v>
      </c>
      <c r="C1969">
        <v>80</v>
      </c>
      <c r="D1969">
        <v>79.966712951999995</v>
      </c>
      <c r="E1969">
        <v>50</v>
      </c>
      <c r="F1969">
        <v>48.845157622999999</v>
      </c>
      <c r="G1969">
        <v>1391.4506836</v>
      </c>
      <c r="H1969">
        <v>1375.1876221</v>
      </c>
      <c r="I1969">
        <v>1282.7456055</v>
      </c>
      <c r="J1969">
        <v>1260.7810059000001</v>
      </c>
      <c r="K1969">
        <v>2750</v>
      </c>
      <c r="L1969">
        <v>0</v>
      </c>
      <c r="M1969">
        <v>0</v>
      </c>
      <c r="N1969">
        <v>2750</v>
      </c>
    </row>
    <row r="1970" spans="1:14" x14ac:dyDescent="0.25">
      <c r="A1970">
        <v>1479.959163</v>
      </c>
      <c r="B1970" s="1">
        <f>DATE(2014,5,19) + TIME(23,1,11)</f>
        <v>41778.959155092591</v>
      </c>
      <c r="C1970">
        <v>80</v>
      </c>
      <c r="D1970">
        <v>79.966697693</v>
      </c>
      <c r="E1970">
        <v>50</v>
      </c>
      <c r="F1970">
        <v>48.819110870000003</v>
      </c>
      <c r="G1970">
        <v>1391.3916016000001</v>
      </c>
      <c r="H1970">
        <v>1375.1409911999999</v>
      </c>
      <c r="I1970">
        <v>1282.7359618999999</v>
      </c>
      <c r="J1970">
        <v>1260.7684326000001</v>
      </c>
      <c r="K1970">
        <v>2750</v>
      </c>
      <c r="L1970">
        <v>0</v>
      </c>
      <c r="M1970">
        <v>0</v>
      </c>
      <c r="N1970">
        <v>2750</v>
      </c>
    </row>
    <row r="1971" spans="1:14" x14ac:dyDescent="0.25">
      <c r="A1971">
        <v>1480.4665600000001</v>
      </c>
      <c r="B1971" s="1">
        <f>DATE(2014,5,20) + TIME(11,11,50)</f>
        <v>41779.466550925928</v>
      </c>
      <c r="C1971">
        <v>80</v>
      </c>
      <c r="D1971">
        <v>79.966690063000001</v>
      </c>
      <c r="E1971">
        <v>50</v>
      </c>
      <c r="F1971">
        <v>48.792575835999997</v>
      </c>
      <c r="G1971">
        <v>1391.3323975000001</v>
      </c>
      <c r="H1971">
        <v>1375.0942382999999</v>
      </c>
      <c r="I1971">
        <v>1282.7260742000001</v>
      </c>
      <c r="J1971">
        <v>1260.7556152</v>
      </c>
      <c r="K1971">
        <v>2750</v>
      </c>
      <c r="L1971">
        <v>0</v>
      </c>
      <c r="M1971">
        <v>0</v>
      </c>
      <c r="N1971">
        <v>2750</v>
      </c>
    </row>
    <row r="1972" spans="1:14" x14ac:dyDescent="0.25">
      <c r="A1972">
        <v>1480.988793</v>
      </c>
      <c r="B1972" s="1">
        <f>DATE(2014,5,20) + TIME(23,43,51)</f>
        <v>41779.98878472222</v>
      </c>
      <c r="C1972">
        <v>80</v>
      </c>
      <c r="D1972">
        <v>79.966674804999997</v>
      </c>
      <c r="E1972">
        <v>50</v>
      </c>
      <c r="F1972">
        <v>48.765464782999999</v>
      </c>
      <c r="G1972">
        <v>1391.2728271000001</v>
      </c>
      <c r="H1972">
        <v>1375.0472411999999</v>
      </c>
      <c r="I1972">
        <v>1282.7158202999999</v>
      </c>
      <c r="J1972">
        <v>1260.7423096</v>
      </c>
      <c r="K1972">
        <v>2750</v>
      </c>
      <c r="L1972">
        <v>0</v>
      </c>
      <c r="M1972">
        <v>0</v>
      </c>
      <c r="N1972">
        <v>2750</v>
      </c>
    </row>
    <row r="1973" spans="1:14" x14ac:dyDescent="0.25">
      <c r="A1973">
        <v>1481.5279419999999</v>
      </c>
      <c r="B1973" s="1">
        <f>DATE(2014,5,21) + TIME(12,40,14)</f>
        <v>41780.527939814812</v>
      </c>
      <c r="C1973">
        <v>80</v>
      </c>
      <c r="D1973">
        <v>79.966659546000002</v>
      </c>
      <c r="E1973">
        <v>50</v>
      </c>
      <c r="F1973">
        <v>48.737686156999999</v>
      </c>
      <c r="G1973">
        <v>1391.2127685999999</v>
      </c>
      <c r="H1973">
        <v>1374.9997559000001</v>
      </c>
      <c r="I1973">
        <v>1282.7053223</v>
      </c>
      <c r="J1973">
        <v>1260.7286377</v>
      </c>
      <c r="K1973">
        <v>2750</v>
      </c>
      <c r="L1973">
        <v>0</v>
      </c>
      <c r="M1973">
        <v>0</v>
      </c>
      <c r="N1973">
        <v>2750</v>
      </c>
    </row>
    <row r="1974" spans="1:14" x14ac:dyDescent="0.25">
      <c r="A1974">
        <v>1482.074333</v>
      </c>
      <c r="B1974" s="1">
        <f>DATE(2014,5,22) + TIME(1,47,2)</f>
        <v>41781.074328703704</v>
      </c>
      <c r="C1974">
        <v>80</v>
      </c>
      <c r="D1974">
        <v>79.966644286999994</v>
      </c>
      <c r="E1974">
        <v>50</v>
      </c>
      <c r="F1974">
        <v>48.709503173999998</v>
      </c>
      <c r="G1974">
        <v>1391.1519774999999</v>
      </c>
      <c r="H1974">
        <v>1374.9517822</v>
      </c>
      <c r="I1974">
        <v>1282.6944579999999</v>
      </c>
      <c r="J1974">
        <v>1260.7145995999999</v>
      </c>
      <c r="K1974">
        <v>2750</v>
      </c>
      <c r="L1974">
        <v>0</v>
      </c>
      <c r="M1974">
        <v>0</v>
      </c>
      <c r="N1974">
        <v>2750</v>
      </c>
    </row>
    <row r="1975" spans="1:14" x14ac:dyDescent="0.25">
      <c r="A1975">
        <v>1482.6294539999999</v>
      </c>
      <c r="B1975" s="1">
        <f>DATE(2014,5,22) + TIME(15,6,24)</f>
        <v>41781.629444444443</v>
      </c>
      <c r="C1975">
        <v>80</v>
      </c>
      <c r="D1975">
        <v>79.966636657999999</v>
      </c>
      <c r="E1975">
        <v>50</v>
      </c>
      <c r="F1975">
        <v>48.680931090999998</v>
      </c>
      <c r="G1975">
        <v>1391.0916748</v>
      </c>
      <c r="H1975">
        <v>1374.9040527</v>
      </c>
      <c r="I1975">
        <v>1282.6833495999999</v>
      </c>
      <c r="J1975">
        <v>1260.7001952999999</v>
      </c>
      <c r="K1975">
        <v>2750</v>
      </c>
      <c r="L1975">
        <v>0</v>
      </c>
      <c r="M1975">
        <v>0</v>
      </c>
      <c r="N1975">
        <v>2750</v>
      </c>
    </row>
    <row r="1976" spans="1:14" x14ac:dyDescent="0.25">
      <c r="A1976">
        <v>1483.194888</v>
      </c>
      <c r="B1976" s="1">
        <f>DATE(2014,5,23) + TIME(4,40,38)</f>
        <v>41782.194884259261</v>
      </c>
      <c r="C1976">
        <v>80</v>
      </c>
      <c r="D1976">
        <v>79.966621399000005</v>
      </c>
      <c r="E1976">
        <v>50</v>
      </c>
      <c r="F1976">
        <v>48.651962279999999</v>
      </c>
      <c r="G1976">
        <v>1391.0314940999999</v>
      </c>
      <c r="H1976">
        <v>1374.8564452999999</v>
      </c>
      <c r="I1976">
        <v>1282.6719971</v>
      </c>
      <c r="J1976">
        <v>1260.6855469</v>
      </c>
      <c r="K1976">
        <v>2750</v>
      </c>
      <c r="L1976">
        <v>0</v>
      </c>
      <c r="M1976">
        <v>0</v>
      </c>
      <c r="N1976">
        <v>2750</v>
      </c>
    </row>
    <row r="1977" spans="1:14" x14ac:dyDescent="0.25">
      <c r="A1977">
        <v>1483.772326</v>
      </c>
      <c r="B1977" s="1">
        <f>DATE(2014,5,23) + TIME(18,32,8)</f>
        <v>41782.772314814814</v>
      </c>
      <c r="C1977">
        <v>80</v>
      </c>
      <c r="D1977">
        <v>79.966606139999996</v>
      </c>
      <c r="E1977">
        <v>50</v>
      </c>
      <c r="F1977">
        <v>48.622543335000003</v>
      </c>
      <c r="G1977">
        <v>1390.9715576000001</v>
      </c>
      <c r="H1977">
        <v>1374.8089600000001</v>
      </c>
      <c r="I1977">
        <v>1282.6604004000001</v>
      </c>
      <c r="J1977">
        <v>1260.6705322</v>
      </c>
      <c r="K1977">
        <v>2750</v>
      </c>
      <c r="L1977">
        <v>0</v>
      </c>
      <c r="M1977">
        <v>0</v>
      </c>
      <c r="N1977">
        <v>2750</v>
      </c>
    </row>
    <row r="1978" spans="1:14" x14ac:dyDescent="0.25">
      <c r="A1978">
        <v>1484.3613760000001</v>
      </c>
      <c r="B1978" s="1">
        <f>DATE(2014,5,24) + TIME(8,40,22)</f>
        <v>41783.36136574074</v>
      </c>
      <c r="C1978">
        <v>80</v>
      </c>
      <c r="D1978">
        <v>79.966598511000001</v>
      </c>
      <c r="E1978">
        <v>50</v>
      </c>
      <c r="F1978">
        <v>48.592685699</v>
      </c>
      <c r="G1978">
        <v>1390.9113769999999</v>
      </c>
      <c r="H1978">
        <v>1374.7613524999999</v>
      </c>
      <c r="I1978">
        <v>1282.6485596</v>
      </c>
      <c r="J1978">
        <v>1260.6551514</v>
      </c>
      <c r="K1978">
        <v>2750</v>
      </c>
      <c r="L1978">
        <v>0</v>
      </c>
      <c r="M1978">
        <v>0</v>
      </c>
      <c r="N1978">
        <v>2750</v>
      </c>
    </row>
    <row r="1979" spans="1:14" x14ac:dyDescent="0.25">
      <c r="A1979">
        <v>1484.9598510000001</v>
      </c>
      <c r="B1979" s="1">
        <f>DATE(2014,5,24) + TIME(23,2,11)</f>
        <v>41783.959849537037</v>
      </c>
      <c r="C1979">
        <v>80</v>
      </c>
      <c r="D1979">
        <v>79.966583252000007</v>
      </c>
      <c r="E1979">
        <v>50</v>
      </c>
      <c r="F1979">
        <v>48.562438964999998</v>
      </c>
      <c r="G1979">
        <v>1390.8511963000001</v>
      </c>
      <c r="H1979">
        <v>1374.7137451000001</v>
      </c>
      <c r="I1979">
        <v>1282.6364745999999</v>
      </c>
      <c r="J1979">
        <v>1260.6392822</v>
      </c>
      <c r="K1979">
        <v>2750</v>
      </c>
      <c r="L1979">
        <v>0</v>
      </c>
      <c r="M1979">
        <v>0</v>
      </c>
      <c r="N1979">
        <v>2750</v>
      </c>
    </row>
    <row r="1980" spans="1:14" x14ac:dyDescent="0.25">
      <c r="A1980">
        <v>1485.566728</v>
      </c>
      <c r="B1980" s="1">
        <f>DATE(2014,5,25) + TIME(13,36,5)</f>
        <v>41784.566724537035</v>
      </c>
      <c r="C1980">
        <v>80</v>
      </c>
      <c r="D1980">
        <v>79.966567992999998</v>
      </c>
      <c r="E1980">
        <v>50</v>
      </c>
      <c r="F1980">
        <v>48.531864165999998</v>
      </c>
      <c r="G1980">
        <v>1390.7912598</v>
      </c>
      <c r="H1980">
        <v>1374.6661377</v>
      </c>
      <c r="I1980">
        <v>1282.6241454999999</v>
      </c>
      <c r="J1980">
        <v>1260.6232910000001</v>
      </c>
      <c r="K1980">
        <v>2750</v>
      </c>
      <c r="L1980">
        <v>0</v>
      </c>
      <c r="M1980">
        <v>0</v>
      </c>
      <c r="N1980">
        <v>2750</v>
      </c>
    </row>
    <row r="1981" spans="1:14" x14ac:dyDescent="0.25">
      <c r="A1981">
        <v>1486.1825710000001</v>
      </c>
      <c r="B1981" s="1">
        <f>DATE(2014,5,26) + TIME(4,22,54)</f>
        <v>41785.182569444441</v>
      </c>
      <c r="C1981">
        <v>80</v>
      </c>
      <c r="D1981">
        <v>79.966560364000003</v>
      </c>
      <c r="E1981">
        <v>50</v>
      </c>
      <c r="F1981">
        <v>48.500965118000003</v>
      </c>
      <c r="G1981">
        <v>1390.7315673999999</v>
      </c>
      <c r="H1981">
        <v>1374.6188964999999</v>
      </c>
      <c r="I1981">
        <v>1282.6114502</v>
      </c>
      <c r="J1981">
        <v>1260.6068115</v>
      </c>
      <c r="K1981">
        <v>2750</v>
      </c>
      <c r="L1981">
        <v>0</v>
      </c>
      <c r="M1981">
        <v>0</v>
      </c>
      <c r="N1981">
        <v>2750</v>
      </c>
    </row>
    <row r="1982" spans="1:14" x14ac:dyDescent="0.25">
      <c r="A1982">
        <v>1486.8094410000001</v>
      </c>
      <c r="B1982" s="1">
        <f>DATE(2014,5,26) + TIME(19,25,35)</f>
        <v>41785.809432870374</v>
      </c>
      <c r="C1982">
        <v>80</v>
      </c>
      <c r="D1982">
        <v>79.966545104999994</v>
      </c>
      <c r="E1982">
        <v>50</v>
      </c>
      <c r="F1982">
        <v>48.469699859999999</v>
      </c>
      <c r="G1982">
        <v>1390.6721190999999</v>
      </c>
      <c r="H1982">
        <v>1374.5716553</v>
      </c>
      <c r="I1982">
        <v>1282.5986327999999</v>
      </c>
      <c r="J1982">
        <v>1260.5900879000001</v>
      </c>
      <c r="K1982">
        <v>2750</v>
      </c>
      <c r="L1982">
        <v>0</v>
      </c>
      <c r="M1982">
        <v>0</v>
      </c>
      <c r="N1982">
        <v>2750</v>
      </c>
    </row>
    <row r="1983" spans="1:14" x14ac:dyDescent="0.25">
      <c r="A1983">
        <v>1487.4471619999999</v>
      </c>
      <c r="B1983" s="1">
        <f>DATE(2014,5,27) + TIME(10,43,54)</f>
        <v>41786.447152777779</v>
      </c>
      <c r="C1983">
        <v>80</v>
      </c>
      <c r="D1983">
        <v>79.966537475999999</v>
      </c>
      <c r="E1983">
        <v>50</v>
      </c>
      <c r="F1983">
        <v>48.438056946000003</v>
      </c>
      <c r="G1983">
        <v>1390.6126709</v>
      </c>
      <c r="H1983">
        <v>1374.5245361</v>
      </c>
      <c r="I1983">
        <v>1282.5854492000001</v>
      </c>
      <c r="J1983">
        <v>1260.5729980000001</v>
      </c>
      <c r="K1983">
        <v>2750</v>
      </c>
      <c r="L1983">
        <v>0</v>
      </c>
      <c r="M1983">
        <v>0</v>
      </c>
      <c r="N1983">
        <v>2750</v>
      </c>
    </row>
    <row r="1984" spans="1:14" x14ac:dyDescent="0.25">
      <c r="A1984">
        <v>1488.0958740000001</v>
      </c>
      <c r="B1984" s="1">
        <f>DATE(2014,5,28) + TIME(2,18,3)</f>
        <v>41787.095868055556</v>
      </c>
      <c r="C1984">
        <v>80</v>
      </c>
      <c r="D1984">
        <v>79.966529846</v>
      </c>
      <c r="E1984">
        <v>50</v>
      </c>
      <c r="F1984">
        <v>48.406028747999997</v>
      </c>
      <c r="G1984">
        <v>1390.5533447</v>
      </c>
      <c r="H1984">
        <v>1374.4774170000001</v>
      </c>
      <c r="I1984">
        <v>1282.5720214999999</v>
      </c>
      <c r="J1984">
        <v>1260.5554199000001</v>
      </c>
      <c r="K1984">
        <v>2750</v>
      </c>
      <c r="L1984">
        <v>0</v>
      </c>
      <c r="M1984">
        <v>0</v>
      </c>
      <c r="N1984">
        <v>2750</v>
      </c>
    </row>
    <row r="1985" spans="1:14" x14ac:dyDescent="0.25">
      <c r="A1985">
        <v>1488.7576670000001</v>
      </c>
      <c r="B1985" s="1">
        <f>DATE(2014,5,28) + TIME(18,11,2)</f>
        <v>41787.757662037038</v>
      </c>
      <c r="C1985">
        <v>80</v>
      </c>
      <c r="D1985">
        <v>79.966514587000006</v>
      </c>
      <c r="E1985">
        <v>50</v>
      </c>
      <c r="F1985">
        <v>48.373561858999999</v>
      </c>
      <c r="G1985">
        <v>1390.4941406</v>
      </c>
      <c r="H1985">
        <v>1374.4302978999999</v>
      </c>
      <c r="I1985">
        <v>1282.5583495999999</v>
      </c>
      <c r="J1985">
        <v>1260.5374756000001</v>
      </c>
      <c r="K1985">
        <v>2750</v>
      </c>
      <c r="L1985">
        <v>0</v>
      </c>
      <c r="M1985">
        <v>0</v>
      </c>
      <c r="N1985">
        <v>2750</v>
      </c>
    </row>
    <row r="1986" spans="1:14" x14ac:dyDescent="0.25">
      <c r="A1986">
        <v>1489.434757</v>
      </c>
      <c r="B1986" s="1">
        <f>DATE(2014,5,29) + TIME(10,26,3)</f>
        <v>41788.434756944444</v>
      </c>
      <c r="C1986">
        <v>80</v>
      </c>
      <c r="D1986">
        <v>79.966506957999997</v>
      </c>
      <c r="E1986">
        <v>50</v>
      </c>
      <c r="F1986">
        <v>48.340576171999999</v>
      </c>
      <c r="G1986">
        <v>1390.4346923999999</v>
      </c>
      <c r="H1986">
        <v>1374.3830565999999</v>
      </c>
      <c r="I1986">
        <v>1282.5443115</v>
      </c>
      <c r="J1986">
        <v>1260.519043</v>
      </c>
      <c r="K1986">
        <v>2750</v>
      </c>
      <c r="L1986">
        <v>0</v>
      </c>
      <c r="M1986">
        <v>0</v>
      </c>
      <c r="N1986">
        <v>2750</v>
      </c>
    </row>
    <row r="1987" spans="1:14" x14ac:dyDescent="0.25">
      <c r="A1987">
        <v>1490.1296199999999</v>
      </c>
      <c r="B1987" s="1">
        <f>DATE(2014,5,30) + TIME(3,6,39)</f>
        <v>41789.129618055558</v>
      </c>
      <c r="C1987">
        <v>80</v>
      </c>
      <c r="D1987">
        <v>79.966499329000001</v>
      </c>
      <c r="E1987">
        <v>50</v>
      </c>
      <c r="F1987">
        <v>48.306976317999997</v>
      </c>
      <c r="G1987">
        <v>1390.375</v>
      </c>
      <c r="H1987">
        <v>1374.3355713000001</v>
      </c>
      <c r="I1987">
        <v>1282.5297852000001</v>
      </c>
      <c r="J1987">
        <v>1260.5001221</v>
      </c>
      <c r="K1987">
        <v>2750</v>
      </c>
      <c r="L1987">
        <v>0</v>
      </c>
      <c r="M1987">
        <v>0</v>
      </c>
      <c r="N1987">
        <v>2750</v>
      </c>
    </row>
    <row r="1988" spans="1:14" x14ac:dyDescent="0.25">
      <c r="A1988">
        <v>1490.836892</v>
      </c>
      <c r="B1988" s="1">
        <f>DATE(2014,5,30) + TIME(20,5,7)</f>
        <v>41789.836886574078</v>
      </c>
      <c r="C1988">
        <v>80</v>
      </c>
      <c r="D1988">
        <v>79.966491699000002</v>
      </c>
      <c r="E1988">
        <v>50</v>
      </c>
      <c r="F1988">
        <v>48.272861481</v>
      </c>
      <c r="G1988">
        <v>1390.3149414</v>
      </c>
      <c r="H1988">
        <v>1374.2875977000001</v>
      </c>
      <c r="I1988">
        <v>1282.5147704999999</v>
      </c>
      <c r="J1988">
        <v>1260.4804687999999</v>
      </c>
      <c r="K1988">
        <v>2750</v>
      </c>
      <c r="L1988">
        <v>0</v>
      </c>
      <c r="M1988">
        <v>0</v>
      </c>
      <c r="N1988">
        <v>2750</v>
      </c>
    </row>
    <row r="1989" spans="1:14" x14ac:dyDescent="0.25">
      <c r="A1989">
        <v>1491.549618</v>
      </c>
      <c r="B1989" s="1">
        <f>DATE(2014,5,31) + TIME(13,11,27)</f>
        <v>41790.549618055556</v>
      </c>
      <c r="C1989">
        <v>80</v>
      </c>
      <c r="D1989">
        <v>79.966476439999994</v>
      </c>
      <c r="E1989">
        <v>50</v>
      </c>
      <c r="F1989">
        <v>48.238433837999999</v>
      </c>
      <c r="G1989">
        <v>1390.2547606999999</v>
      </c>
      <c r="H1989">
        <v>1374.2397461</v>
      </c>
      <c r="I1989">
        <v>1282.4993896000001</v>
      </c>
      <c r="J1989">
        <v>1260.4603271000001</v>
      </c>
      <c r="K1989">
        <v>2750</v>
      </c>
      <c r="L1989">
        <v>0</v>
      </c>
      <c r="M1989">
        <v>0</v>
      </c>
      <c r="N1989">
        <v>2750</v>
      </c>
    </row>
    <row r="1990" spans="1:14" x14ac:dyDescent="0.25">
      <c r="A1990">
        <v>1492</v>
      </c>
      <c r="B1990" s="1">
        <f>DATE(2014,6,1) + TIME(0,0,0)</f>
        <v>41791</v>
      </c>
      <c r="C1990">
        <v>80</v>
      </c>
      <c r="D1990">
        <v>79.966468810999999</v>
      </c>
      <c r="E1990">
        <v>50</v>
      </c>
      <c r="F1990">
        <v>48.211872100999997</v>
      </c>
      <c r="G1990">
        <v>1390.1951904</v>
      </c>
      <c r="H1990">
        <v>1374.1921387</v>
      </c>
      <c r="I1990">
        <v>1282.4829102000001</v>
      </c>
      <c r="J1990">
        <v>1260.4407959</v>
      </c>
      <c r="K1990">
        <v>2750</v>
      </c>
      <c r="L1990">
        <v>0</v>
      </c>
      <c r="M1990">
        <v>0</v>
      </c>
      <c r="N1990">
        <v>2750</v>
      </c>
    </row>
    <row r="1991" spans="1:14" x14ac:dyDescent="0.25">
      <c r="A1991">
        <v>1492.7205280000001</v>
      </c>
      <c r="B1991" s="1">
        <f>DATE(2014,6,1) + TIME(17,17,33)</f>
        <v>41791.720520833333</v>
      </c>
      <c r="C1991">
        <v>80</v>
      </c>
      <c r="D1991">
        <v>79.966461182000003</v>
      </c>
      <c r="E1991">
        <v>50</v>
      </c>
      <c r="F1991">
        <v>48.179534912000001</v>
      </c>
      <c r="G1991">
        <v>1390.1579589999999</v>
      </c>
      <c r="H1991">
        <v>1374.1623535000001</v>
      </c>
      <c r="I1991">
        <v>1282.4741211</v>
      </c>
      <c r="J1991">
        <v>1260.4265137</v>
      </c>
      <c r="K1991">
        <v>2750</v>
      </c>
      <c r="L1991">
        <v>0</v>
      </c>
      <c r="M1991">
        <v>0</v>
      </c>
      <c r="N1991">
        <v>2750</v>
      </c>
    </row>
    <row r="1992" spans="1:14" x14ac:dyDescent="0.25">
      <c r="A1992">
        <v>1493.4589989999999</v>
      </c>
      <c r="B1992" s="1">
        <f>DATE(2014,6,2) + TIME(11,0,57)</f>
        <v>41792.458993055552</v>
      </c>
      <c r="C1992">
        <v>80</v>
      </c>
      <c r="D1992">
        <v>79.966453552000004</v>
      </c>
      <c r="E1992">
        <v>50</v>
      </c>
      <c r="F1992">
        <v>48.145629882999998</v>
      </c>
      <c r="G1992">
        <v>1390.0996094</v>
      </c>
      <c r="H1992">
        <v>1374.1158447</v>
      </c>
      <c r="I1992">
        <v>1282.4581298999999</v>
      </c>
      <c r="J1992">
        <v>1260.4057617000001</v>
      </c>
      <c r="K1992">
        <v>2750</v>
      </c>
      <c r="L1992">
        <v>0</v>
      </c>
      <c r="M1992">
        <v>0</v>
      </c>
      <c r="N1992">
        <v>2750</v>
      </c>
    </row>
    <row r="1993" spans="1:14" x14ac:dyDescent="0.25">
      <c r="A1993">
        <v>1494.211517</v>
      </c>
      <c r="B1993" s="1">
        <f>DATE(2014,6,3) + TIME(5,4,35)</f>
        <v>41793.211516203701</v>
      </c>
      <c r="C1993">
        <v>80</v>
      </c>
      <c r="D1993">
        <v>79.966445922999995</v>
      </c>
      <c r="E1993">
        <v>50</v>
      </c>
      <c r="F1993">
        <v>48.110660553000002</v>
      </c>
      <c r="G1993">
        <v>1390.0406493999999</v>
      </c>
      <c r="H1993">
        <v>1374.0686035000001</v>
      </c>
      <c r="I1993">
        <v>1282.4416504000001</v>
      </c>
      <c r="J1993">
        <v>1260.3841553</v>
      </c>
      <c r="K1993">
        <v>2750</v>
      </c>
      <c r="L1993">
        <v>0</v>
      </c>
      <c r="M1993">
        <v>0</v>
      </c>
      <c r="N1993">
        <v>2750</v>
      </c>
    </row>
    <row r="1994" spans="1:14" x14ac:dyDescent="0.25">
      <c r="A1994">
        <v>1494.9777999999999</v>
      </c>
      <c r="B1994" s="1">
        <f>DATE(2014,6,3) + TIME(23,28,1)</f>
        <v>41793.977789351855</v>
      </c>
      <c r="C1994">
        <v>80</v>
      </c>
      <c r="D1994">
        <v>79.966438292999996</v>
      </c>
      <c r="E1994">
        <v>50</v>
      </c>
      <c r="F1994">
        <v>48.074913025000001</v>
      </c>
      <c r="G1994">
        <v>1389.9815673999999</v>
      </c>
      <c r="H1994">
        <v>1374.0213623</v>
      </c>
      <c r="I1994">
        <v>1282.4248047000001</v>
      </c>
      <c r="J1994">
        <v>1260.3619385</v>
      </c>
      <c r="K1994">
        <v>2750</v>
      </c>
      <c r="L1994">
        <v>0</v>
      </c>
      <c r="M1994">
        <v>0</v>
      </c>
      <c r="N1994">
        <v>2750</v>
      </c>
    </row>
    <row r="1995" spans="1:14" x14ac:dyDescent="0.25">
      <c r="A1995">
        <v>1495.753888</v>
      </c>
      <c r="B1995" s="1">
        <f>DATE(2014,6,4) + TIME(18,5,35)</f>
        <v>41794.753877314812</v>
      </c>
      <c r="C1995">
        <v>80</v>
      </c>
      <c r="D1995">
        <v>79.966438292999996</v>
      </c>
      <c r="E1995">
        <v>50</v>
      </c>
      <c r="F1995">
        <v>48.038623809999997</v>
      </c>
      <c r="G1995">
        <v>1389.9223632999999</v>
      </c>
      <c r="H1995">
        <v>1373.9738769999999</v>
      </c>
      <c r="I1995">
        <v>1282.4074707</v>
      </c>
      <c r="J1995">
        <v>1260.3391113</v>
      </c>
      <c r="K1995">
        <v>2750</v>
      </c>
      <c r="L1995">
        <v>0</v>
      </c>
      <c r="M1995">
        <v>0</v>
      </c>
      <c r="N1995">
        <v>2750</v>
      </c>
    </row>
    <row r="1996" spans="1:14" x14ac:dyDescent="0.25">
      <c r="A1996">
        <v>1496.5422309999999</v>
      </c>
      <c r="B1996" s="1">
        <f>DATE(2014,6,5) + TIME(13,0,48)</f>
        <v>41795.542222222219</v>
      </c>
      <c r="C1996">
        <v>80</v>
      </c>
      <c r="D1996">
        <v>79.966430664000001</v>
      </c>
      <c r="E1996">
        <v>50</v>
      </c>
      <c r="F1996">
        <v>48.001861572000003</v>
      </c>
      <c r="G1996">
        <v>1389.8634033000001</v>
      </c>
      <c r="H1996">
        <v>1373.9266356999999</v>
      </c>
      <c r="I1996">
        <v>1282.3897704999999</v>
      </c>
      <c r="J1996">
        <v>1260.3156738</v>
      </c>
      <c r="K1996">
        <v>2750</v>
      </c>
      <c r="L1996">
        <v>0</v>
      </c>
      <c r="M1996">
        <v>0</v>
      </c>
      <c r="N1996">
        <v>2750</v>
      </c>
    </row>
    <row r="1997" spans="1:14" x14ac:dyDescent="0.25">
      <c r="A1997">
        <v>1497.34537</v>
      </c>
      <c r="B1997" s="1">
        <f>DATE(2014,6,6) + TIME(8,17,19)</f>
        <v>41796.345358796294</v>
      </c>
      <c r="C1997">
        <v>80</v>
      </c>
      <c r="D1997">
        <v>79.966423035000005</v>
      </c>
      <c r="E1997">
        <v>50</v>
      </c>
      <c r="F1997">
        <v>47.964603424000003</v>
      </c>
      <c r="G1997">
        <v>1389.8044434000001</v>
      </c>
      <c r="H1997">
        <v>1373.8793945</v>
      </c>
      <c r="I1997">
        <v>1282.3717041</v>
      </c>
      <c r="J1997">
        <v>1260.291626</v>
      </c>
      <c r="K1997">
        <v>2750</v>
      </c>
      <c r="L1997">
        <v>0</v>
      </c>
      <c r="M1997">
        <v>0</v>
      </c>
      <c r="N1997">
        <v>2750</v>
      </c>
    </row>
    <row r="1998" spans="1:14" x14ac:dyDescent="0.25">
      <c r="A1998">
        <v>1498.1660280000001</v>
      </c>
      <c r="B1998" s="1">
        <f>DATE(2014,6,7) + TIME(3,59,4)</f>
        <v>41797.166018518517</v>
      </c>
      <c r="C1998">
        <v>80</v>
      </c>
      <c r="D1998">
        <v>79.966415405000006</v>
      </c>
      <c r="E1998">
        <v>50</v>
      </c>
      <c r="F1998">
        <v>47.926776885999999</v>
      </c>
      <c r="G1998">
        <v>1389.7454834</v>
      </c>
      <c r="H1998">
        <v>1373.8319091999999</v>
      </c>
      <c r="I1998">
        <v>1282.3530272999999</v>
      </c>
      <c r="J1998">
        <v>1260.2668457</v>
      </c>
      <c r="K1998">
        <v>2750</v>
      </c>
      <c r="L1998">
        <v>0</v>
      </c>
      <c r="M1998">
        <v>0</v>
      </c>
      <c r="N1998">
        <v>2750</v>
      </c>
    </row>
    <row r="1999" spans="1:14" x14ac:dyDescent="0.25">
      <c r="A1999">
        <v>1499.0073199999999</v>
      </c>
      <c r="B1999" s="1">
        <f>DATE(2014,6,8) + TIME(0,10,32)</f>
        <v>41798.007314814815</v>
      </c>
      <c r="C1999">
        <v>80</v>
      </c>
      <c r="D1999">
        <v>79.966407775999997</v>
      </c>
      <c r="E1999">
        <v>50</v>
      </c>
      <c r="F1999">
        <v>47.888275145999998</v>
      </c>
      <c r="G1999">
        <v>1389.6861572</v>
      </c>
      <c r="H1999">
        <v>1373.7841797000001</v>
      </c>
      <c r="I1999">
        <v>1282.3338623</v>
      </c>
      <c r="J1999">
        <v>1260.2412108999999</v>
      </c>
      <c r="K1999">
        <v>2750</v>
      </c>
      <c r="L1999">
        <v>0</v>
      </c>
      <c r="M1999">
        <v>0</v>
      </c>
      <c r="N1999">
        <v>2750</v>
      </c>
    </row>
    <row r="2000" spans="1:14" x14ac:dyDescent="0.25">
      <c r="A2000">
        <v>1499.8562850000001</v>
      </c>
      <c r="B2000" s="1">
        <f>DATE(2014,6,8) + TIME(20,33,2)</f>
        <v>41798.856273148151</v>
      </c>
      <c r="C2000">
        <v>80</v>
      </c>
      <c r="D2000">
        <v>79.966407775999997</v>
      </c>
      <c r="E2000">
        <v>50</v>
      </c>
      <c r="F2000">
        <v>47.849323273000003</v>
      </c>
      <c r="G2000">
        <v>1389.6262207</v>
      </c>
      <c r="H2000">
        <v>1373.7359618999999</v>
      </c>
      <c r="I2000">
        <v>1282.3139647999999</v>
      </c>
      <c r="J2000">
        <v>1260.2147216999999</v>
      </c>
      <c r="K2000">
        <v>2750</v>
      </c>
      <c r="L2000">
        <v>0</v>
      </c>
      <c r="M2000">
        <v>0</v>
      </c>
      <c r="N2000">
        <v>2750</v>
      </c>
    </row>
    <row r="2001" spans="1:14" x14ac:dyDescent="0.25">
      <c r="A2001">
        <v>1500.713379</v>
      </c>
      <c r="B2001" s="1">
        <f>DATE(2014,6,9) + TIME(17,7,15)</f>
        <v>41799.713368055556</v>
      </c>
      <c r="C2001">
        <v>80</v>
      </c>
      <c r="D2001">
        <v>79.966400145999998</v>
      </c>
      <c r="E2001">
        <v>50</v>
      </c>
      <c r="F2001">
        <v>47.810054778999998</v>
      </c>
      <c r="G2001">
        <v>1389.5667725000001</v>
      </c>
      <c r="H2001">
        <v>1373.6881103999999</v>
      </c>
      <c r="I2001">
        <v>1282.2937012</v>
      </c>
      <c r="J2001">
        <v>1260.1876221</v>
      </c>
      <c r="K2001">
        <v>2750</v>
      </c>
      <c r="L2001">
        <v>0</v>
      </c>
      <c r="M2001">
        <v>0</v>
      </c>
      <c r="N2001">
        <v>2750</v>
      </c>
    </row>
    <row r="2002" spans="1:14" x14ac:dyDescent="0.25">
      <c r="A2002">
        <v>1501.5814559999999</v>
      </c>
      <c r="B2002" s="1">
        <f>DATE(2014,6,10) + TIME(13,57,17)</f>
        <v>41800.581446759257</v>
      </c>
      <c r="C2002">
        <v>80</v>
      </c>
      <c r="D2002">
        <v>79.966392517000003</v>
      </c>
      <c r="E2002">
        <v>50</v>
      </c>
      <c r="F2002">
        <v>47.770465850999997</v>
      </c>
      <c r="G2002">
        <v>1389.5078125</v>
      </c>
      <c r="H2002">
        <v>1373.6403809000001</v>
      </c>
      <c r="I2002">
        <v>1282.2729492000001</v>
      </c>
      <c r="J2002">
        <v>1260.1597899999999</v>
      </c>
      <c r="K2002">
        <v>2750</v>
      </c>
      <c r="L2002">
        <v>0</v>
      </c>
      <c r="M2002">
        <v>0</v>
      </c>
      <c r="N2002">
        <v>2750</v>
      </c>
    </row>
    <row r="2003" spans="1:14" x14ac:dyDescent="0.25">
      <c r="A2003">
        <v>1502.4634570000001</v>
      </c>
      <c r="B2003" s="1">
        <f>DATE(2014,6,11) + TIME(11,7,22)</f>
        <v>41801.463449074072</v>
      </c>
      <c r="C2003">
        <v>80</v>
      </c>
      <c r="D2003">
        <v>79.966392517000003</v>
      </c>
      <c r="E2003">
        <v>50</v>
      </c>
      <c r="F2003">
        <v>47.730487822999997</v>
      </c>
      <c r="G2003">
        <v>1389.4488524999999</v>
      </c>
      <c r="H2003">
        <v>1373.5928954999999</v>
      </c>
      <c r="I2003">
        <v>1282.2518310999999</v>
      </c>
      <c r="J2003">
        <v>1260.1313477000001</v>
      </c>
      <c r="K2003">
        <v>2750</v>
      </c>
      <c r="L2003">
        <v>0</v>
      </c>
      <c r="M2003">
        <v>0</v>
      </c>
      <c r="N2003">
        <v>2750</v>
      </c>
    </row>
    <row r="2004" spans="1:14" x14ac:dyDescent="0.25">
      <c r="A2004">
        <v>1503.3616959999999</v>
      </c>
      <c r="B2004" s="1">
        <f>DATE(2014,6,12) + TIME(8,40,50)</f>
        <v>41802.361689814818</v>
      </c>
      <c r="C2004">
        <v>80</v>
      </c>
      <c r="D2004">
        <v>79.966384887999993</v>
      </c>
      <c r="E2004">
        <v>50</v>
      </c>
      <c r="F2004">
        <v>47.690029144</v>
      </c>
      <c r="G2004">
        <v>1389.3900146000001</v>
      </c>
      <c r="H2004">
        <v>1373.5451660000001</v>
      </c>
      <c r="I2004">
        <v>1282.2301024999999</v>
      </c>
      <c r="J2004">
        <v>1260.1019286999999</v>
      </c>
      <c r="K2004">
        <v>2750</v>
      </c>
      <c r="L2004">
        <v>0</v>
      </c>
      <c r="M2004">
        <v>0</v>
      </c>
      <c r="N2004">
        <v>2750</v>
      </c>
    </row>
    <row r="2005" spans="1:14" x14ac:dyDescent="0.25">
      <c r="A2005">
        <v>1504.2725439999999</v>
      </c>
      <c r="B2005" s="1">
        <f>DATE(2014,6,13) + TIME(6,32,27)</f>
        <v>41803.272534722222</v>
      </c>
      <c r="C2005">
        <v>80</v>
      </c>
      <c r="D2005">
        <v>79.966384887999993</v>
      </c>
      <c r="E2005">
        <v>50</v>
      </c>
      <c r="F2005">
        <v>47.649116515999999</v>
      </c>
      <c r="G2005">
        <v>1389.3309326000001</v>
      </c>
      <c r="H2005">
        <v>1373.4974365</v>
      </c>
      <c r="I2005">
        <v>1282.2076416</v>
      </c>
      <c r="J2005">
        <v>1260.0716553</v>
      </c>
      <c r="K2005">
        <v>2750</v>
      </c>
      <c r="L2005">
        <v>0</v>
      </c>
      <c r="M2005">
        <v>0</v>
      </c>
      <c r="N2005">
        <v>2750</v>
      </c>
    </row>
    <row r="2006" spans="1:14" x14ac:dyDescent="0.25">
      <c r="A2006">
        <v>1505.1989530000001</v>
      </c>
      <c r="B2006" s="1">
        <f>DATE(2014,6,14) + TIME(4,46,29)</f>
        <v>41804.198946759258</v>
      </c>
      <c r="C2006">
        <v>80</v>
      </c>
      <c r="D2006">
        <v>79.966384887999993</v>
      </c>
      <c r="E2006">
        <v>50</v>
      </c>
      <c r="F2006">
        <v>47.607715607000003</v>
      </c>
      <c r="G2006">
        <v>1389.2719727000001</v>
      </c>
      <c r="H2006">
        <v>1373.4495850000001</v>
      </c>
      <c r="I2006">
        <v>1282.1846923999999</v>
      </c>
      <c r="J2006">
        <v>1260.0405272999999</v>
      </c>
      <c r="K2006">
        <v>2750</v>
      </c>
      <c r="L2006">
        <v>0</v>
      </c>
      <c r="M2006">
        <v>0</v>
      </c>
      <c r="N2006">
        <v>2750</v>
      </c>
    </row>
    <row r="2007" spans="1:14" x14ac:dyDescent="0.25">
      <c r="A2007">
        <v>1506.143992</v>
      </c>
      <c r="B2007" s="1">
        <f>DATE(2014,6,15) + TIME(3,27,20)</f>
        <v>41805.14398148148</v>
      </c>
      <c r="C2007">
        <v>80</v>
      </c>
      <c r="D2007">
        <v>79.966377257999994</v>
      </c>
      <c r="E2007">
        <v>50</v>
      </c>
      <c r="F2007">
        <v>47.565738678000002</v>
      </c>
      <c r="G2007">
        <v>1389.2128906</v>
      </c>
      <c r="H2007">
        <v>1373.4016113</v>
      </c>
      <c r="I2007">
        <v>1282.1610106999999</v>
      </c>
      <c r="J2007">
        <v>1260.0083007999999</v>
      </c>
      <c r="K2007">
        <v>2750</v>
      </c>
      <c r="L2007">
        <v>0</v>
      </c>
      <c r="M2007">
        <v>0</v>
      </c>
      <c r="N2007">
        <v>2750</v>
      </c>
    </row>
    <row r="2008" spans="1:14" x14ac:dyDescent="0.25">
      <c r="A2008">
        <v>1507.1092659999999</v>
      </c>
      <c r="B2008" s="1">
        <f>DATE(2014,6,16) + TIME(2,37,20)</f>
        <v>41806.109259259261</v>
      </c>
      <c r="C2008">
        <v>80</v>
      </c>
      <c r="D2008">
        <v>79.966377257999994</v>
      </c>
      <c r="E2008">
        <v>50</v>
      </c>
      <c r="F2008">
        <v>47.523097991999997</v>
      </c>
      <c r="G2008">
        <v>1389.1535644999999</v>
      </c>
      <c r="H2008">
        <v>1373.3533935999999</v>
      </c>
      <c r="I2008">
        <v>1282.1365966999999</v>
      </c>
      <c r="J2008">
        <v>1259.9749756000001</v>
      </c>
      <c r="K2008">
        <v>2750</v>
      </c>
      <c r="L2008">
        <v>0</v>
      </c>
      <c r="M2008">
        <v>0</v>
      </c>
      <c r="N2008">
        <v>2750</v>
      </c>
    </row>
    <row r="2009" spans="1:14" x14ac:dyDescent="0.25">
      <c r="A2009">
        <v>1508.0937280000001</v>
      </c>
      <c r="B2009" s="1">
        <f>DATE(2014,6,17) + TIME(2,14,58)</f>
        <v>41807.093726851854</v>
      </c>
      <c r="C2009">
        <v>80</v>
      </c>
      <c r="D2009">
        <v>79.966377257999994</v>
      </c>
      <c r="E2009">
        <v>50</v>
      </c>
      <c r="F2009">
        <v>47.47977066</v>
      </c>
      <c r="G2009">
        <v>1389.09375</v>
      </c>
      <c r="H2009">
        <v>1373.3048096</v>
      </c>
      <c r="I2009">
        <v>1282.1112060999999</v>
      </c>
      <c r="J2009">
        <v>1259.9403076000001</v>
      </c>
      <c r="K2009">
        <v>2750</v>
      </c>
      <c r="L2009">
        <v>0</v>
      </c>
      <c r="M2009">
        <v>0</v>
      </c>
      <c r="N2009">
        <v>2750</v>
      </c>
    </row>
    <row r="2010" spans="1:14" x14ac:dyDescent="0.25">
      <c r="A2010">
        <v>1509.093899</v>
      </c>
      <c r="B2010" s="1">
        <f>DATE(2014,6,18) + TIME(2,15,12)</f>
        <v>41808.093888888892</v>
      </c>
      <c r="C2010">
        <v>80</v>
      </c>
      <c r="D2010">
        <v>79.966377257999994</v>
      </c>
      <c r="E2010">
        <v>50</v>
      </c>
      <c r="F2010">
        <v>47.435813904</v>
      </c>
      <c r="G2010">
        <v>1389.0338135</v>
      </c>
      <c r="H2010">
        <v>1373.2559814000001</v>
      </c>
      <c r="I2010">
        <v>1282.0850829999999</v>
      </c>
      <c r="J2010">
        <v>1259.9044189000001</v>
      </c>
      <c r="K2010">
        <v>2750</v>
      </c>
      <c r="L2010">
        <v>0</v>
      </c>
      <c r="M2010">
        <v>0</v>
      </c>
      <c r="N2010">
        <v>2750</v>
      </c>
    </row>
    <row r="2011" spans="1:14" x14ac:dyDescent="0.25">
      <c r="A2011">
        <v>1510.098508</v>
      </c>
      <c r="B2011" s="1">
        <f>DATE(2014,6,19) + TIME(2,21,51)</f>
        <v>41809.098506944443</v>
      </c>
      <c r="C2011">
        <v>80</v>
      </c>
      <c r="D2011">
        <v>79.966369628999999</v>
      </c>
      <c r="E2011">
        <v>50</v>
      </c>
      <c r="F2011">
        <v>47.391490935999997</v>
      </c>
      <c r="G2011">
        <v>1388.9737548999999</v>
      </c>
      <c r="H2011">
        <v>1373.2070312000001</v>
      </c>
      <c r="I2011">
        <v>1282.0581055</v>
      </c>
      <c r="J2011">
        <v>1259.8674315999999</v>
      </c>
      <c r="K2011">
        <v>2750</v>
      </c>
      <c r="L2011">
        <v>0</v>
      </c>
      <c r="M2011">
        <v>0</v>
      </c>
      <c r="N2011">
        <v>2750</v>
      </c>
    </row>
    <row r="2012" spans="1:14" x14ac:dyDescent="0.25">
      <c r="A2012">
        <v>1511.1083000000001</v>
      </c>
      <c r="B2012" s="1">
        <f>DATE(2014,6,20) + TIME(2,35,57)</f>
        <v>41810.108298611114</v>
      </c>
      <c r="C2012">
        <v>80</v>
      </c>
      <c r="D2012">
        <v>79.966369628999999</v>
      </c>
      <c r="E2012">
        <v>50</v>
      </c>
      <c r="F2012">
        <v>47.346965789999999</v>
      </c>
      <c r="G2012">
        <v>1388.9143065999999</v>
      </c>
      <c r="H2012">
        <v>1373.1584473</v>
      </c>
      <c r="I2012">
        <v>1282.0306396000001</v>
      </c>
      <c r="J2012">
        <v>1259.8295897999999</v>
      </c>
      <c r="K2012">
        <v>2750</v>
      </c>
      <c r="L2012">
        <v>0</v>
      </c>
      <c r="M2012">
        <v>0</v>
      </c>
      <c r="N2012">
        <v>2750</v>
      </c>
    </row>
    <row r="2013" spans="1:14" x14ac:dyDescent="0.25">
      <c r="A2013">
        <v>1512.1263610000001</v>
      </c>
      <c r="B2013" s="1">
        <f>DATE(2014,6,21) + TIME(3,1,57)</f>
        <v>41811.126354166663</v>
      </c>
      <c r="C2013">
        <v>80</v>
      </c>
      <c r="D2013">
        <v>79.966369628999999</v>
      </c>
      <c r="E2013">
        <v>50</v>
      </c>
      <c r="F2013">
        <v>47.302246093999997</v>
      </c>
      <c r="G2013">
        <v>1388.8554687999999</v>
      </c>
      <c r="H2013">
        <v>1373.1103516000001</v>
      </c>
      <c r="I2013">
        <v>1282.0026855000001</v>
      </c>
      <c r="J2013">
        <v>1259.7907714999999</v>
      </c>
      <c r="K2013">
        <v>2750</v>
      </c>
      <c r="L2013">
        <v>0</v>
      </c>
      <c r="M2013">
        <v>0</v>
      </c>
      <c r="N2013">
        <v>2750</v>
      </c>
    </row>
    <row r="2014" spans="1:14" x14ac:dyDescent="0.25">
      <c r="A2014">
        <v>1513.155808</v>
      </c>
      <c r="B2014" s="1">
        <f>DATE(2014,6,22) + TIME(3,44,21)</f>
        <v>41812.155798611115</v>
      </c>
      <c r="C2014">
        <v>80</v>
      </c>
      <c r="D2014">
        <v>79.966369628999999</v>
      </c>
      <c r="E2014">
        <v>50</v>
      </c>
      <c r="F2014">
        <v>47.257251740000001</v>
      </c>
      <c r="G2014">
        <v>1388.7969971</v>
      </c>
      <c r="H2014">
        <v>1373.0623779</v>
      </c>
      <c r="I2014">
        <v>1281.9741211</v>
      </c>
      <c r="J2014">
        <v>1259.7509766000001</v>
      </c>
      <c r="K2014">
        <v>2750</v>
      </c>
      <c r="L2014">
        <v>0</v>
      </c>
      <c r="M2014">
        <v>0</v>
      </c>
      <c r="N2014">
        <v>2750</v>
      </c>
    </row>
    <row r="2015" spans="1:14" x14ac:dyDescent="0.25">
      <c r="A2015">
        <v>1514.1998639999999</v>
      </c>
      <c r="B2015" s="1">
        <f>DATE(2014,6,23) + TIME(4,47,48)</f>
        <v>41813.199861111112</v>
      </c>
      <c r="C2015">
        <v>80</v>
      </c>
      <c r="D2015">
        <v>79.966369628999999</v>
      </c>
      <c r="E2015">
        <v>50</v>
      </c>
      <c r="F2015">
        <v>47.211875915999997</v>
      </c>
      <c r="G2015">
        <v>1388.7386475000001</v>
      </c>
      <c r="H2015">
        <v>1373.0146483999999</v>
      </c>
      <c r="I2015">
        <v>1281.9448242000001</v>
      </c>
      <c r="J2015">
        <v>1259.7099608999999</v>
      </c>
      <c r="K2015">
        <v>2750</v>
      </c>
      <c r="L2015">
        <v>0</v>
      </c>
      <c r="M2015">
        <v>0</v>
      </c>
      <c r="N2015">
        <v>2750</v>
      </c>
    </row>
    <row r="2016" spans="1:14" x14ac:dyDescent="0.25">
      <c r="A2016">
        <v>1515.261888</v>
      </c>
      <c r="B2016" s="1">
        <f>DATE(2014,6,24) + TIME(6,17,7)</f>
        <v>41814.261886574073</v>
      </c>
      <c r="C2016">
        <v>80</v>
      </c>
      <c r="D2016">
        <v>79.966377257999994</v>
      </c>
      <c r="E2016">
        <v>50</v>
      </c>
      <c r="F2016">
        <v>47.165977478000002</v>
      </c>
      <c r="G2016">
        <v>1388.6802978999999</v>
      </c>
      <c r="H2016">
        <v>1372.9666748</v>
      </c>
      <c r="I2016">
        <v>1281.9145507999999</v>
      </c>
      <c r="J2016">
        <v>1259.6677245999999</v>
      </c>
      <c r="K2016">
        <v>2750</v>
      </c>
      <c r="L2016">
        <v>0</v>
      </c>
      <c r="M2016">
        <v>0</v>
      </c>
      <c r="N2016">
        <v>2750</v>
      </c>
    </row>
    <row r="2017" spans="1:14" x14ac:dyDescent="0.25">
      <c r="A2017">
        <v>1516.345444</v>
      </c>
      <c r="B2017" s="1">
        <f>DATE(2014,6,25) + TIME(8,17,26)</f>
        <v>41815.345439814817</v>
      </c>
      <c r="C2017">
        <v>80</v>
      </c>
      <c r="D2017">
        <v>79.966377257999994</v>
      </c>
      <c r="E2017">
        <v>50</v>
      </c>
      <c r="F2017">
        <v>47.119411468999999</v>
      </c>
      <c r="G2017">
        <v>1388.6218262</v>
      </c>
      <c r="H2017">
        <v>1372.9185791</v>
      </c>
      <c r="I2017">
        <v>1281.8834228999999</v>
      </c>
      <c r="J2017">
        <v>1259.6239014</v>
      </c>
      <c r="K2017">
        <v>2750</v>
      </c>
      <c r="L2017">
        <v>0</v>
      </c>
      <c r="M2017">
        <v>0</v>
      </c>
      <c r="N2017">
        <v>2750</v>
      </c>
    </row>
    <row r="2018" spans="1:14" x14ac:dyDescent="0.25">
      <c r="A2018">
        <v>1517.455001</v>
      </c>
      <c r="B2018" s="1">
        <f>DATE(2014,6,26) + TIME(10,55,12)</f>
        <v>41816.455000000002</v>
      </c>
      <c r="C2018">
        <v>80</v>
      </c>
      <c r="D2018">
        <v>79.966377257999994</v>
      </c>
      <c r="E2018">
        <v>50</v>
      </c>
      <c r="F2018">
        <v>47.072021483999997</v>
      </c>
      <c r="G2018">
        <v>1388.5629882999999</v>
      </c>
      <c r="H2018">
        <v>1372.8701172000001</v>
      </c>
      <c r="I2018">
        <v>1281.8511963000001</v>
      </c>
      <c r="J2018">
        <v>1259.5783690999999</v>
      </c>
      <c r="K2018">
        <v>2750</v>
      </c>
      <c r="L2018">
        <v>0</v>
      </c>
      <c r="M2018">
        <v>0</v>
      </c>
      <c r="N2018">
        <v>2750</v>
      </c>
    </row>
    <row r="2019" spans="1:14" x14ac:dyDescent="0.25">
      <c r="A2019">
        <v>1518.59456</v>
      </c>
      <c r="B2019" s="1">
        <f>DATE(2014,6,27) + TIME(14,16,9)</f>
        <v>41817.594548611109</v>
      </c>
      <c r="C2019">
        <v>80</v>
      </c>
      <c r="D2019">
        <v>79.966377257999994</v>
      </c>
      <c r="E2019">
        <v>50</v>
      </c>
      <c r="F2019">
        <v>47.023624419999997</v>
      </c>
      <c r="G2019">
        <v>1388.5035399999999</v>
      </c>
      <c r="H2019">
        <v>1372.8211670000001</v>
      </c>
      <c r="I2019">
        <v>1281.8176269999999</v>
      </c>
      <c r="J2019">
        <v>1259.5308838000001</v>
      </c>
      <c r="K2019">
        <v>2750</v>
      </c>
      <c r="L2019">
        <v>0</v>
      </c>
      <c r="M2019">
        <v>0</v>
      </c>
      <c r="N2019">
        <v>2750</v>
      </c>
    </row>
    <row r="2020" spans="1:14" x14ac:dyDescent="0.25">
      <c r="A2020">
        <v>1519.7429279999999</v>
      </c>
      <c r="B2020" s="1">
        <f>DATE(2014,6,28) + TIME(17,49,48)</f>
        <v>41818.74291666667</v>
      </c>
      <c r="C2020">
        <v>80</v>
      </c>
      <c r="D2020">
        <v>79.966384887999993</v>
      </c>
      <c r="E2020">
        <v>50</v>
      </c>
      <c r="F2020">
        <v>46.974479674999998</v>
      </c>
      <c r="G2020">
        <v>1388.4433594</v>
      </c>
      <c r="H2020">
        <v>1372.7714844</v>
      </c>
      <c r="I2020">
        <v>1281.7825928</v>
      </c>
      <c r="J2020">
        <v>1259.4812012</v>
      </c>
      <c r="K2020">
        <v>2750</v>
      </c>
      <c r="L2020">
        <v>0</v>
      </c>
      <c r="M2020">
        <v>0</v>
      </c>
      <c r="N2020">
        <v>2750</v>
      </c>
    </row>
    <row r="2021" spans="1:14" x14ac:dyDescent="0.25">
      <c r="A2021">
        <v>1520.89427</v>
      </c>
      <c r="B2021" s="1">
        <f>DATE(2014,6,29) + TIME(21,27,44)</f>
        <v>41819.894259259258</v>
      </c>
      <c r="C2021">
        <v>80</v>
      </c>
      <c r="D2021">
        <v>79.966384887999993</v>
      </c>
      <c r="E2021">
        <v>50</v>
      </c>
      <c r="F2021">
        <v>46.924968718999999</v>
      </c>
      <c r="G2021">
        <v>1388.3835449000001</v>
      </c>
      <c r="H2021">
        <v>1372.7220459</v>
      </c>
      <c r="I2021">
        <v>1281.7467041</v>
      </c>
      <c r="J2021">
        <v>1259.4301757999999</v>
      </c>
      <c r="K2021">
        <v>2750</v>
      </c>
      <c r="L2021">
        <v>0</v>
      </c>
      <c r="M2021">
        <v>0</v>
      </c>
      <c r="N2021">
        <v>2750</v>
      </c>
    </row>
    <row r="2022" spans="1:14" x14ac:dyDescent="0.25">
      <c r="A2022">
        <v>1522</v>
      </c>
      <c r="B2022" s="1">
        <f>DATE(2014,7,1) + TIME(0,0,0)</f>
        <v>41821</v>
      </c>
      <c r="C2022">
        <v>80</v>
      </c>
      <c r="D2022">
        <v>79.966384887999993</v>
      </c>
      <c r="E2022">
        <v>50</v>
      </c>
      <c r="F2022">
        <v>46.876155853</v>
      </c>
      <c r="G2022">
        <v>1388.3243408000001</v>
      </c>
      <c r="H2022">
        <v>1372.6729736</v>
      </c>
      <c r="I2022">
        <v>1281.7100829999999</v>
      </c>
      <c r="J2022">
        <v>1259.3780518000001</v>
      </c>
      <c r="K2022">
        <v>2750</v>
      </c>
      <c r="L2022">
        <v>0</v>
      </c>
      <c r="M2022">
        <v>0</v>
      </c>
      <c r="N2022">
        <v>2750</v>
      </c>
    </row>
    <row r="2023" spans="1:14" x14ac:dyDescent="0.25">
      <c r="A2023">
        <v>1523.157903</v>
      </c>
      <c r="B2023" s="1">
        <f>DATE(2014,7,2) + TIME(3,47,22)</f>
        <v>41822.157893518517</v>
      </c>
      <c r="C2023">
        <v>80</v>
      </c>
      <c r="D2023">
        <v>79.966392517000003</v>
      </c>
      <c r="E2023">
        <v>50</v>
      </c>
      <c r="F2023">
        <v>46.827140808000003</v>
      </c>
      <c r="G2023">
        <v>1388.2681885</v>
      </c>
      <c r="H2023">
        <v>1372.6264647999999</v>
      </c>
      <c r="I2023">
        <v>1281.6744385</v>
      </c>
      <c r="J2023">
        <v>1259.3264160000001</v>
      </c>
      <c r="K2023">
        <v>2750</v>
      </c>
      <c r="L2023">
        <v>0</v>
      </c>
      <c r="M2023">
        <v>0</v>
      </c>
      <c r="N2023">
        <v>2750</v>
      </c>
    </row>
    <row r="2024" spans="1:14" x14ac:dyDescent="0.25">
      <c r="A2024">
        <v>1524.339068</v>
      </c>
      <c r="B2024" s="1">
        <f>DATE(2014,7,3) + TIME(8,8,15)</f>
        <v>41823.339062500003</v>
      </c>
      <c r="C2024">
        <v>80</v>
      </c>
      <c r="D2024">
        <v>79.966400145999998</v>
      </c>
      <c r="E2024">
        <v>50</v>
      </c>
      <c r="F2024">
        <v>46.777271270999996</v>
      </c>
      <c r="G2024">
        <v>1388.2102050999999</v>
      </c>
      <c r="H2024">
        <v>1372.5783690999999</v>
      </c>
      <c r="I2024">
        <v>1281.6365966999999</v>
      </c>
      <c r="J2024">
        <v>1259.2718506000001</v>
      </c>
      <c r="K2024">
        <v>2750</v>
      </c>
      <c r="L2024">
        <v>0</v>
      </c>
      <c r="M2024">
        <v>0</v>
      </c>
      <c r="N2024">
        <v>2750</v>
      </c>
    </row>
    <row r="2025" spans="1:14" x14ac:dyDescent="0.25">
      <c r="A2025">
        <v>1525.5374440000001</v>
      </c>
      <c r="B2025" s="1">
        <f>DATE(2014,7,4) + TIME(12,53,55)</f>
        <v>41824.537442129629</v>
      </c>
      <c r="C2025">
        <v>80</v>
      </c>
      <c r="D2025">
        <v>79.966400145999998</v>
      </c>
      <c r="E2025">
        <v>50</v>
      </c>
      <c r="F2025">
        <v>46.726619720000002</v>
      </c>
      <c r="G2025">
        <v>1388.1518555</v>
      </c>
      <c r="H2025">
        <v>1372.5299072</v>
      </c>
      <c r="I2025">
        <v>1281.5972899999999</v>
      </c>
      <c r="J2025">
        <v>1259.2150879000001</v>
      </c>
      <c r="K2025">
        <v>2750</v>
      </c>
      <c r="L2025">
        <v>0</v>
      </c>
      <c r="M2025">
        <v>0</v>
      </c>
      <c r="N2025">
        <v>2750</v>
      </c>
    </row>
    <row r="2026" spans="1:14" x14ac:dyDescent="0.25">
      <c r="A2026">
        <v>1526.7570969999999</v>
      </c>
      <c r="B2026" s="1">
        <f>DATE(2014,7,5) + TIME(18,10,13)</f>
        <v>41825.757094907407</v>
      </c>
      <c r="C2026">
        <v>80</v>
      </c>
      <c r="D2026">
        <v>79.966407775999997</v>
      </c>
      <c r="E2026">
        <v>50</v>
      </c>
      <c r="F2026">
        <v>46.675201416</v>
      </c>
      <c r="G2026">
        <v>1388.0933838000001</v>
      </c>
      <c r="H2026">
        <v>1372.4812012</v>
      </c>
      <c r="I2026">
        <v>1281.5568848</v>
      </c>
      <c r="J2026">
        <v>1259.15625</v>
      </c>
      <c r="K2026">
        <v>2750</v>
      </c>
      <c r="L2026">
        <v>0</v>
      </c>
      <c r="M2026">
        <v>0</v>
      </c>
      <c r="N2026">
        <v>2750</v>
      </c>
    </row>
    <row r="2027" spans="1:14" x14ac:dyDescent="0.25">
      <c r="A2027">
        <v>1528.0022610000001</v>
      </c>
      <c r="B2027" s="1">
        <f>DATE(2014,7,7) + TIME(0,3,15)</f>
        <v>41827.002256944441</v>
      </c>
      <c r="C2027">
        <v>80</v>
      </c>
      <c r="D2027">
        <v>79.966415405000006</v>
      </c>
      <c r="E2027">
        <v>50</v>
      </c>
      <c r="F2027">
        <v>46.622917174999998</v>
      </c>
      <c r="G2027">
        <v>1388.034668</v>
      </c>
      <c r="H2027">
        <v>1372.432251</v>
      </c>
      <c r="I2027">
        <v>1281.5150146000001</v>
      </c>
      <c r="J2027">
        <v>1259.0952147999999</v>
      </c>
      <c r="K2027">
        <v>2750</v>
      </c>
      <c r="L2027">
        <v>0</v>
      </c>
      <c r="M2027">
        <v>0</v>
      </c>
      <c r="N2027">
        <v>2750</v>
      </c>
    </row>
    <row r="2028" spans="1:14" x14ac:dyDescent="0.25">
      <c r="A2028">
        <v>1529.2706840000001</v>
      </c>
      <c r="B2028" s="1">
        <f>DATE(2014,7,8) + TIME(6,29,47)</f>
        <v>41828.270682870374</v>
      </c>
      <c r="C2028">
        <v>80</v>
      </c>
      <c r="D2028">
        <v>79.966423035000005</v>
      </c>
      <c r="E2028">
        <v>50</v>
      </c>
      <c r="F2028">
        <v>46.569725036999998</v>
      </c>
      <c r="G2028">
        <v>1387.9754639</v>
      </c>
      <c r="H2028">
        <v>1372.3828125</v>
      </c>
      <c r="I2028">
        <v>1281.4716797000001</v>
      </c>
      <c r="J2028">
        <v>1259.0317382999999</v>
      </c>
      <c r="K2028">
        <v>2750</v>
      </c>
      <c r="L2028">
        <v>0</v>
      </c>
      <c r="M2028">
        <v>0</v>
      </c>
      <c r="N2028">
        <v>2750</v>
      </c>
    </row>
    <row r="2029" spans="1:14" x14ac:dyDescent="0.25">
      <c r="A2029">
        <v>1530.560373</v>
      </c>
      <c r="B2029" s="1">
        <f>DATE(2014,7,9) + TIME(13,26,56)</f>
        <v>41829.560370370367</v>
      </c>
      <c r="C2029">
        <v>80</v>
      </c>
      <c r="D2029">
        <v>79.966423035000005</v>
      </c>
      <c r="E2029">
        <v>50</v>
      </c>
      <c r="F2029">
        <v>46.515666961999997</v>
      </c>
      <c r="G2029">
        <v>1387.9158935999999</v>
      </c>
      <c r="H2029">
        <v>1372.3330077999999</v>
      </c>
      <c r="I2029">
        <v>1281.4267577999999</v>
      </c>
      <c r="J2029">
        <v>1258.9656981999999</v>
      </c>
      <c r="K2029">
        <v>2750</v>
      </c>
      <c r="L2029">
        <v>0</v>
      </c>
      <c r="M2029">
        <v>0</v>
      </c>
      <c r="N2029">
        <v>2750</v>
      </c>
    </row>
    <row r="2030" spans="1:14" x14ac:dyDescent="0.25">
      <c r="A2030">
        <v>1531.872128</v>
      </c>
      <c r="B2030" s="1">
        <f>DATE(2014,7,10) + TIME(20,55,51)</f>
        <v>41830.872118055559</v>
      </c>
      <c r="C2030">
        <v>80</v>
      </c>
      <c r="D2030">
        <v>79.966430664000001</v>
      </c>
      <c r="E2030">
        <v>50</v>
      </c>
      <c r="F2030">
        <v>46.460765838999997</v>
      </c>
      <c r="G2030">
        <v>1387.8562012</v>
      </c>
      <c r="H2030">
        <v>1372.2829589999999</v>
      </c>
      <c r="I2030">
        <v>1281.3803711</v>
      </c>
      <c r="J2030">
        <v>1258.8973389</v>
      </c>
      <c r="K2030">
        <v>2750</v>
      </c>
      <c r="L2030">
        <v>0</v>
      </c>
      <c r="M2030">
        <v>0</v>
      </c>
      <c r="N2030">
        <v>2750</v>
      </c>
    </row>
    <row r="2031" spans="1:14" x14ac:dyDescent="0.25">
      <c r="A2031">
        <v>1533.1887830000001</v>
      </c>
      <c r="B2031" s="1">
        <f>DATE(2014,7,12) + TIME(4,31,50)</f>
        <v>41832.188773148147</v>
      </c>
      <c r="C2031">
        <v>80</v>
      </c>
      <c r="D2031">
        <v>79.966438292999996</v>
      </c>
      <c r="E2031">
        <v>50</v>
      </c>
      <c r="F2031">
        <v>46.405292510999999</v>
      </c>
      <c r="G2031">
        <v>1387.7961425999999</v>
      </c>
      <c r="H2031">
        <v>1372.2326660000001</v>
      </c>
      <c r="I2031">
        <v>1281.3323975000001</v>
      </c>
      <c r="J2031">
        <v>1258.8264160000001</v>
      </c>
      <c r="K2031">
        <v>2750</v>
      </c>
      <c r="L2031">
        <v>0</v>
      </c>
      <c r="M2031">
        <v>0</v>
      </c>
      <c r="N2031">
        <v>2750</v>
      </c>
    </row>
    <row r="2032" spans="1:14" x14ac:dyDescent="0.25">
      <c r="A2032">
        <v>1534.5144720000001</v>
      </c>
      <c r="B2032" s="1">
        <f>DATE(2014,7,13) + TIME(12,20,50)</f>
        <v>41833.514467592591</v>
      </c>
      <c r="C2032">
        <v>80</v>
      </c>
      <c r="D2032">
        <v>79.966445922999995</v>
      </c>
      <c r="E2032">
        <v>50</v>
      </c>
      <c r="F2032">
        <v>46.349475861000002</v>
      </c>
      <c r="G2032">
        <v>1387.7366943</v>
      </c>
      <c r="H2032">
        <v>1372.1827393000001</v>
      </c>
      <c r="I2032">
        <v>1281.2835693</v>
      </c>
      <c r="J2032">
        <v>1258.7537841999999</v>
      </c>
      <c r="K2032">
        <v>2750</v>
      </c>
      <c r="L2032">
        <v>0</v>
      </c>
      <c r="M2032">
        <v>0</v>
      </c>
      <c r="N2032">
        <v>2750</v>
      </c>
    </row>
    <row r="2033" spans="1:14" x14ac:dyDescent="0.25">
      <c r="A2033">
        <v>1535.8533480000001</v>
      </c>
      <c r="B2033" s="1">
        <f>DATE(2014,7,14) + TIME(20,28,49)</f>
        <v>41834.853344907409</v>
      </c>
      <c r="C2033">
        <v>80</v>
      </c>
      <c r="D2033">
        <v>79.966453552000004</v>
      </c>
      <c r="E2033">
        <v>50</v>
      </c>
      <c r="F2033">
        <v>46.293304442999997</v>
      </c>
      <c r="G2033">
        <v>1387.6774902</v>
      </c>
      <c r="H2033">
        <v>1372.1329346</v>
      </c>
      <c r="I2033">
        <v>1281.2336425999999</v>
      </c>
      <c r="J2033">
        <v>1258.6791992000001</v>
      </c>
      <c r="K2033">
        <v>2750</v>
      </c>
      <c r="L2033">
        <v>0</v>
      </c>
      <c r="M2033">
        <v>0</v>
      </c>
      <c r="N2033">
        <v>2750</v>
      </c>
    </row>
    <row r="2034" spans="1:14" x14ac:dyDescent="0.25">
      <c r="A2034">
        <v>1537.2096879999999</v>
      </c>
      <c r="B2034" s="1">
        <f>DATE(2014,7,16) + TIME(5,1,57)</f>
        <v>41836.209687499999</v>
      </c>
      <c r="C2034">
        <v>80</v>
      </c>
      <c r="D2034">
        <v>79.966461182000003</v>
      </c>
      <c r="E2034">
        <v>50</v>
      </c>
      <c r="F2034">
        <v>46.236656189000001</v>
      </c>
      <c r="G2034">
        <v>1387.6185303</v>
      </c>
      <c r="H2034">
        <v>1372.0832519999999</v>
      </c>
      <c r="I2034">
        <v>1281.1823730000001</v>
      </c>
      <c r="J2034">
        <v>1258.6024170000001</v>
      </c>
      <c r="K2034">
        <v>2750</v>
      </c>
      <c r="L2034">
        <v>0</v>
      </c>
      <c r="M2034">
        <v>0</v>
      </c>
      <c r="N2034">
        <v>2750</v>
      </c>
    </row>
    <row r="2035" spans="1:14" x14ac:dyDescent="0.25">
      <c r="A2035">
        <v>1538.5876539999999</v>
      </c>
      <c r="B2035" s="1">
        <f>DATE(2014,7,17) + TIME(14,6,13)</f>
        <v>41837.587650462963</v>
      </c>
      <c r="C2035">
        <v>80</v>
      </c>
      <c r="D2035">
        <v>79.966476439999994</v>
      </c>
      <c r="E2035">
        <v>50</v>
      </c>
      <c r="F2035">
        <v>46.179389954000001</v>
      </c>
      <c r="G2035">
        <v>1387.5594481999999</v>
      </c>
      <c r="H2035">
        <v>1372.0334473</v>
      </c>
      <c r="I2035">
        <v>1281.1297606999999</v>
      </c>
      <c r="J2035">
        <v>1258.5231934000001</v>
      </c>
      <c r="K2035">
        <v>2750</v>
      </c>
      <c r="L2035">
        <v>0</v>
      </c>
      <c r="M2035">
        <v>0</v>
      </c>
      <c r="N2035">
        <v>2750</v>
      </c>
    </row>
    <row r="2036" spans="1:14" x14ac:dyDescent="0.25">
      <c r="A2036">
        <v>1539.980245</v>
      </c>
      <c r="B2036" s="1">
        <f>DATE(2014,7,18) + TIME(23,31,33)</f>
        <v>41838.980243055557</v>
      </c>
      <c r="C2036">
        <v>80</v>
      </c>
      <c r="D2036">
        <v>79.966484070000007</v>
      </c>
      <c r="E2036">
        <v>50</v>
      </c>
      <c r="F2036">
        <v>46.121513366999999</v>
      </c>
      <c r="G2036">
        <v>1387.5001221</v>
      </c>
      <c r="H2036">
        <v>1371.9832764</v>
      </c>
      <c r="I2036">
        <v>1281.0754394999999</v>
      </c>
      <c r="J2036">
        <v>1258.4412841999999</v>
      </c>
      <c r="K2036">
        <v>2750</v>
      </c>
      <c r="L2036">
        <v>0</v>
      </c>
      <c r="M2036">
        <v>0</v>
      </c>
      <c r="N2036">
        <v>2750</v>
      </c>
    </row>
    <row r="2037" spans="1:14" x14ac:dyDescent="0.25">
      <c r="A2037">
        <v>1541.391689</v>
      </c>
      <c r="B2037" s="1">
        <f>DATE(2014,7,20) + TIME(9,24,1)</f>
        <v>41840.39167824074</v>
      </c>
      <c r="C2037">
        <v>80</v>
      </c>
      <c r="D2037">
        <v>79.966491699000002</v>
      </c>
      <c r="E2037">
        <v>50</v>
      </c>
      <c r="F2037">
        <v>46.063064574999999</v>
      </c>
      <c r="G2037">
        <v>1387.440918</v>
      </c>
      <c r="H2037">
        <v>1371.9332274999999</v>
      </c>
      <c r="I2037">
        <v>1281.0198975000001</v>
      </c>
      <c r="J2037">
        <v>1258.3569336</v>
      </c>
      <c r="K2037">
        <v>2750</v>
      </c>
      <c r="L2037">
        <v>0</v>
      </c>
      <c r="M2037">
        <v>0</v>
      </c>
      <c r="N2037">
        <v>2750</v>
      </c>
    </row>
    <row r="2038" spans="1:14" x14ac:dyDescent="0.25">
      <c r="A2038">
        <v>1542.8263460000001</v>
      </c>
      <c r="B2038" s="1">
        <f>DATE(2014,7,21) + TIME(19,49,56)</f>
        <v>41841.826342592591</v>
      </c>
      <c r="C2038">
        <v>80</v>
      </c>
      <c r="D2038">
        <v>79.966506957999997</v>
      </c>
      <c r="E2038">
        <v>50</v>
      </c>
      <c r="F2038">
        <v>46.003955841</v>
      </c>
      <c r="G2038">
        <v>1387.3815918</v>
      </c>
      <c r="H2038">
        <v>1371.8829346</v>
      </c>
      <c r="I2038">
        <v>1280.9627685999999</v>
      </c>
      <c r="J2038">
        <v>1258.2700195</v>
      </c>
      <c r="K2038">
        <v>2750</v>
      </c>
      <c r="L2038">
        <v>0</v>
      </c>
      <c r="M2038">
        <v>0</v>
      </c>
      <c r="N2038">
        <v>2750</v>
      </c>
    </row>
    <row r="2039" spans="1:14" x14ac:dyDescent="0.25">
      <c r="A2039">
        <v>1544.2888889999999</v>
      </c>
      <c r="B2039" s="1">
        <f>DATE(2014,7,23) + TIME(6,56,0)</f>
        <v>41843.288888888892</v>
      </c>
      <c r="C2039">
        <v>80</v>
      </c>
      <c r="D2039">
        <v>79.966514587000006</v>
      </c>
      <c r="E2039">
        <v>50</v>
      </c>
      <c r="F2039">
        <v>45.944057465</v>
      </c>
      <c r="G2039">
        <v>1387.3220214999999</v>
      </c>
      <c r="H2039">
        <v>1371.8323975000001</v>
      </c>
      <c r="I2039">
        <v>1280.9039307</v>
      </c>
      <c r="J2039">
        <v>1258.1800536999999</v>
      </c>
      <c r="K2039">
        <v>2750</v>
      </c>
      <c r="L2039">
        <v>0</v>
      </c>
      <c r="M2039">
        <v>0</v>
      </c>
      <c r="N2039">
        <v>2750</v>
      </c>
    </row>
    <row r="2040" spans="1:14" x14ac:dyDescent="0.25">
      <c r="A2040">
        <v>1545.7834829999999</v>
      </c>
      <c r="B2040" s="1">
        <f>DATE(2014,7,24) + TIME(18,48,12)</f>
        <v>41844.783472222225</v>
      </c>
      <c r="C2040">
        <v>80</v>
      </c>
      <c r="D2040">
        <v>79.966529846</v>
      </c>
      <c r="E2040">
        <v>50</v>
      </c>
      <c r="F2040">
        <v>45.883220672999997</v>
      </c>
      <c r="G2040">
        <v>1387.2619629000001</v>
      </c>
      <c r="H2040">
        <v>1371.7813721</v>
      </c>
      <c r="I2040">
        <v>1280.8431396000001</v>
      </c>
      <c r="J2040">
        <v>1258.0869141000001</v>
      </c>
      <c r="K2040">
        <v>2750</v>
      </c>
      <c r="L2040">
        <v>0</v>
      </c>
      <c r="M2040">
        <v>0</v>
      </c>
      <c r="N2040">
        <v>2750</v>
      </c>
    </row>
    <row r="2041" spans="1:14" x14ac:dyDescent="0.25">
      <c r="A2041">
        <v>1547.2869330000001</v>
      </c>
      <c r="B2041" s="1">
        <f>DATE(2014,7,26) + TIME(6,53,10)</f>
        <v>41846.286921296298</v>
      </c>
      <c r="C2041">
        <v>80</v>
      </c>
      <c r="D2041">
        <v>79.966537475999999</v>
      </c>
      <c r="E2041">
        <v>50</v>
      </c>
      <c r="F2041">
        <v>45.821685791</v>
      </c>
      <c r="G2041">
        <v>1387.2012939000001</v>
      </c>
      <c r="H2041">
        <v>1371.7297363</v>
      </c>
      <c r="I2041">
        <v>1280.7802733999999</v>
      </c>
      <c r="J2041">
        <v>1257.9902344</v>
      </c>
      <c r="K2041">
        <v>2750</v>
      </c>
      <c r="L2041">
        <v>0</v>
      </c>
      <c r="M2041">
        <v>0</v>
      </c>
      <c r="N2041">
        <v>2750</v>
      </c>
    </row>
    <row r="2042" spans="1:14" x14ac:dyDescent="0.25">
      <c r="A2042">
        <v>1548.8040960000001</v>
      </c>
      <c r="B2042" s="1">
        <f>DATE(2014,7,27) + TIME(19,17,53)</f>
        <v>41847.804085648146</v>
      </c>
      <c r="C2042">
        <v>80</v>
      </c>
      <c r="D2042">
        <v>79.966552734000004</v>
      </c>
      <c r="E2042">
        <v>50</v>
      </c>
      <c r="F2042">
        <v>45.759799956999998</v>
      </c>
      <c r="G2042">
        <v>1387.1411132999999</v>
      </c>
      <c r="H2042">
        <v>1371.6783447</v>
      </c>
      <c r="I2042">
        <v>1280.7163086</v>
      </c>
      <c r="J2042">
        <v>1257.8912353999999</v>
      </c>
      <c r="K2042">
        <v>2750</v>
      </c>
      <c r="L2042">
        <v>0</v>
      </c>
      <c r="M2042">
        <v>0</v>
      </c>
      <c r="N2042">
        <v>2750</v>
      </c>
    </row>
    <row r="2043" spans="1:14" x14ac:dyDescent="0.25">
      <c r="A2043">
        <v>1550.3327360000001</v>
      </c>
      <c r="B2043" s="1">
        <f>DATE(2014,7,29) + TIME(7,59,8)</f>
        <v>41849.332731481481</v>
      </c>
      <c r="C2043">
        <v>80</v>
      </c>
      <c r="D2043">
        <v>79.966560364000003</v>
      </c>
      <c r="E2043">
        <v>50</v>
      </c>
      <c r="F2043">
        <v>45.697677612</v>
      </c>
      <c r="G2043">
        <v>1387.0809326000001</v>
      </c>
      <c r="H2043">
        <v>1371.6269531</v>
      </c>
      <c r="I2043">
        <v>1280.6508789</v>
      </c>
      <c r="J2043">
        <v>1257.7899170000001</v>
      </c>
      <c r="K2043">
        <v>2750</v>
      </c>
      <c r="L2043">
        <v>0</v>
      </c>
      <c r="M2043">
        <v>0</v>
      </c>
      <c r="N2043">
        <v>2750</v>
      </c>
    </row>
    <row r="2044" spans="1:14" x14ac:dyDescent="0.25">
      <c r="A2044">
        <v>1551.8730419999999</v>
      </c>
      <c r="B2044" s="1">
        <f>DATE(2014,7,30) + TIME(20,57,10)</f>
        <v>41850.873032407406</v>
      </c>
      <c r="C2044">
        <v>80</v>
      </c>
      <c r="D2044">
        <v>79.966575622999997</v>
      </c>
      <c r="E2044">
        <v>50</v>
      </c>
      <c r="F2044">
        <v>45.635414124</v>
      </c>
      <c r="G2044">
        <v>1387.0209961</v>
      </c>
      <c r="H2044">
        <v>1371.5756836</v>
      </c>
      <c r="I2044">
        <v>1280.5842285000001</v>
      </c>
      <c r="J2044">
        <v>1257.6861572</v>
      </c>
      <c r="K2044">
        <v>2750</v>
      </c>
      <c r="L2044">
        <v>0</v>
      </c>
      <c r="M2044">
        <v>0</v>
      </c>
      <c r="N2044">
        <v>2750</v>
      </c>
    </row>
    <row r="2045" spans="1:14" x14ac:dyDescent="0.25">
      <c r="A2045">
        <v>1553</v>
      </c>
      <c r="B2045" s="1">
        <f>DATE(2014,8,1) + TIME(0,0,0)</f>
        <v>41852</v>
      </c>
      <c r="C2045">
        <v>80</v>
      </c>
      <c r="D2045">
        <v>79.966583252000007</v>
      </c>
      <c r="E2045">
        <v>50</v>
      </c>
      <c r="F2045">
        <v>45.579936981000003</v>
      </c>
      <c r="G2045">
        <v>1386.9611815999999</v>
      </c>
      <c r="H2045">
        <v>1371.5245361</v>
      </c>
      <c r="I2045">
        <v>1280.5170897999999</v>
      </c>
      <c r="J2045">
        <v>1257.5838623</v>
      </c>
      <c r="K2045">
        <v>2750</v>
      </c>
      <c r="L2045">
        <v>0</v>
      </c>
      <c r="M2045">
        <v>0</v>
      </c>
      <c r="N2045">
        <v>2750</v>
      </c>
    </row>
    <row r="2046" spans="1:14" x14ac:dyDescent="0.25">
      <c r="A2046">
        <v>1554.556527</v>
      </c>
      <c r="B2046" s="1">
        <f>DATE(2014,8,2) + TIME(13,21,23)</f>
        <v>41853.556516203702</v>
      </c>
      <c r="C2046">
        <v>80</v>
      </c>
      <c r="D2046">
        <v>79.966598511000001</v>
      </c>
      <c r="E2046">
        <v>50</v>
      </c>
      <c r="F2046">
        <v>45.524459839000002</v>
      </c>
      <c r="G2046">
        <v>1386.9178466999999</v>
      </c>
      <c r="H2046">
        <v>1371.4873047000001</v>
      </c>
      <c r="I2046">
        <v>1280.465332</v>
      </c>
      <c r="J2046">
        <v>1257.4986572</v>
      </c>
      <c r="K2046">
        <v>2750</v>
      </c>
      <c r="L2046">
        <v>0</v>
      </c>
      <c r="M2046">
        <v>0</v>
      </c>
      <c r="N2046">
        <v>2750</v>
      </c>
    </row>
    <row r="2047" spans="1:14" x14ac:dyDescent="0.25">
      <c r="A2047">
        <v>1556.1525839999999</v>
      </c>
      <c r="B2047" s="1">
        <f>DATE(2014,8,4) + TIME(3,39,43)</f>
        <v>41855.152581018519</v>
      </c>
      <c r="C2047">
        <v>80</v>
      </c>
      <c r="D2047">
        <v>79.966613769999995</v>
      </c>
      <c r="E2047">
        <v>50</v>
      </c>
      <c r="F2047">
        <v>45.464126587000003</v>
      </c>
      <c r="G2047">
        <v>1386.8587646000001</v>
      </c>
      <c r="H2047">
        <v>1371.4365233999999</v>
      </c>
      <c r="I2047">
        <v>1280.3963623</v>
      </c>
      <c r="J2047">
        <v>1257.3909911999999</v>
      </c>
      <c r="K2047">
        <v>2750</v>
      </c>
      <c r="L2047">
        <v>0</v>
      </c>
      <c r="M2047">
        <v>0</v>
      </c>
      <c r="N2047">
        <v>2750</v>
      </c>
    </row>
    <row r="2048" spans="1:14" x14ac:dyDescent="0.25">
      <c r="A2048">
        <v>1557.7780270000001</v>
      </c>
      <c r="B2048" s="1">
        <f>DATE(2014,8,5) + TIME(18,40,21)</f>
        <v>41856.778020833335</v>
      </c>
      <c r="C2048">
        <v>80</v>
      </c>
      <c r="D2048">
        <v>79.966629028</v>
      </c>
      <c r="E2048">
        <v>50</v>
      </c>
      <c r="F2048">
        <v>45.401660919000001</v>
      </c>
      <c r="G2048">
        <v>1386.7987060999999</v>
      </c>
      <c r="H2048">
        <v>1371.3848877</v>
      </c>
      <c r="I2048">
        <v>1280.324707</v>
      </c>
      <c r="J2048">
        <v>1257.2780762</v>
      </c>
      <c r="K2048">
        <v>2750</v>
      </c>
      <c r="L2048">
        <v>0</v>
      </c>
      <c r="M2048">
        <v>0</v>
      </c>
      <c r="N2048">
        <v>2750</v>
      </c>
    </row>
    <row r="2049" spans="1:14" x14ac:dyDescent="0.25">
      <c r="A2049">
        <v>1559.438682</v>
      </c>
      <c r="B2049" s="1">
        <f>DATE(2014,8,7) + TIME(10,31,42)</f>
        <v>41858.438680555555</v>
      </c>
      <c r="C2049">
        <v>80</v>
      </c>
      <c r="D2049">
        <v>79.966644286999994</v>
      </c>
      <c r="E2049">
        <v>50</v>
      </c>
      <c r="F2049">
        <v>45.338111877000003</v>
      </c>
      <c r="G2049">
        <v>1386.7381591999999</v>
      </c>
      <c r="H2049">
        <v>1371.3327637</v>
      </c>
      <c r="I2049">
        <v>1280.2509766000001</v>
      </c>
      <c r="J2049">
        <v>1257.1612548999999</v>
      </c>
      <c r="K2049">
        <v>2750</v>
      </c>
      <c r="L2049">
        <v>0</v>
      </c>
      <c r="M2049">
        <v>0</v>
      </c>
      <c r="N2049">
        <v>2750</v>
      </c>
    </row>
    <row r="2050" spans="1:14" x14ac:dyDescent="0.25">
      <c r="A2050">
        <v>1561.1380899999999</v>
      </c>
      <c r="B2050" s="1">
        <f>DATE(2014,8,9) + TIME(3,18,50)</f>
        <v>41860.138078703705</v>
      </c>
      <c r="C2050">
        <v>80</v>
      </c>
      <c r="D2050">
        <v>79.966659546000002</v>
      </c>
      <c r="E2050">
        <v>50</v>
      </c>
      <c r="F2050">
        <v>45.273765564000001</v>
      </c>
      <c r="G2050">
        <v>1386.6770019999999</v>
      </c>
      <c r="H2050">
        <v>1371.2799072</v>
      </c>
      <c r="I2050">
        <v>1280.1750488</v>
      </c>
      <c r="J2050">
        <v>1257.0405272999999</v>
      </c>
      <c r="K2050">
        <v>2750</v>
      </c>
      <c r="L2050">
        <v>0</v>
      </c>
      <c r="M2050">
        <v>0</v>
      </c>
      <c r="N2050">
        <v>2750</v>
      </c>
    </row>
    <row r="2051" spans="1:14" x14ac:dyDescent="0.25">
      <c r="A2051">
        <v>1562.8410759999999</v>
      </c>
      <c r="B2051" s="1">
        <f>DATE(2014,8,10) + TIME(20,11,8)</f>
        <v>41861.841064814813</v>
      </c>
      <c r="C2051">
        <v>80</v>
      </c>
      <c r="D2051">
        <v>79.966674804999997</v>
      </c>
      <c r="E2051">
        <v>50</v>
      </c>
      <c r="F2051">
        <v>45.209167479999998</v>
      </c>
      <c r="G2051">
        <v>1386.6149902</v>
      </c>
      <c r="H2051">
        <v>1371.2264404</v>
      </c>
      <c r="I2051">
        <v>1280.0969238</v>
      </c>
      <c r="J2051">
        <v>1256.9158935999999</v>
      </c>
      <c r="K2051">
        <v>2750</v>
      </c>
      <c r="L2051">
        <v>0</v>
      </c>
      <c r="M2051">
        <v>0</v>
      </c>
      <c r="N2051">
        <v>2750</v>
      </c>
    </row>
    <row r="2052" spans="1:14" x14ac:dyDescent="0.25">
      <c r="A2052">
        <v>1564.5511059999999</v>
      </c>
      <c r="B2052" s="1">
        <f>DATE(2014,8,12) + TIME(13,13,35)</f>
        <v>41863.551099537035</v>
      </c>
      <c r="C2052">
        <v>80</v>
      </c>
      <c r="D2052">
        <v>79.966690063000001</v>
      </c>
      <c r="E2052">
        <v>50</v>
      </c>
      <c r="F2052">
        <v>45.145034789999997</v>
      </c>
      <c r="G2052">
        <v>1386.5535889</v>
      </c>
      <c r="H2052">
        <v>1371.1732178</v>
      </c>
      <c r="I2052">
        <v>1280.0180664</v>
      </c>
      <c r="J2052">
        <v>1256.7896728999999</v>
      </c>
      <c r="K2052">
        <v>2750</v>
      </c>
      <c r="L2052">
        <v>0</v>
      </c>
      <c r="M2052">
        <v>0</v>
      </c>
      <c r="N2052">
        <v>2750</v>
      </c>
    </row>
    <row r="2053" spans="1:14" x14ac:dyDescent="0.25">
      <c r="A2053">
        <v>1566.273261</v>
      </c>
      <c r="B2053" s="1">
        <f>DATE(2014,8,14) + TIME(6,33,29)</f>
        <v>41865.273252314815</v>
      </c>
      <c r="C2053">
        <v>80</v>
      </c>
      <c r="D2053">
        <v>79.966705321999996</v>
      </c>
      <c r="E2053">
        <v>50</v>
      </c>
      <c r="F2053">
        <v>45.081573486000003</v>
      </c>
      <c r="G2053">
        <v>1386.4925536999999</v>
      </c>
      <c r="H2053">
        <v>1371.1202393000001</v>
      </c>
      <c r="I2053">
        <v>1279.9385986</v>
      </c>
      <c r="J2053">
        <v>1256.6618652</v>
      </c>
      <c r="K2053">
        <v>2750</v>
      </c>
      <c r="L2053">
        <v>0</v>
      </c>
      <c r="M2053">
        <v>0</v>
      </c>
      <c r="N2053">
        <v>2750</v>
      </c>
    </row>
    <row r="2054" spans="1:14" x14ac:dyDescent="0.25">
      <c r="A2054">
        <v>1568.0126849999999</v>
      </c>
      <c r="B2054" s="1">
        <f>DATE(2014,8,16) + TIME(0,18,16)</f>
        <v>41867.012685185182</v>
      </c>
      <c r="C2054">
        <v>80</v>
      </c>
      <c r="D2054">
        <v>79.966728209999999</v>
      </c>
      <c r="E2054">
        <v>50</v>
      </c>
      <c r="F2054">
        <v>45.018791198999999</v>
      </c>
      <c r="G2054">
        <v>1386.4317627</v>
      </c>
      <c r="H2054">
        <v>1371.0673827999999</v>
      </c>
      <c r="I2054">
        <v>1279.8582764</v>
      </c>
      <c r="J2054">
        <v>1256.5322266000001</v>
      </c>
      <c r="K2054">
        <v>2750</v>
      </c>
      <c r="L2054">
        <v>0</v>
      </c>
      <c r="M2054">
        <v>0</v>
      </c>
      <c r="N2054">
        <v>2750</v>
      </c>
    </row>
    <row r="2055" spans="1:14" x14ac:dyDescent="0.25">
      <c r="A2055">
        <v>1569.7746930000001</v>
      </c>
      <c r="B2055" s="1">
        <f>DATE(2014,8,17) + TIME(18,35,33)</f>
        <v>41868.774687500001</v>
      </c>
      <c r="C2055">
        <v>80</v>
      </c>
      <c r="D2055">
        <v>79.966743468999994</v>
      </c>
      <c r="E2055">
        <v>50</v>
      </c>
      <c r="F2055">
        <v>44.956668854</v>
      </c>
      <c r="G2055">
        <v>1386.3708495999999</v>
      </c>
      <c r="H2055">
        <v>1371.0145264</v>
      </c>
      <c r="I2055">
        <v>1279.7770995999999</v>
      </c>
      <c r="J2055">
        <v>1256.4005127</v>
      </c>
      <c r="K2055">
        <v>2750</v>
      </c>
      <c r="L2055">
        <v>0</v>
      </c>
      <c r="M2055">
        <v>0</v>
      </c>
      <c r="N2055">
        <v>2750</v>
      </c>
    </row>
    <row r="2056" spans="1:14" x14ac:dyDescent="0.25">
      <c r="A2056">
        <v>1571.5648610000001</v>
      </c>
      <c r="B2056" s="1">
        <f>DATE(2014,8,19) + TIME(13,33,23)</f>
        <v>41870.564849537041</v>
      </c>
      <c r="C2056">
        <v>80</v>
      </c>
      <c r="D2056">
        <v>79.966758728000002</v>
      </c>
      <c r="E2056">
        <v>50</v>
      </c>
      <c r="F2056">
        <v>44.895195006999998</v>
      </c>
      <c r="G2056">
        <v>1386.3098144999999</v>
      </c>
      <c r="H2056">
        <v>1370.9613036999999</v>
      </c>
      <c r="I2056">
        <v>1279.6947021000001</v>
      </c>
      <c r="J2056">
        <v>1256.2666016000001</v>
      </c>
      <c r="K2056">
        <v>2750</v>
      </c>
      <c r="L2056">
        <v>0</v>
      </c>
      <c r="M2056">
        <v>0</v>
      </c>
      <c r="N2056">
        <v>2750</v>
      </c>
    </row>
    <row r="2057" spans="1:14" x14ac:dyDescent="0.25">
      <c r="A2057">
        <v>1573.389181</v>
      </c>
      <c r="B2057" s="1">
        <f>DATE(2014,8,21) + TIME(9,20,25)</f>
        <v>41872.389178240737</v>
      </c>
      <c r="C2057">
        <v>80</v>
      </c>
      <c r="D2057">
        <v>79.966781616000006</v>
      </c>
      <c r="E2057">
        <v>50</v>
      </c>
      <c r="F2057">
        <v>44.834354400999999</v>
      </c>
      <c r="G2057">
        <v>1386.2484131000001</v>
      </c>
      <c r="H2057">
        <v>1370.9077147999999</v>
      </c>
      <c r="I2057">
        <v>1279.6110839999999</v>
      </c>
      <c r="J2057">
        <v>1256.1301269999999</v>
      </c>
      <c r="K2057">
        <v>2750</v>
      </c>
      <c r="L2057">
        <v>0</v>
      </c>
      <c r="M2057">
        <v>0</v>
      </c>
      <c r="N2057">
        <v>2750</v>
      </c>
    </row>
    <row r="2058" spans="1:14" x14ac:dyDescent="0.25">
      <c r="A2058">
        <v>1575.2462049999999</v>
      </c>
      <c r="B2058" s="1">
        <f>DATE(2014,8,23) + TIME(5,54,32)</f>
        <v>41874.246203703704</v>
      </c>
      <c r="C2058">
        <v>80</v>
      </c>
      <c r="D2058">
        <v>79.966796875</v>
      </c>
      <c r="E2058">
        <v>50</v>
      </c>
      <c r="F2058">
        <v>44.774238586000003</v>
      </c>
      <c r="G2058">
        <v>1386.1865233999999</v>
      </c>
      <c r="H2058">
        <v>1370.8536377</v>
      </c>
      <c r="I2058">
        <v>1279.5261230000001</v>
      </c>
      <c r="J2058">
        <v>1255.9908447</v>
      </c>
      <c r="K2058">
        <v>2750</v>
      </c>
      <c r="L2058">
        <v>0</v>
      </c>
      <c r="M2058">
        <v>0</v>
      </c>
      <c r="N2058">
        <v>2750</v>
      </c>
    </row>
    <row r="2059" spans="1:14" x14ac:dyDescent="0.25">
      <c r="A2059">
        <v>1577.1295930000001</v>
      </c>
      <c r="B2059" s="1">
        <f>DATE(2014,8,25) + TIME(3,6,36)</f>
        <v>41876.129583333335</v>
      </c>
      <c r="C2059">
        <v>80</v>
      </c>
      <c r="D2059">
        <v>79.966819763000004</v>
      </c>
      <c r="E2059">
        <v>50</v>
      </c>
      <c r="F2059">
        <v>44.715141295999999</v>
      </c>
      <c r="G2059">
        <v>1386.1240233999999</v>
      </c>
      <c r="H2059">
        <v>1370.7989502</v>
      </c>
      <c r="I2059">
        <v>1279.4398193</v>
      </c>
      <c r="J2059">
        <v>1255.848999</v>
      </c>
      <c r="K2059">
        <v>2750</v>
      </c>
      <c r="L2059">
        <v>0</v>
      </c>
      <c r="M2059">
        <v>0</v>
      </c>
      <c r="N2059">
        <v>2750</v>
      </c>
    </row>
    <row r="2060" spans="1:14" x14ac:dyDescent="0.25">
      <c r="A2060">
        <v>1579.039364</v>
      </c>
      <c r="B2060" s="1">
        <f>DATE(2014,8,27) + TIME(0,56,41)</f>
        <v>41878.039363425924</v>
      </c>
      <c r="C2060">
        <v>80</v>
      </c>
      <c r="D2060">
        <v>79.966835021999998</v>
      </c>
      <c r="E2060">
        <v>50</v>
      </c>
      <c r="F2060">
        <v>44.657428740999997</v>
      </c>
      <c r="G2060">
        <v>1386.0612793</v>
      </c>
      <c r="H2060">
        <v>1370.7438964999999</v>
      </c>
      <c r="I2060">
        <v>1279.3526611</v>
      </c>
      <c r="J2060">
        <v>1255.7053223</v>
      </c>
      <c r="K2060">
        <v>2750</v>
      </c>
      <c r="L2060">
        <v>0</v>
      </c>
      <c r="M2060">
        <v>0</v>
      </c>
      <c r="N2060">
        <v>2750</v>
      </c>
    </row>
    <row r="2061" spans="1:14" x14ac:dyDescent="0.25">
      <c r="A2061">
        <v>1580.9585030000001</v>
      </c>
      <c r="B2061" s="1">
        <f>DATE(2014,8,28) + TIME(23,0,14)</f>
        <v>41879.958495370367</v>
      </c>
      <c r="C2061">
        <v>80</v>
      </c>
      <c r="D2061">
        <v>79.966857910000002</v>
      </c>
      <c r="E2061">
        <v>50</v>
      </c>
      <c r="F2061">
        <v>44.601547240999999</v>
      </c>
      <c r="G2061">
        <v>1385.9982910000001</v>
      </c>
      <c r="H2061">
        <v>1370.6885986</v>
      </c>
      <c r="I2061">
        <v>1279.2648925999999</v>
      </c>
      <c r="J2061">
        <v>1255.5601807</v>
      </c>
      <c r="K2061">
        <v>2750</v>
      </c>
      <c r="L2061">
        <v>0</v>
      </c>
      <c r="M2061">
        <v>0</v>
      </c>
      <c r="N2061">
        <v>2750</v>
      </c>
    </row>
    <row r="2062" spans="1:14" x14ac:dyDescent="0.25">
      <c r="A2062">
        <v>1582.892895</v>
      </c>
      <c r="B2062" s="1">
        <f>DATE(2014,8,30) + TIME(21,25,46)</f>
        <v>41881.892893518518</v>
      </c>
      <c r="C2062">
        <v>80</v>
      </c>
      <c r="D2062">
        <v>79.966880798000005</v>
      </c>
      <c r="E2062">
        <v>50</v>
      </c>
      <c r="F2062">
        <v>44.548000336000001</v>
      </c>
      <c r="G2062">
        <v>1385.9355469</v>
      </c>
      <c r="H2062">
        <v>1370.6334228999999</v>
      </c>
      <c r="I2062">
        <v>1279.1773682</v>
      </c>
      <c r="J2062">
        <v>1255.4147949000001</v>
      </c>
      <c r="K2062">
        <v>2750</v>
      </c>
      <c r="L2062">
        <v>0</v>
      </c>
      <c r="M2062">
        <v>0</v>
      </c>
      <c r="N2062">
        <v>2750</v>
      </c>
    </row>
    <row r="2063" spans="1:14" x14ac:dyDescent="0.25">
      <c r="A2063">
        <v>1584</v>
      </c>
      <c r="B2063" s="1">
        <f>DATE(2014,9,1) + TIME(0,0,0)</f>
        <v>41883</v>
      </c>
      <c r="C2063">
        <v>80</v>
      </c>
      <c r="D2063">
        <v>79.966888428000004</v>
      </c>
      <c r="E2063">
        <v>50</v>
      </c>
      <c r="F2063">
        <v>44.505901336999997</v>
      </c>
      <c r="G2063">
        <v>1385.8729248</v>
      </c>
      <c r="H2063">
        <v>1370.5782471</v>
      </c>
      <c r="I2063">
        <v>1279.0933838000001</v>
      </c>
      <c r="J2063">
        <v>1255.2783202999999</v>
      </c>
      <c r="K2063">
        <v>2750</v>
      </c>
      <c r="L2063">
        <v>0</v>
      </c>
      <c r="M2063">
        <v>0</v>
      </c>
      <c r="N2063">
        <v>2750</v>
      </c>
    </row>
    <row r="2064" spans="1:14" x14ac:dyDescent="0.25">
      <c r="A2064">
        <v>1585.955647</v>
      </c>
      <c r="B2064" s="1">
        <f>DATE(2014,9,2) + TIME(22,56,7)</f>
        <v>41884.955636574072</v>
      </c>
      <c r="C2064">
        <v>80</v>
      </c>
      <c r="D2064">
        <v>79.966911315999994</v>
      </c>
      <c r="E2064">
        <v>50</v>
      </c>
      <c r="F2064">
        <v>44.466094970999997</v>
      </c>
      <c r="G2064">
        <v>1385.8371582</v>
      </c>
      <c r="H2064">
        <v>1370.5466309000001</v>
      </c>
      <c r="I2064">
        <v>1279.0375977000001</v>
      </c>
      <c r="J2064">
        <v>1255.1801757999999</v>
      </c>
      <c r="K2064">
        <v>2750</v>
      </c>
      <c r="L2064">
        <v>0</v>
      </c>
      <c r="M2064">
        <v>0</v>
      </c>
      <c r="N2064">
        <v>2750</v>
      </c>
    </row>
    <row r="2065" spans="1:14" x14ac:dyDescent="0.25">
      <c r="A2065">
        <v>1587.9576730000001</v>
      </c>
      <c r="B2065" s="1">
        <f>DATE(2014,9,4) + TIME(22,59,2)</f>
        <v>41886.957662037035</v>
      </c>
      <c r="C2065">
        <v>80</v>
      </c>
      <c r="D2065">
        <v>79.966934203999998</v>
      </c>
      <c r="E2065">
        <v>50</v>
      </c>
      <c r="F2065">
        <v>44.422325133999998</v>
      </c>
      <c r="G2065">
        <v>1385.7749022999999</v>
      </c>
      <c r="H2065">
        <v>1370.4916992000001</v>
      </c>
      <c r="I2065">
        <v>1278.9530029</v>
      </c>
      <c r="J2065">
        <v>1255.0394286999999</v>
      </c>
      <c r="K2065">
        <v>2750</v>
      </c>
      <c r="L2065">
        <v>0</v>
      </c>
      <c r="M2065">
        <v>0</v>
      </c>
      <c r="N2065">
        <v>2750</v>
      </c>
    </row>
    <row r="2066" spans="1:14" x14ac:dyDescent="0.25">
      <c r="A2066">
        <v>1589.989562</v>
      </c>
      <c r="B2066" s="1">
        <f>DATE(2014,9,6) + TIME(23,44,58)</f>
        <v>41888.989560185182</v>
      </c>
      <c r="C2066">
        <v>80</v>
      </c>
      <c r="D2066">
        <v>79.966957092000001</v>
      </c>
      <c r="E2066">
        <v>50</v>
      </c>
      <c r="F2066">
        <v>44.379673003999997</v>
      </c>
      <c r="G2066">
        <v>1385.7115478999999</v>
      </c>
      <c r="H2066">
        <v>1370.4355469</v>
      </c>
      <c r="I2066">
        <v>1278.8662108999999</v>
      </c>
      <c r="J2066">
        <v>1254.8941649999999</v>
      </c>
      <c r="K2066">
        <v>2750</v>
      </c>
      <c r="L2066">
        <v>0</v>
      </c>
      <c r="M2066">
        <v>0</v>
      </c>
      <c r="N2066">
        <v>2750</v>
      </c>
    </row>
    <row r="2067" spans="1:14" x14ac:dyDescent="0.25">
      <c r="A2067">
        <v>1592.0446030000001</v>
      </c>
      <c r="B2067" s="1">
        <f>DATE(2014,9,9) + TIME(1,4,13)</f>
        <v>41891.044594907406</v>
      </c>
      <c r="C2067">
        <v>80</v>
      </c>
      <c r="D2067">
        <v>79.966979980000005</v>
      </c>
      <c r="E2067">
        <v>50</v>
      </c>
      <c r="F2067">
        <v>44.340133667000003</v>
      </c>
      <c r="G2067">
        <v>1385.6477050999999</v>
      </c>
      <c r="H2067">
        <v>1370.3791504000001</v>
      </c>
      <c r="I2067">
        <v>1278.7792969</v>
      </c>
      <c r="J2067">
        <v>1254.7478027</v>
      </c>
      <c r="K2067">
        <v>2750</v>
      </c>
      <c r="L2067">
        <v>0</v>
      </c>
      <c r="M2067">
        <v>0</v>
      </c>
      <c r="N2067">
        <v>2750</v>
      </c>
    </row>
    <row r="2068" spans="1:14" x14ac:dyDescent="0.25">
      <c r="A2068">
        <v>1594.1290509999999</v>
      </c>
      <c r="B2068" s="1">
        <f>DATE(2014,9,11) + TIME(3,5,50)</f>
        <v>41893.129050925927</v>
      </c>
      <c r="C2068">
        <v>80</v>
      </c>
      <c r="D2068">
        <v>79.967002868999998</v>
      </c>
      <c r="E2068">
        <v>50</v>
      </c>
      <c r="F2068">
        <v>44.304634094000001</v>
      </c>
      <c r="G2068">
        <v>1385.5838623</v>
      </c>
      <c r="H2068">
        <v>1370.3223877</v>
      </c>
      <c r="I2068">
        <v>1278.6928711</v>
      </c>
      <c r="J2068">
        <v>1254.6021728999999</v>
      </c>
      <c r="K2068">
        <v>2750</v>
      </c>
      <c r="L2068">
        <v>0</v>
      </c>
      <c r="M2068">
        <v>0</v>
      </c>
      <c r="N2068">
        <v>2750</v>
      </c>
    </row>
    <row r="2069" spans="1:14" x14ac:dyDescent="0.25">
      <c r="A2069">
        <v>1596.2494770000001</v>
      </c>
      <c r="B2069" s="1">
        <f>DATE(2014,9,13) + TIME(5,59,14)</f>
        <v>41895.249467592592</v>
      </c>
      <c r="C2069">
        <v>80</v>
      </c>
      <c r="D2069">
        <v>79.967025757000002</v>
      </c>
      <c r="E2069">
        <v>50</v>
      </c>
      <c r="F2069">
        <v>44.273746490000001</v>
      </c>
      <c r="G2069">
        <v>1385.5196533000001</v>
      </c>
      <c r="H2069">
        <v>1370.2652588000001</v>
      </c>
      <c r="I2069">
        <v>1278.6072998</v>
      </c>
      <c r="J2069">
        <v>1254.4572754000001</v>
      </c>
      <c r="K2069">
        <v>2750</v>
      </c>
      <c r="L2069">
        <v>0</v>
      </c>
      <c r="M2069">
        <v>0</v>
      </c>
      <c r="N2069">
        <v>2750</v>
      </c>
    </row>
    <row r="2070" spans="1:14" x14ac:dyDescent="0.25">
      <c r="A2070">
        <v>1598.3842569999999</v>
      </c>
      <c r="B2070" s="1">
        <f>DATE(2014,9,15) + TIME(9,13,19)</f>
        <v>41897.384247685186</v>
      </c>
      <c r="C2070">
        <v>80</v>
      </c>
      <c r="D2070">
        <v>79.967048645000006</v>
      </c>
      <c r="E2070">
        <v>50</v>
      </c>
      <c r="F2070">
        <v>44.248107910000002</v>
      </c>
      <c r="G2070">
        <v>1385.4548339999999</v>
      </c>
      <c r="H2070">
        <v>1370.2076416</v>
      </c>
      <c r="I2070">
        <v>1278.5224608999999</v>
      </c>
      <c r="J2070">
        <v>1254.3135986</v>
      </c>
      <c r="K2070">
        <v>2750</v>
      </c>
      <c r="L2070">
        <v>0</v>
      </c>
      <c r="M2070">
        <v>0</v>
      </c>
      <c r="N2070">
        <v>2750</v>
      </c>
    </row>
    <row r="2071" spans="1:14" x14ac:dyDescent="0.25">
      <c r="A2071">
        <v>1600.526429</v>
      </c>
      <c r="B2071" s="1">
        <f>DATE(2014,9,17) + TIME(12,38,3)</f>
        <v>41899.526423611111</v>
      </c>
      <c r="C2071">
        <v>80</v>
      </c>
      <c r="D2071">
        <v>79.967071532999995</v>
      </c>
      <c r="E2071">
        <v>50</v>
      </c>
      <c r="F2071">
        <v>44.228446959999999</v>
      </c>
      <c r="G2071">
        <v>1385.3901367000001</v>
      </c>
      <c r="H2071">
        <v>1370.1499022999999</v>
      </c>
      <c r="I2071">
        <v>1278.4394531</v>
      </c>
      <c r="J2071">
        <v>1254.1729736</v>
      </c>
      <c r="K2071">
        <v>2750</v>
      </c>
      <c r="L2071">
        <v>0</v>
      </c>
      <c r="M2071">
        <v>0</v>
      </c>
      <c r="N2071">
        <v>2750</v>
      </c>
    </row>
    <row r="2072" spans="1:14" x14ac:dyDescent="0.25">
      <c r="A2072">
        <v>1602.6844880000001</v>
      </c>
      <c r="B2072" s="1">
        <f>DATE(2014,9,19) + TIME(16,25,39)</f>
        <v>41901.684479166666</v>
      </c>
      <c r="C2072">
        <v>80</v>
      </c>
      <c r="D2072">
        <v>79.967102050999998</v>
      </c>
      <c r="E2072">
        <v>50</v>
      </c>
      <c r="F2072">
        <v>44.215335846000002</v>
      </c>
      <c r="G2072">
        <v>1385.3258057</v>
      </c>
      <c r="H2072">
        <v>1370.0925293</v>
      </c>
      <c r="I2072">
        <v>1278.3588867000001</v>
      </c>
      <c r="J2072">
        <v>1254.0361327999999</v>
      </c>
      <c r="K2072">
        <v>2750</v>
      </c>
      <c r="L2072">
        <v>0</v>
      </c>
      <c r="M2072">
        <v>0</v>
      </c>
      <c r="N2072">
        <v>2750</v>
      </c>
    </row>
    <row r="2073" spans="1:14" x14ac:dyDescent="0.25">
      <c r="A2073">
        <v>1604.866812</v>
      </c>
      <c r="B2073" s="1">
        <f>DATE(2014,9,21) + TIME(20,48,12)</f>
        <v>41903.866805555554</v>
      </c>
      <c r="C2073">
        <v>80</v>
      </c>
      <c r="D2073">
        <v>79.967124939000001</v>
      </c>
      <c r="E2073">
        <v>50</v>
      </c>
      <c r="F2073">
        <v>44.20929718</v>
      </c>
      <c r="G2073">
        <v>1385.2614745999999</v>
      </c>
      <c r="H2073">
        <v>1370.0350341999999</v>
      </c>
      <c r="I2073">
        <v>1278.2805175999999</v>
      </c>
      <c r="J2073">
        <v>1253.9031981999999</v>
      </c>
      <c r="K2073">
        <v>2750</v>
      </c>
      <c r="L2073">
        <v>0</v>
      </c>
      <c r="M2073">
        <v>0</v>
      </c>
      <c r="N2073">
        <v>2750</v>
      </c>
    </row>
    <row r="2074" spans="1:14" x14ac:dyDescent="0.25">
      <c r="A2074">
        <v>1607.0819289999999</v>
      </c>
      <c r="B2074" s="1">
        <f>DATE(2014,9,24) + TIME(1,57,58)</f>
        <v>41906.081921296296</v>
      </c>
      <c r="C2074">
        <v>80</v>
      </c>
      <c r="D2074">
        <v>79.967147827000005</v>
      </c>
      <c r="E2074">
        <v>50</v>
      </c>
      <c r="F2074">
        <v>44.210914612000003</v>
      </c>
      <c r="G2074">
        <v>1385.1970214999999</v>
      </c>
      <c r="H2074">
        <v>1369.9772949000001</v>
      </c>
      <c r="I2074">
        <v>1278.2044678</v>
      </c>
      <c r="J2074">
        <v>1253.7742920000001</v>
      </c>
      <c r="K2074">
        <v>2750</v>
      </c>
      <c r="L2074">
        <v>0</v>
      </c>
      <c r="M2074">
        <v>0</v>
      </c>
      <c r="N2074">
        <v>2750</v>
      </c>
    </row>
    <row r="2075" spans="1:14" x14ac:dyDescent="0.25">
      <c r="A2075">
        <v>1609.3387600000001</v>
      </c>
      <c r="B2075" s="1">
        <f>DATE(2014,9,26) + TIME(8,7,48)</f>
        <v>41908.338750000003</v>
      </c>
      <c r="C2075">
        <v>80</v>
      </c>
      <c r="D2075">
        <v>79.967178344999994</v>
      </c>
      <c r="E2075">
        <v>50</v>
      </c>
      <c r="F2075">
        <v>44.220909118999998</v>
      </c>
      <c r="G2075">
        <v>1385.1322021000001</v>
      </c>
      <c r="H2075">
        <v>1369.9190673999999</v>
      </c>
      <c r="I2075">
        <v>1278.1307373</v>
      </c>
      <c r="J2075">
        <v>1253.6495361</v>
      </c>
      <c r="K2075">
        <v>2750</v>
      </c>
      <c r="L2075">
        <v>0</v>
      </c>
      <c r="M2075">
        <v>0</v>
      </c>
      <c r="N2075">
        <v>2750</v>
      </c>
    </row>
    <row r="2076" spans="1:14" x14ac:dyDescent="0.25">
      <c r="A2076">
        <v>1611.637988</v>
      </c>
      <c r="B2076" s="1">
        <f>DATE(2014,9,28) + TIME(15,18,42)</f>
        <v>41910.637986111113</v>
      </c>
      <c r="C2076">
        <v>80</v>
      </c>
      <c r="D2076">
        <v>79.967201232999997</v>
      </c>
      <c r="E2076">
        <v>50</v>
      </c>
      <c r="F2076">
        <v>44.240119933999999</v>
      </c>
      <c r="G2076">
        <v>1385.0666504000001</v>
      </c>
      <c r="H2076">
        <v>1369.8602295000001</v>
      </c>
      <c r="I2076">
        <v>1278.0593262</v>
      </c>
      <c r="J2076">
        <v>1253.5292969</v>
      </c>
      <c r="K2076">
        <v>2750</v>
      </c>
      <c r="L2076">
        <v>0</v>
      </c>
      <c r="M2076">
        <v>0</v>
      </c>
      <c r="N2076">
        <v>2750</v>
      </c>
    </row>
    <row r="2077" spans="1:14" x14ac:dyDescent="0.25">
      <c r="A2077">
        <v>1612.818994</v>
      </c>
      <c r="B2077" s="1">
        <f>DATE(2014,9,29) + TIME(19,39,21)</f>
        <v>41911.818993055553</v>
      </c>
      <c r="C2077">
        <v>80</v>
      </c>
      <c r="D2077">
        <v>79.967208862000007</v>
      </c>
      <c r="E2077">
        <v>50</v>
      </c>
      <c r="F2077">
        <v>44.263980865000001</v>
      </c>
      <c r="G2077">
        <v>1385.0006103999999</v>
      </c>
      <c r="H2077">
        <v>1369.8007812000001</v>
      </c>
      <c r="I2077">
        <v>1277.9975586</v>
      </c>
      <c r="J2077">
        <v>1253.4232178</v>
      </c>
      <c r="K2077">
        <v>2750</v>
      </c>
      <c r="L2077">
        <v>0</v>
      </c>
      <c r="M2077">
        <v>0</v>
      </c>
      <c r="N2077">
        <v>2750</v>
      </c>
    </row>
    <row r="2078" spans="1:14" x14ac:dyDescent="0.25">
      <c r="A2078">
        <v>1614</v>
      </c>
      <c r="B2078" s="1">
        <f>DATE(2014,10,1) + TIME(0,0,0)</f>
        <v>41913</v>
      </c>
      <c r="C2078">
        <v>80</v>
      </c>
      <c r="D2078">
        <v>79.967224121000001</v>
      </c>
      <c r="E2078">
        <v>50</v>
      </c>
      <c r="F2078">
        <v>44.286602019999997</v>
      </c>
      <c r="G2078">
        <v>1384.9664307</v>
      </c>
      <c r="H2078">
        <v>1369.7698975000001</v>
      </c>
      <c r="I2078">
        <v>1277.9592285000001</v>
      </c>
      <c r="J2078">
        <v>1253.3608397999999</v>
      </c>
      <c r="K2078">
        <v>2750</v>
      </c>
      <c r="L2078">
        <v>0</v>
      </c>
      <c r="M2078">
        <v>0</v>
      </c>
      <c r="N2078">
        <v>2750</v>
      </c>
    </row>
    <row r="2079" spans="1:14" x14ac:dyDescent="0.25">
      <c r="A2079">
        <v>1615.181006</v>
      </c>
      <c r="B2079" s="1">
        <f>DATE(2014,10,2) + TIME(4,20,38)</f>
        <v>41914.180995370371</v>
      </c>
      <c r="C2079">
        <v>80</v>
      </c>
      <c r="D2079">
        <v>79.967239379999995</v>
      </c>
      <c r="E2079">
        <v>50</v>
      </c>
      <c r="F2079">
        <v>44.310482024999999</v>
      </c>
      <c r="G2079">
        <v>1384.9328613</v>
      </c>
      <c r="H2079">
        <v>1369.739624</v>
      </c>
      <c r="I2079">
        <v>1277.925293</v>
      </c>
      <c r="J2079">
        <v>1253.3051757999999</v>
      </c>
      <c r="K2079">
        <v>2750</v>
      </c>
      <c r="L2079">
        <v>0</v>
      </c>
      <c r="M2079">
        <v>0</v>
      </c>
      <c r="N2079">
        <v>2750</v>
      </c>
    </row>
    <row r="2080" spans="1:14" x14ac:dyDescent="0.25">
      <c r="A2080">
        <v>1616.362012</v>
      </c>
      <c r="B2080" s="1">
        <f>DATE(2014,10,3) + TIME(8,41,17)</f>
        <v>41915.362002314818</v>
      </c>
      <c r="C2080">
        <v>80</v>
      </c>
      <c r="D2080">
        <v>79.967254639000004</v>
      </c>
      <c r="E2080">
        <v>50</v>
      </c>
      <c r="F2080">
        <v>44.336597443000002</v>
      </c>
      <c r="G2080">
        <v>1384.8994141000001</v>
      </c>
      <c r="H2080">
        <v>1369.7094727000001</v>
      </c>
      <c r="I2080">
        <v>1277.8936768000001</v>
      </c>
      <c r="J2080">
        <v>1253.2532959</v>
      </c>
      <c r="K2080">
        <v>2750</v>
      </c>
      <c r="L2080">
        <v>0</v>
      </c>
      <c r="M2080">
        <v>0</v>
      </c>
      <c r="N2080">
        <v>2750</v>
      </c>
    </row>
    <row r="2081" spans="1:14" x14ac:dyDescent="0.25">
      <c r="A2081">
        <v>1618.724025</v>
      </c>
      <c r="B2081" s="1">
        <f>DATE(2014,10,5) + TIME(17,22,35)</f>
        <v>41917.724016203705</v>
      </c>
      <c r="C2081">
        <v>80</v>
      </c>
      <c r="D2081">
        <v>79.967285156000003</v>
      </c>
      <c r="E2081">
        <v>50</v>
      </c>
      <c r="F2081">
        <v>44.372039794999999</v>
      </c>
      <c r="G2081">
        <v>1384.8662108999999</v>
      </c>
      <c r="H2081">
        <v>1369.6794434000001</v>
      </c>
      <c r="I2081">
        <v>1277.8588867000001</v>
      </c>
      <c r="J2081">
        <v>1253.1994629000001</v>
      </c>
      <c r="K2081">
        <v>2750</v>
      </c>
      <c r="L2081">
        <v>0</v>
      </c>
      <c r="M2081">
        <v>0</v>
      </c>
      <c r="N2081">
        <v>2750</v>
      </c>
    </row>
    <row r="2082" spans="1:14" x14ac:dyDescent="0.25">
      <c r="A2082">
        <v>1621.0967929999999</v>
      </c>
      <c r="B2082" s="1">
        <f>DATE(2014,10,8) + TIME(2,19,22)</f>
        <v>41920.096782407411</v>
      </c>
      <c r="C2082">
        <v>80</v>
      </c>
      <c r="D2082">
        <v>79.967315674000005</v>
      </c>
      <c r="E2082">
        <v>50</v>
      </c>
      <c r="F2082">
        <v>44.431507111000002</v>
      </c>
      <c r="G2082">
        <v>1384.800293</v>
      </c>
      <c r="H2082">
        <v>1369.6198730000001</v>
      </c>
      <c r="I2082">
        <v>1277.8061522999999</v>
      </c>
      <c r="J2082">
        <v>1253.1123047000001</v>
      </c>
      <c r="K2082">
        <v>2750</v>
      </c>
      <c r="L2082">
        <v>0</v>
      </c>
      <c r="M2082">
        <v>0</v>
      </c>
      <c r="N2082">
        <v>2750</v>
      </c>
    </row>
    <row r="2083" spans="1:14" x14ac:dyDescent="0.25">
      <c r="A2083">
        <v>1623.52233</v>
      </c>
      <c r="B2083" s="1">
        <f>DATE(2014,10,10) + TIME(12,32,9)</f>
        <v>41922.522326388891</v>
      </c>
      <c r="C2083">
        <v>80</v>
      </c>
      <c r="D2083">
        <v>79.967346191000004</v>
      </c>
      <c r="E2083">
        <v>50</v>
      </c>
      <c r="F2083">
        <v>44.506286621000001</v>
      </c>
      <c r="G2083">
        <v>1384.734375</v>
      </c>
      <c r="H2083">
        <v>1369.5603027</v>
      </c>
      <c r="I2083">
        <v>1277.7542725000001</v>
      </c>
      <c r="J2083">
        <v>1253.0299072</v>
      </c>
      <c r="K2083">
        <v>2750</v>
      </c>
      <c r="L2083">
        <v>0</v>
      </c>
      <c r="M2083">
        <v>0</v>
      </c>
      <c r="N2083">
        <v>2750</v>
      </c>
    </row>
    <row r="2084" spans="1:14" x14ac:dyDescent="0.25">
      <c r="A2084">
        <v>1625.9587730000001</v>
      </c>
      <c r="B2084" s="1">
        <f>DATE(2014,10,12) + TIME(23,0,37)</f>
        <v>41924.958761574075</v>
      </c>
      <c r="C2084">
        <v>80</v>
      </c>
      <c r="D2084">
        <v>79.967369079999997</v>
      </c>
      <c r="E2084">
        <v>50</v>
      </c>
      <c r="F2084">
        <v>44.5950737</v>
      </c>
      <c r="G2084">
        <v>1384.6677245999999</v>
      </c>
      <c r="H2084">
        <v>1369.5</v>
      </c>
      <c r="I2084">
        <v>1277.7056885</v>
      </c>
      <c r="J2084">
        <v>1252.9547118999999</v>
      </c>
      <c r="K2084">
        <v>2750</v>
      </c>
      <c r="L2084">
        <v>0</v>
      </c>
      <c r="M2084">
        <v>0</v>
      </c>
      <c r="N2084">
        <v>2750</v>
      </c>
    </row>
    <row r="2085" spans="1:14" x14ac:dyDescent="0.25">
      <c r="A2085">
        <v>1628.4026160000001</v>
      </c>
      <c r="B2085" s="1">
        <f>DATE(2014,10,15) + TIME(9,39,46)</f>
        <v>41927.402615740742</v>
      </c>
      <c r="C2085">
        <v>80</v>
      </c>
      <c r="D2085">
        <v>79.967399596999996</v>
      </c>
      <c r="E2085">
        <v>50</v>
      </c>
      <c r="F2085">
        <v>44.696861267000003</v>
      </c>
      <c r="G2085">
        <v>1384.6014404</v>
      </c>
      <c r="H2085">
        <v>1369.4398193</v>
      </c>
      <c r="I2085">
        <v>1277.661499</v>
      </c>
      <c r="J2085">
        <v>1252.8889160000001</v>
      </c>
      <c r="K2085">
        <v>2750</v>
      </c>
      <c r="L2085">
        <v>0</v>
      </c>
      <c r="M2085">
        <v>0</v>
      </c>
      <c r="N2085">
        <v>2750</v>
      </c>
    </row>
    <row r="2086" spans="1:14" x14ac:dyDescent="0.25">
      <c r="A2086">
        <v>1630.8715050000001</v>
      </c>
      <c r="B2086" s="1">
        <f>DATE(2014,10,17) + TIME(20,54,58)</f>
        <v>41929.871504629627</v>
      </c>
      <c r="C2086">
        <v>80</v>
      </c>
      <c r="D2086">
        <v>79.967430114999999</v>
      </c>
      <c r="E2086">
        <v>50</v>
      </c>
      <c r="F2086">
        <v>44.811428069999998</v>
      </c>
      <c r="G2086">
        <v>1384.5356445</v>
      </c>
      <c r="H2086">
        <v>1369.3801269999999</v>
      </c>
      <c r="I2086">
        <v>1277.6220702999999</v>
      </c>
      <c r="J2086">
        <v>1252.8331298999999</v>
      </c>
      <c r="K2086">
        <v>2750</v>
      </c>
      <c r="L2086">
        <v>0</v>
      </c>
      <c r="M2086">
        <v>0</v>
      </c>
      <c r="N2086">
        <v>2750</v>
      </c>
    </row>
    <row r="2087" spans="1:14" x14ac:dyDescent="0.25">
      <c r="A2087">
        <v>1633.3914540000001</v>
      </c>
      <c r="B2087" s="1">
        <f>DATE(2014,10,20) + TIME(9,23,41)</f>
        <v>41932.391446759262</v>
      </c>
      <c r="C2087">
        <v>80</v>
      </c>
      <c r="D2087">
        <v>79.967460631999998</v>
      </c>
      <c r="E2087">
        <v>50</v>
      </c>
      <c r="F2087">
        <v>44.939369202000002</v>
      </c>
      <c r="G2087">
        <v>1384.4699707</v>
      </c>
      <c r="H2087">
        <v>1369.3203125</v>
      </c>
      <c r="I2087">
        <v>1277.5870361</v>
      </c>
      <c r="J2087">
        <v>1252.7868652</v>
      </c>
      <c r="K2087">
        <v>2750</v>
      </c>
      <c r="L2087">
        <v>0</v>
      </c>
      <c r="M2087">
        <v>0</v>
      </c>
      <c r="N2087">
        <v>2750</v>
      </c>
    </row>
    <row r="2088" spans="1:14" x14ac:dyDescent="0.25">
      <c r="A2088">
        <v>1635.9713489999999</v>
      </c>
      <c r="B2088" s="1">
        <f>DATE(2014,10,22) + TIME(23,18,44)</f>
        <v>41934.971342592595</v>
      </c>
      <c r="C2088">
        <v>80</v>
      </c>
      <c r="D2088">
        <v>79.967491150000001</v>
      </c>
      <c r="E2088">
        <v>50</v>
      </c>
      <c r="F2088">
        <v>45.081710815000001</v>
      </c>
      <c r="G2088">
        <v>1384.4035644999999</v>
      </c>
      <c r="H2088">
        <v>1369.2598877</v>
      </c>
      <c r="I2088">
        <v>1277.5563964999999</v>
      </c>
      <c r="J2088">
        <v>1252.7502440999999</v>
      </c>
      <c r="K2088">
        <v>2750</v>
      </c>
      <c r="L2088">
        <v>0</v>
      </c>
      <c r="M2088">
        <v>0</v>
      </c>
      <c r="N2088">
        <v>2750</v>
      </c>
    </row>
    <row r="2089" spans="1:14" x14ac:dyDescent="0.25">
      <c r="A2089">
        <v>1638.620817</v>
      </c>
      <c r="B2089" s="1">
        <f>DATE(2014,10,25) + TIME(14,53,58)</f>
        <v>41937.620810185188</v>
      </c>
      <c r="C2089">
        <v>80</v>
      </c>
      <c r="D2089">
        <v>79.967521667</v>
      </c>
      <c r="E2089">
        <v>50</v>
      </c>
      <c r="F2089">
        <v>45.239040375000002</v>
      </c>
      <c r="G2089">
        <v>1384.3364257999999</v>
      </c>
      <c r="H2089">
        <v>1369.1987305</v>
      </c>
      <c r="I2089">
        <v>1277.5301514</v>
      </c>
      <c r="J2089">
        <v>1252.7232666</v>
      </c>
      <c r="K2089">
        <v>2750</v>
      </c>
      <c r="L2089">
        <v>0</v>
      </c>
      <c r="M2089">
        <v>0</v>
      </c>
      <c r="N2089">
        <v>2750</v>
      </c>
    </row>
    <row r="2090" spans="1:14" x14ac:dyDescent="0.25">
      <c r="A2090">
        <v>1641.281375</v>
      </c>
      <c r="B2090" s="1">
        <f>DATE(2014,10,28) + TIME(6,45,10)</f>
        <v>41940.281365740739</v>
      </c>
      <c r="C2090">
        <v>80</v>
      </c>
      <c r="D2090">
        <v>79.967552185000002</v>
      </c>
      <c r="E2090">
        <v>50</v>
      </c>
      <c r="F2090">
        <v>45.410953522</v>
      </c>
      <c r="G2090">
        <v>1384.2683105000001</v>
      </c>
      <c r="H2090">
        <v>1369.1367187999999</v>
      </c>
      <c r="I2090">
        <v>1277.5085449000001</v>
      </c>
      <c r="J2090">
        <v>1252.7062988</v>
      </c>
      <c r="K2090">
        <v>2750</v>
      </c>
      <c r="L2090">
        <v>0</v>
      </c>
      <c r="M2090">
        <v>0</v>
      </c>
      <c r="N2090">
        <v>2750</v>
      </c>
    </row>
    <row r="2091" spans="1:14" x14ac:dyDescent="0.25">
      <c r="A2091">
        <v>1643.967866</v>
      </c>
      <c r="B2091" s="1">
        <f>DATE(2014,10,30) + TIME(23,13,43)</f>
        <v>41942.967858796299</v>
      </c>
      <c r="C2091">
        <v>80</v>
      </c>
      <c r="D2091">
        <v>79.967590332</v>
      </c>
      <c r="E2091">
        <v>50</v>
      </c>
      <c r="F2091">
        <v>45.594745635999999</v>
      </c>
      <c r="G2091">
        <v>1384.2009277</v>
      </c>
      <c r="H2091">
        <v>1369.0751952999999</v>
      </c>
      <c r="I2091">
        <v>1277.4915771000001</v>
      </c>
      <c r="J2091">
        <v>1252.699707</v>
      </c>
      <c r="K2091">
        <v>2750</v>
      </c>
      <c r="L2091">
        <v>0</v>
      </c>
      <c r="M2091">
        <v>0</v>
      </c>
      <c r="N2091">
        <v>2750</v>
      </c>
    </row>
    <row r="2092" spans="1:14" x14ac:dyDescent="0.25">
      <c r="A2092">
        <v>1645</v>
      </c>
      <c r="B2092" s="1">
        <f>DATE(2014,11,1) + TIME(0,0,0)</f>
        <v>41944</v>
      </c>
      <c r="C2092">
        <v>80</v>
      </c>
      <c r="D2092">
        <v>79.967590332</v>
      </c>
      <c r="E2092">
        <v>50</v>
      </c>
      <c r="F2092">
        <v>45.740928650000001</v>
      </c>
      <c r="G2092">
        <v>1384.1341553</v>
      </c>
      <c r="H2092">
        <v>1369.0142822</v>
      </c>
      <c r="I2092">
        <v>1277.4918213000001</v>
      </c>
      <c r="J2092">
        <v>1252.7027588000001</v>
      </c>
      <c r="K2092">
        <v>2750</v>
      </c>
      <c r="L2092">
        <v>0</v>
      </c>
      <c r="M2092">
        <v>0</v>
      </c>
      <c r="N2092">
        <v>2750</v>
      </c>
    </row>
    <row r="2093" spans="1:14" x14ac:dyDescent="0.25">
      <c r="A2093">
        <v>1645.0000010000001</v>
      </c>
      <c r="B2093" s="1">
        <f>DATE(2014,11,1) + TIME(0,0,0)</f>
        <v>41944</v>
      </c>
      <c r="C2093">
        <v>80</v>
      </c>
      <c r="D2093">
        <v>79.967453003000003</v>
      </c>
      <c r="E2093">
        <v>50</v>
      </c>
      <c r="F2093">
        <v>45.741065978999998</v>
      </c>
      <c r="G2093">
        <v>1368.0152588000001</v>
      </c>
      <c r="H2093">
        <v>1354.1303711</v>
      </c>
      <c r="I2093">
        <v>1303.277832</v>
      </c>
      <c r="J2093">
        <v>1278.5463867000001</v>
      </c>
      <c r="K2093">
        <v>0</v>
      </c>
      <c r="L2093">
        <v>2750</v>
      </c>
      <c r="M2093">
        <v>2750</v>
      </c>
      <c r="N2093">
        <v>0</v>
      </c>
    </row>
    <row r="2094" spans="1:14" x14ac:dyDescent="0.25">
      <c r="A2094">
        <v>1645.000004</v>
      </c>
      <c r="B2094" s="1">
        <f>DATE(2014,11,1) + TIME(0,0,0)</f>
        <v>41944</v>
      </c>
      <c r="C2094">
        <v>80</v>
      </c>
      <c r="D2094">
        <v>79.967094420999999</v>
      </c>
      <c r="E2094">
        <v>50</v>
      </c>
      <c r="F2094">
        <v>45.741436004999997</v>
      </c>
      <c r="G2094">
        <v>1365.4913329999999</v>
      </c>
      <c r="H2094">
        <v>1351.605957</v>
      </c>
      <c r="I2094">
        <v>1306.0095214999999</v>
      </c>
      <c r="J2094">
        <v>1281.3798827999999</v>
      </c>
      <c r="K2094">
        <v>0</v>
      </c>
      <c r="L2094">
        <v>2750</v>
      </c>
      <c r="M2094">
        <v>2750</v>
      </c>
      <c r="N2094">
        <v>0</v>
      </c>
    </row>
    <row r="2095" spans="1:14" x14ac:dyDescent="0.25">
      <c r="A2095">
        <v>1645.0000130000001</v>
      </c>
      <c r="B2095" s="1">
        <f>DATE(2014,11,1) + TIME(0,0,1)</f>
        <v>41944.000011574077</v>
      </c>
      <c r="C2095">
        <v>80</v>
      </c>
      <c r="D2095">
        <v>79.966369628999999</v>
      </c>
      <c r="E2095">
        <v>50</v>
      </c>
      <c r="F2095">
        <v>45.742290496999999</v>
      </c>
      <c r="G2095">
        <v>1360.3966064000001</v>
      </c>
      <c r="H2095">
        <v>1346.5108643000001</v>
      </c>
      <c r="I2095">
        <v>1312.2983397999999</v>
      </c>
      <c r="J2095">
        <v>1287.8375243999999</v>
      </c>
      <c r="K2095">
        <v>0</v>
      </c>
      <c r="L2095">
        <v>2750</v>
      </c>
      <c r="M2095">
        <v>2750</v>
      </c>
      <c r="N2095">
        <v>0</v>
      </c>
    </row>
    <row r="2096" spans="1:14" x14ac:dyDescent="0.25">
      <c r="A2096">
        <v>1645.0000399999999</v>
      </c>
      <c r="B2096" s="1">
        <f>DATE(2014,11,1) + TIME(0,0,3)</f>
        <v>41944.000034722223</v>
      </c>
      <c r="C2096">
        <v>80</v>
      </c>
      <c r="D2096">
        <v>79.965309142999999</v>
      </c>
      <c r="E2096">
        <v>50</v>
      </c>
      <c r="F2096">
        <v>45.743808745999999</v>
      </c>
      <c r="G2096">
        <v>1352.9547118999999</v>
      </c>
      <c r="H2096">
        <v>1339.0706786999999</v>
      </c>
      <c r="I2096">
        <v>1323.1851807</v>
      </c>
      <c r="J2096">
        <v>1298.8380127</v>
      </c>
      <c r="K2096">
        <v>0</v>
      </c>
      <c r="L2096">
        <v>2750</v>
      </c>
      <c r="M2096">
        <v>2750</v>
      </c>
      <c r="N2096">
        <v>0</v>
      </c>
    </row>
    <row r="2097" spans="1:14" x14ac:dyDescent="0.25">
      <c r="A2097">
        <v>1645.000121</v>
      </c>
      <c r="B2097" s="1">
        <f>DATE(2014,11,1) + TIME(0,0,10)</f>
        <v>41944.000115740739</v>
      </c>
      <c r="C2097">
        <v>80</v>
      </c>
      <c r="D2097">
        <v>79.964118958</v>
      </c>
      <c r="E2097">
        <v>50</v>
      </c>
      <c r="F2097">
        <v>45.745990753000001</v>
      </c>
      <c r="G2097">
        <v>1344.6746826000001</v>
      </c>
      <c r="H2097">
        <v>1330.7950439000001</v>
      </c>
      <c r="I2097">
        <v>1336.9174805</v>
      </c>
      <c r="J2097">
        <v>1312.5736084</v>
      </c>
      <c r="K2097">
        <v>0</v>
      </c>
      <c r="L2097">
        <v>2750</v>
      </c>
      <c r="M2097">
        <v>2750</v>
      </c>
      <c r="N2097">
        <v>0</v>
      </c>
    </row>
    <row r="2098" spans="1:14" x14ac:dyDescent="0.25">
      <c r="A2098">
        <v>1645.000364</v>
      </c>
      <c r="B2098" s="1">
        <f>DATE(2014,11,1) + TIME(0,0,31)</f>
        <v>41944.000358796293</v>
      </c>
      <c r="C2098">
        <v>80</v>
      </c>
      <c r="D2098">
        <v>79.962898253999995</v>
      </c>
      <c r="E2098">
        <v>50</v>
      </c>
      <c r="F2098">
        <v>45.749221802000001</v>
      </c>
      <c r="G2098">
        <v>1336.3553466999999</v>
      </c>
      <c r="H2098">
        <v>1322.4813231999999</v>
      </c>
      <c r="I2098">
        <v>1351.3269043</v>
      </c>
      <c r="J2098">
        <v>1326.9705810999999</v>
      </c>
      <c r="K2098">
        <v>0</v>
      </c>
      <c r="L2098">
        <v>2750</v>
      </c>
      <c r="M2098">
        <v>2750</v>
      </c>
      <c r="N2098">
        <v>0</v>
      </c>
    </row>
    <row r="2099" spans="1:14" x14ac:dyDescent="0.25">
      <c r="A2099">
        <v>1645.0010930000001</v>
      </c>
      <c r="B2099" s="1">
        <f>DATE(2014,11,1) + TIME(0,1,34)</f>
        <v>41944.001087962963</v>
      </c>
      <c r="C2099">
        <v>80</v>
      </c>
      <c r="D2099">
        <v>79.961585998999993</v>
      </c>
      <c r="E2099">
        <v>50</v>
      </c>
      <c r="F2099">
        <v>45.755374908</v>
      </c>
      <c r="G2099">
        <v>1328.0106201000001</v>
      </c>
      <c r="H2099">
        <v>1314.1203613</v>
      </c>
      <c r="I2099">
        <v>1365.9359131000001</v>
      </c>
      <c r="J2099">
        <v>1341.5524902</v>
      </c>
      <c r="K2099">
        <v>0</v>
      </c>
      <c r="L2099">
        <v>2750</v>
      </c>
      <c r="M2099">
        <v>2750</v>
      </c>
      <c r="N2099">
        <v>0</v>
      </c>
    </row>
    <row r="2100" spans="1:14" x14ac:dyDescent="0.25">
      <c r="A2100">
        <v>1645.0032799999999</v>
      </c>
      <c r="B2100" s="1">
        <f>DATE(2014,11,1) + TIME(0,4,43)</f>
        <v>41944.003275462965</v>
      </c>
      <c r="C2100">
        <v>80</v>
      </c>
      <c r="D2100">
        <v>79.959991454999994</v>
      </c>
      <c r="E2100">
        <v>50</v>
      </c>
      <c r="F2100">
        <v>45.770267486999998</v>
      </c>
      <c r="G2100">
        <v>1319.4387207</v>
      </c>
      <c r="H2100">
        <v>1305.4432373</v>
      </c>
      <c r="I2100">
        <v>1380.7333983999999</v>
      </c>
      <c r="J2100">
        <v>1356.2491454999999</v>
      </c>
      <c r="K2100">
        <v>0</v>
      </c>
      <c r="L2100">
        <v>2750</v>
      </c>
      <c r="M2100">
        <v>2750</v>
      </c>
      <c r="N2100">
        <v>0</v>
      </c>
    </row>
    <row r="2101" spans="1:14" x14ac:dyDescent="0.25">
      <c r="A2101">
        <v>1645.0098410000001</v>
      </c>
      <c r="B2101" s="1">
        <f>DATE(2014,11,1) + TIME(0,14,10)</f>
        <v>41944.009837962964</v>
      </c>
      <c r="C2101">
        <v>80</v>
      </c>
      <c r="D2101">
        <v>79.957633971999996</v>
      </c>
      <c r="E2101">
        <v>50</v>
      </c>
      <c r="F2101">
        <v>45.811084747000002</v>
      </c>
      <c r="G2101">
        <v>1310.8684082</v>
      </c>
      <c r="H2101">
        <v>1296.7197266000001</v>
      </c>
      <c r="I2101">
        <v>1394.5739745999999</v>
      </c>
      <c r="J2101">
        <v>1369.9248047000001</v>
      </c>
      <c r="K2101">
        <v>0</v>
      </c>
      <c r="L2101">
        <v>2750</v>
      </c>
      <c r="M2101">
        <v>2750</v>
      </c>
      <c r="N2101">
        <v>0</v>
      </c>
    </row>
    <row r="2102" spans="1:14" x14ac:dyDescent="0.25">
      <c r="A2102">
        <v>1645.029524</v>
      </c>
      <c r="B2102" s="1">
        <f>DATE(2014,11,1) + TIME(0,42,30)</f>
        <v>41944.029513888891</v>
      </c>
      <c r="C2102">
        <v>80</v>
      </c>
      <c r="D2102">
        <v>79.953269958000007</v>
      </c>
      <c r="E2102">
        <v>50</v>
      </c>
      <c r="F2102">
        <v>45.927127837999997</v>
      </c>
      <c r="G2102">
        <v>1303.8510742000001</v>
      </c>
      <c r="H2102">
        <v>1289.6160889</v>
      </c>
      <c r="I2102">
        <v>1404.5396728999999</v>
      </c>
      <c r="J2102">
        <v>1379.7868652</v>
      </c>
      <c r="K2102">
        <v>0</v>
      </c>
      <c r="L2102">
        <v>2750</v>
      </c>
      <c r="M2102">
        <v>2750</v>
      </c>
      <c r="N2102">
        <v>0</v>
      </c>
    </row>
    <row r="2103" spans="1:14" x14ac:dyDescent="0.25">
      <c r="A2103">
        <v>1645.083707</v>
      </c>
      <c r="B2103" s="1">
        <f>DATE(2014,11,1) + TIME(2,0,32)</f>
        <v>41944.083703703705</v>
      </c>
      <c r="C2103">
        <v>80</v>
      </c>
      <c r="D2103">
        <v>79.943923949999999</v>
      </c>
      <c r="E2103">
        <v>50</v>
      </c>
      <c r="F2103">
        <v>46.221363068000002</v>
      </c>
      <c r="G2103">
        <v>1300.2949219</v>
      </c>
      <c r="H2103">
        <v>1286.0338135</v>
      </c>
      <c r="I2103">
        <v>1408.4333495999999</v>
      </c>
      <c r="J2103">
        <v>1383.7531738</v>
      </c>
      <c r="K2103">
        <v>0</v>
      </c>
      <c r="L2103">
        <v>2750</v>
      </c>
      <c r="M2103">
        <v>2750</v>
      </c>
      <c r="N2103">
        <v>0</v>
      </c>
    </row>
    <row r="2104" spans="1:14" x14ac:dyDescent="0.25">
      <c r="A2104">
        <v>1645.1411419999999</v>
      </c>
      <c r="B2104" s="1">
        <f>DATE(2014,11,1) + TIME(3,23,14)</f>
        <v>41944.141134259262</v>
      </c>
      <c r="C2104">
        <v>80</v>
      </c>
      <c r="D2104">
        <v>79.934631347999996</v>
      </c>
      <c r="E2104">
        <v>50</v>
      </c>
      <c r="F2104">
        <v>46.509017944</v>
      </c>
      <c r="G2104">
        <v>1299.4761963000001</v>
      </c>
      <c r="H2104">
        <v>1285.2102050999999</v>
      </c>
      <c r="I2104">
        <v>1408.8629149999999</v>
      </c>
      <c r="J2104">
        <v>1384.3017577999999</v>
      </c>
      <c r="K2104">
        <v>0</v>
      </c>
      <c r="L2104">
        <v>2750</v>
      </c>
      <c r="M2104">
        <v>2750</v>
      </c>
      <c r="N2104">
        <v>0</v>
      </c>
    </row>
    <row r="2105" spans="1:14" x14ac:dyDescent="0.25">
      <c r="A2105">
        <v>1645.201906</v>
      </c>
      <c r="B2105" s="1">
        <f>DATE(2014,11,1) + TIME(4,50,44)</f>
        <v>41944.201898148145</v>
      </c>
      <c r="C2105">
        <v>80</v>
      </c>
      <c r="D2105">
        <v>79.925102233999993</v>
      </c>
      <c r="E2105">
        <v>50</v>
      </c>
      <c r="F2105">
        <v>46.788688659999998</v>
      </c>
      <c r="G2105">
        <v>1299.2669678</v>
      </c>
      <c r="H2105">
        <v>1284.9996338000001</v>
      </c>
      <c r="I2105">
        <v>1408.7010498</v>
      </c>
      <c r="J2105">
        <v>1384.2647704999999</v>
      </c>
      <c r="K2105">
        <v>0</v>
      </c>
      <c r="L2105">
        <v>2750</v>
      </c>
      <c r="M2105">
        <v>2750</v>
      </c>
      <c r="N2105">
        <v>0</v>
      </c>
    </row>
    <row r="2106" spans="1:14" x14ac:dyDescent="0.25">
      <c r="A2106">
        <v>1645.26639</v>
      </c>
      <c r="B2106" s="1">
        <f>DATE(2014,11,1) + TIME(6,23,36)</f>
        <v>41944.266388888886</v>
      </c>
      <c r="C2106">
        <v>80</v>
      </c>
      <c r="D2106">
        <v>79.915245056000003</v>
      </c>
      <c r="E2106">
        <v>50</v>
      </c>
      <c r="F2106">
        <v>47.060134888</v>
      </c>
      <c r="G2106">
        <v>1299.2070312000001</v>
      </c>
      <c r="H2106">
        <v>1284.9389647999999</v>
      </c>
      <c r="I2106">
        <v>1408.4556885</v>
      </c>
      <c r="J2106">
        <v>1384.1422118999999</v>
      </c>
      <c r="K2106">
        <v>0</v>
      </c>
      <c r="L2106">
        <v>2750</v>
      </c>
      <c r="M2106">
        <v>2750</v>
      </c>
      <c r="N2106">
        <v>0</v>
      </c>
    </row>
    <row r="2107" spans="1:14" x14ac:dyDescent="0.25">
      <c r="A2107">
        <v>1645.3351250000001</v>
      </c>
      <c r="B2107" s="1">
        <f>DATE(2014,11,1) + TIME(8,2,34)</f>
        <v>41944.335115740738</v>
      </c>
      <c r="C2107">
        <v>80</v>
      </c>
      <c r="D2107">
        <v>79.904991150000001</v>
      </c>
      <c r="E2107">
        <v>50</v>
      </c>
      <c r="F2107">
        <v>47.323287964000002</v>
      </c>
      <c r="G2107">
        <v>1299.1868896000001</v>
      </c>
      <c r="H2107">
        <v>1284.9183350000001</v>
      </c>
      <c r="I2107">
        <v>1408.2099608999999</v>
      </c>
      <c r="J2107">
        <v>1384.0155029</v>
      </c>
      <c r="K2107">
        <v>0</v>
      </c>
      <c r="L2107">
        <v>2750</v>
      </c>
      <c r="M2107">
        <v>2750</v>
      </c>
      <c r="N2107">
        <v>0</v>
      </c>
    </row>
    <row r="2108" spans="1:14" x14ac:dyDescent="0.25">
      <c r="A2108">
        <v>1645.40877</v>
      </c>
      <c r="B2108" s="1">
        <f>DATE(2014,11,1) + TIME(9,48,37)</f>
        <v>41944.408761574072</v>
      </c>
      <c r="C2108">
        <v>80</v>
      </c>
      <c r="D2108">
        <v>79.894279479999994</v>
      </c>
      <c r="E2108">
        <v>50</v>
      </c>
      <c r="F2108">
        <v>47.578075409</v>
      </c>
      <c r="G2108">
        <v>1299.1782227000001</v>
      </c>
      <c r="H2108">
        <v>1284.9091797000001</v>
      </c>
      <c r="I2108">
        <v>1407.9732666</v>
      </c>
      <c r="J2108">
        <v>1383.8939209</v>
      </c>
      <c r="K2108">
        <v>0</v>
      </c>
      <c r="L2108">
        <v>2750</v>
      </c>
      <c r="M2108">
        <v>2750</v>
      </c>
      <c r="N2108">
        <v>0</v>
      </c>
    </row>
    <row r="2109" spans="1:14" x14ac:dyDescent="0.25">
      <c r="A2109">
        <v>1645.488141</v>
      </c>
      <c r="B2109" s="1">
        <f>DATE(2014,11,1) + TIME(11,42,55)</f>
        <v>41944.488136574073</v>
      </c>
      <c r="C2109">
        <v>80</v>
      </c>
      <c r="D2109">
        <v>79.883010863999999</v>
      </c>
      <c r="E2109">
        <v>50</v>
      </c>
      <c r="F2109">
        <v>47.824386597</v>
      </c>
      <c r="G2109">
        <v>1299.1729736</v>
      </c>
      <c r="H2109">
        <v>1284.9034423999999</v>
      </c>
      <c r="I2109">
        <v>1407.7445068</v>
      </c>
      <c r="J2109">
        <v>1383.7761230000001</v>
      </c>
      <c r="K2109">
        <v>0</v>
      </c>
      <c r="L2109">
        <v>2750</v>
      </c>
      <c r="M2109">
        <v>2750</v>
      </c>
      <c r="N2109">
        <v>0</v>
      </c>
    </row>
    <row r="2110" spans="1:14" x14ac:dyDescent="0.25">
      <c r="A2110">
        <v>1645.574269</v>
      </c>
      <c r="B2110" s="1">
        <f>DATE(2014,11,1) + TIME(13,46,56)</f>
        <v>41944.574259259258</v>
      </c>
      <c r="C2110">
        <v>80</v>
      </c>
      <c r="D2110">
        <v>79.871101378999995</v>
      </c>
      <c r="E2110">
        <v>50</v>
      </c>
      <c r="F2110">
        <v>48.062049866000002</v>
      </c>
      <c r="G2110">
        <v>1299.1687012</v>
      </c>
      <c r="H2110">
        <v>1284.8984375</v>
      </c>
      <c r="I2110">
        <v>1407.5222168</v>
      </c>
      <c r="J2110">
        <v>1383.6611327999999</v>
      </c>
      <c r="K2110">
        <v>0</v>
      </c>
      <c r="L2110">
        <v>2750</v>
      </c>
      <c r="M2110">
        <v>2750</v>
      </c>
      <c r="N2110">
        <v>0</v>
      </c>
    </row>
    <row r="2111" spans="1:14" x14ac:dyDescent="0.25">
      <c r="A2111">
        <v>1645.6684519999999</v>
      </c>
      <c r="B2111" s="1">
        <f>DATE(2014,11,1) + TIME(16,2,34)</f>
        <v>41944.668449074074</v>
      </c>
      <c r="C2111">
        <v>80</v>
      </c>
      <c r="D2111">
        <v>79.858421325999998</v>
      </c>
      <c r="E2111">
        <v>50</v>
      </c>
      <c r="F2111">
        <v>48.290786742999998</v>
      </c>
      <c r="G2111">
        <v>1299.1644286999999</v>
      </c>
      <c r="H2111">
        <v>1284.8935547000001</v>
      </c>
      <c r="I2111">
        <v>1407.3054199000001</v>
      </c>
      <c r="J2111">
        <v>1383.5478516000001</v>
      </c>
      <c r="K2111">
        <v>0</v>
      </c>
      <c r="L2111">
        <v>2750</v>
      </c>
      <c r="M2111">
        <v>2750</v>
      </c>
      <c r="N2111">
        <v>0</v>
      </c>
    </row>
    <row r="2112" spans="1:14" x14ac:dyDescent="0.25">
      <c r="A2112">
        <v>1645.772432</v>
      </c>
      <c r="B2112" s="1">
        <f>DATE(2014,11,1) + TIME(18,32,18)</f>
        <v>41944.772430555553</v>
      </c>
      <c r="C2112">
        <v>80</v>
      </c>
      <c r="D2112">
        <v>79.844810486</v>
      </c>
      <c r="E2112">
        <v>50</v>
      </c>
      <c r="F2112">
        <v>48.510318755999997</v>
      </c>
      <c r="G2112">
        <v>1299.1597899999999</v>
      </c>
      <c r="H2112">
        <v>1284.8883057</v>
      </c>
      <c r="I2112">
        <v>1407.0939940999999</v>
      </c>
      <c r="J2112">
        <v>1383.4359131000001</v>
      </c>
      <c r="K2112">
        <v>0</v>
      </c>
      <c r="L2112">
        <v>2750</v>
      </c>
      <c r="M2112">
        <v>2750</v>
      </c>
      <c r="N2112">
        <v>0</v>
      </c>
    </row>
    <row r="2113" spans="1:14" x14ac:dyDescent="0.25">
      <c r="A2113">
        <v>1645.888524</v>
      </c>
      <c r="B2113" s="1">
        <f>DATE(2014,11,1) + TIME(21,19,28)</f>
        <v>41944.888518518521</v>
      </c>
      <c r="C2113">
        <v>80</v>
      </c>
      <c r="D2113">
        <v>79.830047606999997</v>
      </c>
      <c r="E2113">
        <v>50</v>
      </c>
      <c r="F2113">
        <v>48.720211028999998</v>
      </c>
      <c r="G2113">
        <v>1299.1549072</v>
      </c>
      <c r="H2113">
        <v>1284.8826904</v>
      </c>
      <c r="I2113">
        <v>1406.887207</v>
      </c>
      <c r="J2113">
        <v>1383.3250731999999</v>
      </c>
      <c r="K2113">
        <v>0</v>
      </c>
      <c r="L2113">
        <v>2750</v>
      </c>
      <c r="M2113">
        <v>2750</v>
      </c>
      <c r="N2113">
        <v>0</v>
      </c>
    </row>
    <row r="2114" spans="1:14" x14ac:dyDescent="0.25">
      <c r="A2114">
        <v>1646.019918</v>
      </c>
      <c r="B2114" s="1">
        <f>DATE(2014,11,2) + TIME(0,28,40)</f>
        <v>41945.019907407404</v>
      </c>
      <c r="C2114">
        <v>80</v>
      </c>
      <c r="D2114">
        <v>79.813850403000004</v>
      </c>
      <c r="E2114">
        <v>50</v>
      </c>
      <c r="F2114">
        <v>48.919887543000002</v>
      </c>
      <c r="G2114">
        <v>1299.1494141000001</v>
      </c>
      <c r="H2114">
        <v>1284.8763428</v>
      </c>
      <c r="I2114">
        <v>1406.6849365</v>
      </c>
      <c r="J2114">
        <v>1383.2148437999999</v>
      </c>
      <c r="K2114">
        <v>0</v>
      </c>
      <c r="L2114">
        <v>2750</v>
      </c>
      <c r="M2114">
        <v>2750</v>
      </c>
      <c r="N2114">
        <v>0</v>
      </c>
    </row>
    <row r="2115" spans="1:14" x14ac:dyDescent="0.25">
      <c r="A2115">
        <v>1646.1711740000001</v>
      </c>
      <c r="B2115" s="1">
        <f>DATE(2014,11,2) + TIME(4,6,29)</f>
        <v>41945.171168981484</v>
      </c>
      <c r="C2115">
        <v>80</v>
      </c>
      <c r="D2115">
        <v>79.795829772999994</v>
      </c>
      <c r="E2115">
        <v>50</v>
      </c>
      <c r="F2115">
        <v>49.108573913999997</v>
      </c>
      <c r="G2115">
        <v>1299.1431885</v>
      </c>
      <c r="H2115">
        <v>1284.8692627</v>
      </c>
      <c r="I2115">
        <v>1406.4868164</v>
      </c>
      <c r="J2115">
        <v>1383.1049805</v>
      </c>
      <c r="K2115">
        <v>0</v>
      </c>
      <c r="L2115">
        <v>2750</v>
      </c>
      <c r="M2115">
        <v>2750</v>
      </c>
      <c r="N2115">
        <v>0</v>
      </c>
    </row>
    <row r="2116" spans="1:14" x14ac:dyDescent="0.25">
      <c r="A2116">
        <v>1646.349082</v>
      </c>
      <c r="B2116" s="1">
        <f>DATE(2014,11,2) + TIME(8,22,40)</f>
        <v>41945.349074074074</v>
      </c>
      <c r="C2116">
        <v>80</v>
      </c>
      <c r="D2116">
        <v>79.775428771999998</v>
      </c>
      <c r="E2116">
        <v>50</v>
      </c>
      <c r="F2116">
        <v>49.285209655999999</v>
      </c>
      <c r="G2116">
        <v>1299.1361084</v>
      </c>
      <c r="H2116">
        <v>1284.8612060999999</v>
      </c>
      <c r="I2116">
        <v>1406.2926024999999</v>
      </c>
      <c r="J2116">
        <v>1382.994751</v>
      </c>
      <c r="K2116">
        <v>0</v>
      </c>
      <c r="L2116">
        <v>2750</v>
      </c>
      <c r="M2116">
        <v>2750</v>
      </c>
      <c r="N2116">
        <v>0</v>
      </c>
    </row>
    <row r="2117" spans="1:14" x14ac:dyDescent="0.25">
      <c r="A2117">
        <v>1646.4550079999999</v>
      </c>
      <c r="B2117" s="1">
        <f>DATE(2014,11,2) + TIME(10,55,12)</f>
        <v>41945.455000000002</v>
      </c>
      <c r="C2117">
        <v>80</v>
      </c>
      <c r="D2117">
        <v>79.762252808</v>
      </c>
      <c r="E2117">
        <v>50</v>
      </c>
      <c r="F2117">
        <v>49.376457213999998</v>
      </c>
      <c r="G2117">
        <v>1299.1278076000001</v>
      </c>
      <c r="H2117">
        <v>1284.8526611</v>
      </c>
      <c r="I2117">
        <v>1406.1745605000001</v>
      </c>
      <c r="J2117">
        <v>1382.9212646000001</v>
      </c>
      <c r="K2117">
        <v>0</v>
      </c>
      <c r="L2117">
        <v>2750</v>
      </c>
      <c r="M2117">
        <v>2750</v>
      </c>
      <c r="N2117">
        <v>0</v>
      </c>
    </row>
    <row r="2118" spans="1:14" x14ac:dyDescent="0.25">
      <c r="A2118">
        <v>1646.66686</v>
      </c>
      <c r="B2118" s="1">
        <f>DATE(2014,11,2) + TIME(16,0,16)</f>
        <v>41945.666851851849</v>
      </c>
      <c r="C2118">
        <v>80</v>
      </c>
      <c r="D2118">
        <v>79.739189147999994</v>
      </c>
      <c r="E2118">
        <v>50</v>
      </c>
      <c r="F2118">
        <v>49.516330719000003</v>
      </c>
      <c r="G2118">
        <v>1299.1229248</v>
      </c>
      <c r="H2118">
        <v>1284.8461914</v>
      </c>
      <c r="I2118">
        <v>1406.0166016000001</v>
      </c>
      <c r="J2118">
        <v>1382.8320312000001</v>
      </c>
      <c r="K2118">
        <v>0</v>
      </c>
      <c r="L2118">
        <v>2750</v>
      </c>
      <c r="M2118">
        <v>2750</v>
      </c>
      <c r="N2118">
        <v>0</v>
      </c>
    </row>
    <row r="2119" spans="1:14" x14ac:dyDescent="0.25">
      <c r="A2119">
        <v>1646.8801229999999</v>
      </c>
      <c r="B2119" s="1">
        <f>DATE(2014,11,2) + TIME(21,7,22)</f>
        <v>41945.880115740743</v>
      </c>
      <c r="C2119">
        <v>80</v>
      </c>
      <c r="D2119">
        <v>79.715873717999997</v>
      </c>
      <c r="E2119">
        <v>50</v>
      </c>
      <c r="F2119">
        <v>49.624114990000002</v>
      </c>
      <c r="G2119">
        <v>1299.1132812000001</v>
      </c>
      <c r="H2119">
        <v>1284.8355713000001</v>
      </c>
      <c r="I2119">
        <v>1405.8681641000001</v>
      </c>
      <c r="J2119">
        <v>1382.739624</v>
      </c>
      <c r="K2119">
        <v>0</v>
      </c>
      <c r="L2119">
        <v>2750</v>
      </c>
      <c r="M2119">
        <v>2750</v>
      </c>
      <c r="N2119">
        <v>0</v>
      </c>
    </row>
    <row r="2120" spans="1:14" x14ac:dyDescent="0.25">
      <c r="A2120">
        <v>1647.1014009999999</v>
      </c>
      <c r="B2120" s="1">
        <f>DATE(2014,11,3) + TIME(2,26,1)</f>
        <v>41946.101400462961</v>
      </c>
      <c r="C2120">
        <v>80</v>
      </c>
      <c r="D2120">
        <v>79.691810607999997</v>
      </c>
      <c r="E2120">
        <v>50</v>
      </c>
      <c r="F2120">
        <v>49.709007262999997</v>
      </c>
      <c r="G2120">
        <v>1299.1035156</v>
      </c>
      <c r="H2120">
        <v>1284.824707</v>
      </c>
      <c r="I2120">
        <v>1405.7393798999999</v>
      </c>
      <c r="J2120">
        <v>1382.6573486</v>
      </c>
      <c r="K2120">
        <v>0</v>
      </c>
      <c r="L2120">
        <v>2750</v>
      </c>
      <c r="M2120">
        <v>2750</v>
      </c>
      <c r="N2120">
        <v>0</v>
      </c>
    </row>
    <row r="2121" spans="1:14" x14ac:dyDescent="0.25">
      <c r="A2121">
        <v>1647.3332989999999</v>
      </c>
      <c r="B2121" s="1">
        <f>DATE(2014,11,3) + TIME(7,59,57)</f>
        <v>41946.333298611113</v>
      </c>
      <c r="C2121">
        <v>80</v>
      </c>
      <c r="D2121">
        <v>79.666816710999996</v>
      </c>
      <c r="E2121">
        <v>50</v>
      </c>
      <c r="F2121">
        <v>49.775798797999997</v>
      </c>
      <c r="G2121">
        <v>1299.0935059000001</v>
      </c>
      <c r="H2121">
        <v>1284.8134766000001</v>
      </c>
      <c r="I2121">
        <v>1405.6256103999999</v>
      </c>
      <c r="J2121">
        <v>1382.5823975000001</v>
      </c>
      <c r="K2121">
        <v>0</v>
      </c>
      <c r="L2121">
        <v>2750</v>
      </c>
      <c r="M2121">
        <v>2750</v>
      </c>
      <c r="N2121">
        <v>0</v>
      </c>
    </row>
    <row r="2122" spans="1:14" x14ac:dyDescent="0.25">
      <c r="A2122">
        <v>1647.579113</v>
      </c>
      <c r="B2122" s="1">
        <f>DATE(2014,11,3) + TIME(13,53,55)</f>
        <v>41946.579108796293</v>
      </c>
      <c r="C2122">
        <v>80</v>
      </c>
      <c r="D2122">
        <v>79.640625</v>
      </c>
      <c r="E2122">
        <v>50</v>
      </c>
      <c r="F2122">
        <v>49.828201294000003</v>
      </c>
      <c r="G2122">
        <v>1299.0830077999999</v>
      </c>
      <c r="H2122">
        <v>1284.8017577999999</v>
      </c>
      <c r="I2122">
        <v>1405.5234375</v>
      </c>
      <c r="J2122">
        <v>1382.5130615</v>
      </c>
      <c r="K2122">
        <v>0</v>
      </c>
      <c r="L2122">
        <v>2750</v>
      </c>
      <c r="M2122">
        <v>2750</v>
      </c>
      <c r="N2122">
        <v>0</v>
      </c>
    </row>
    <row r="2123" spans="1:14" x14ac:dyDescent="0.25">
      <c r="A2123">
        <v>1647.8427019999999</v>
      </c>
      <c r="B2123" s="1">
        <f>DATE(2014,11,3) + TIME(20,13,29)</f>
        <v>41946.84269675926</v>
      </c>
      <c r="C2123">
        <v>80</v>
      </c>
      <c r="D2123">
        <v>79.612945557000003</v>
      </c>
      <c r="E2123">
        <v>50</v>
      </c>
      <c r="F2123">
        <v>49.869049072000003</v>
      </c>
      <c r="G2123">
        <v>1299.0720214999999</v>
      </c>
      <c r="H2123">
        <v>1284.7894286999999</v>
      </c>
      <c r="I2123">
        <v>1405.4304199000001</v>
      </c>
      <c r="J2123">
        <v>1382.4479980000001</v>
      </c>
      <c r="K2123">
        <v>0</v>
      </c>
      <c r="L2123">
        <v>2750</v>
      </c>
      <c r="M2123">
        <v>2750</v>
      </c>
      <c r="N2123">
        <v>0</v>
      </c>
    </row>
    <row r="2124" spans="1:14" x14ac:dyDescent="0.25">
      <c r="A2124">
        <v>1648.125276</v>
      </c>
      <c r="B2124" s="1">
        <f>DATE(2014,11,4) + TIME(3,0,23)</f>
        <v>41947.1252662037</v>
      </c>
      <c r="C2124">
        <v>80</v>
      </c>
      <c r="D2124">
        <v>79.583671570000007</v>
      </c>
      <c r="E2124">
        <v>50</v>
      </c>
      <c r="F2124">
        <v>49.900299072000003</v>
      </c>
      <c r="G2124">
        <v>1299.0603027</v>
      </c>
      <c r="H2124">
        <v>1284.7763672000001</v>
      </c>
      <c r="I2124">
        <v>1405.3444824000001</v>
      </c>
      <c r="J2124">
        <v>1382.3863524999999</v>
      </c>
      <c r="K2124">
        <v>0</v>
      </c>
      <c r="L2124">
        <v>2750</v>
      </c>
      <c r="M2124">
        <v>2750</v>
      </c>
      <c r="N2124">
        <v>0</v>
      </c>
    </row>
    <row r="2125" spans="1:14" x14ac:dyDescent="0.25">
      <c r="A2125">
        <v>1648.4293929999999</v>
      </c>
      <c r="B2125" s="1">
        <f>DATE(2014,11,4) + TIME(10,18,19)</f>
        <v>41947.429386574076</v>
      </c>
      <c r="C2125">
        <v>80</v>
      </c>
      <c r="D2125">
        <v>79.552597046000002</v>
      </c>
      <c r="E2125">
        <v>50</v>
      </c>
      <c r="F2125">
        <v>49.923820495999998</v>
      </c>
      <c r="G2125">
        <v>1299.0478516000001</v>
      </c>
      <c r="H2125">
        <v>1284.7623291</v>
      </c>
      <c r="I2125">
        <v>1405.2645264</v>
      </c>
      <c r="J2125">
        <v>1382.3273925999999</v>
      </c>
      <c r="K2125">
        <v>0</v>
      </c>
      <c r="L2125">
        <v>2750</v>
      </c>
      <c r="M2125">
        <v>2750</v>
      </c>
      <c r="N2125">
        <v>0</v>
      </c>
    </row>
    <row r="2126" spans="1:14" x14ac:dyDescent="0.25">
      <c r="A2126">
        <v>1648.7604980000001</v>
      </c>
      <c r="B2126" s="1">
        <f>DATE(2014,11,4) + TIME(18,15,7)</f>
        <v>41947.760497685187</v>
      </c>
      <c r="C2126">
        <v>80</v>
      </c>
      <c r="D2126">
        <v>79.519325256000002</v>
      </c>
      <c r="E2126">
        <v>50</v>
      </c>
      <c r="F2126">
        <v>49.941284179999997</v>
      </c>
      <c r="G2126">
        <v>1299.0345459</v>
      </c>
      <c r="H2126">
        <v>1284.7473144999999</v>
      </c>
      <c r="I2126">
        <v>1405.1889647999999</v>
      </c>
      <c r="J2126">
        <v>1382.2703856999999</v>
      </c>
      <c r="K2126">
        <v>0</v>
      </c>
      <c r="L2126">
        <v>2750</v>
      </c>
      <c r="M2126">
        <v>2750</v>
      </c>
      <c r="N2126">
        <v>0</v>
      </c>
    </row>
    <row r="2127" spans="1:14" x14ac:dyDescent="0.25">
      <c r="A2127">
        <v>1649.125368</v>
      </c>
      <c r="B2127" s="1">
        <f>DATE(2014,11,5) + TIME(3,0,31)</f>
        <v>41948.125358796293</v>
      </c>
      <c r="C2127">
        <v>80</v>
      </c>
      <c r="D2127">
        <v>79.483345032000003</v>
      </c>
      <c r="E2127">
        <v>50</v>
      </c>
      <c r="F2127">
        <v>49.954036713000001</v>
      </c>
      <c r="G2127">
        <v>1299.0201416</v>
      </c>
      <c r="H2127">
        <v>1284.7310791</v>
      </c>
      <c r="I2127">
        <v>1405.1160889</v>
      </c>
      <c r="J2127">
        <v>1382.2144774999999</v>
      </c>
      <c r="K2127">
        <v>0</v>
      </c>
      <c r="L2127">
        <v>2750</v>
      </c>
      <c r="M2127">
        <v>2750</v>
      </c>
      <c r="N2127">
        <v>0</v>
      </c>
    </row>
    <row r="2128" spans="1:14" x14ac:dyDescent="0.25">
      <c r="A2128">
        <v>1649.5331510000001</v>
      </c>
      <c r="B2128" s="1">
        <f>DATE(2014,11,5) + TIME(12,47,44)</f>
        <v>41948.533148148148</v>
      </c>
      <c r="C2128">
        <v>80</v>
      </c>
      <c r="D2128">
        <v>79.444015503000003</v>
      </c>
      <c r="E2128">
        <v>50</v>
      </c>
      <c r="F2128">
        <v>49.963142394999998</v>
      </c>
      <c r="G2128">
        <v>1299.0042725000001</v>
      </c>
      <c r="H2128">
        <v>1284.7132568</v>
      </c>
      <c r="I2128">
        <v>1405.0447998</v>
      </c>
      <c r="J2128">
        <v>1382.1586914</v>
      </c>
      <c r="K2128">
        <v>0</v>
      </c>
      <c r="L2128">
        <v>2750</v>
      </c>
      <c r="M2128">
        <v>2750</v>
      </c>
      <c r="N2128">
        <v>0</v>
      </c>
    </row>
    <row r="2129" spans="1:14" x14ac:dyDescent="0.25">
      <c r="A2129">
        <v>1649.9766529999999</v>
      </c>
      <c r="B2129" s="1">
        <f>DATE(2014,11,5) + TIME(23,26,22)</f>
        <v>41948.976643518516</v>
      </c>
      <c r="C2129">
        <v>80</v>
      </c>
      <c r="D2129">
        <v>79.401596068999993</v>
      </c>
      <c r="E2129">
        <v>50</v>
      </c>
      <c r="F2129">
        <v>49.969310759999999</v>
      </c>
      <c r="G2129">
        <v>1298.9866943</v>
      </c>
      <c r="H2129">
        <v>1284.6934814000001</v>
      </c>
      <c r="I2129">
        <v>1404.9733887</v>
      </c>
      <c r="J2129">
        <v>1382.1024170000001</v>
      </c>
      <c r="K2129">
        <v>0</v>
      </c>
      <c r="L2129">
        <v>2750</v>
      </c>
      <c r="M2129">
        <v>2750</v>
      </c>
      <c r="N2129">
        <v>0</v>
      </c>
    </row>
    <row r="2130" spans="1:14" x14ac:dyDescent="0.25">
      <c r="A2130">
        <v>1650.4232159999999</v>
      </c>
      <c r="B2130" s="1">
        <f>DATE(2014,11,6) + TIME(10,9,25)</f>
        <v>41949.423206018517</v>
      </c>
      <c r="C2130">
        <v>80</v>
      </c>
      <c r="D2130">
        <v>79.358001709000007</v>
      </c>
      <c r="E2130">
        <v>50</v>
      </c>
      <c r="F2130">
        <v>49.973186493</v>
      </c>
      <c r="G2130">
        <v>1298.9674072</v>
      </c>
      <c r="H2130">
        <v>1284.6722411999999</v>
      </c>
      <c r="I2130">
        <v>1404.9036865</v>
      </c>
      <c r="J2130">
        <v>1382.0467529</v>
      </c>
      <c r="K2130">
        <v>0</v>
      </c>
      <c r="L2130">
        <v>2750</v>
      </c>
      <c r="M2130">
        <v>2750</v>
      </c>
      <c r="N2130">
        <v>0</v>
      </c>
    </row>
    <row r="2131" spans="1:14" x14ac:dyDescent="0.25">
      <c r="A2131">
        <v>1650.879537</v>
      </c>
      <c r="B2131" s="1">
        <f>DATE(2014,11,6) + TIME(21,6,32)</f>
        <v>41949.879537037035</v>
      </c>
      <c r="C2131">
        <v>80</v>
      </c>
      <c r="D2131">
        <v>79.313323975000003</v>
      </c>
      <c r="E2131">
        <v>50</v>
      </c>
      <c r="F2131">
        <v>49.975658416999998</v>
      </c>
      <c r="G2131">
        <v>1298.9482422000001</v>
      </c>
      <c r="H2131">
        <v>1284.6507568</v>
      </c>
      <c r="I2131">
        <v>1404.8395995999999</v>
      </c>
      <c r="J2131">
        <v>1381.9954834</v>
      </c>
      <c r="K2131">
        <v>0</v>
      </c>
      <c r="L2131">
        <v>2750</v>
      </c>
      <c r="M2131">
        <v>2750</v>
      </c>
      <c r="N2131">
        <v>0</v>
      </c>
    </row>
    <row r="2132" spans="1:14" x14ac:dyDescent="0.25">
      <c r="A2132">
        <v>1651.3519659999999</v>
      </c>
      <c r="B2132" s="1">
        <f>DATE(2014,11,7) + TIME(8,26,49)</f>
        <v>41950.351956018516</v>
      </c>
      <c r="C2132">
        <v>80</v>
      </c>
      <c r="D2132">
        <v>79.267402649000005</v>
      </c>
      <c r="E2132">
        <v>50</v>
      </c>
      <c r="F2132">
        <v>49.977252960000001</v>
      </c>
      <c r="G2132">
        <v>1298.9285889</v>
      </c>
      <c r="H2132">
        <v>1284.6287841999999</v>
      </c>
      <c r="I2132">
        <v>1404.7792969</v>
      </c>
      <c r="J2132">
        <v>1381.9471435999999</v>
      </c>
      <c r="K2132">
        <v>0</v>
      </c>
      <c r="L2132">
        <v>2750</v>
      </c>
      <c r="M2132">
        <v>2750</v>
      </c>
      <c r="N2132">
        <v>0</v>
      </c>
    </row>
    <row r="2133" spans="1:14" x14ac:dyDescent="0.25">
      <c r="A2133">
        <v>1651.846851</v>
      </c>
      <c r="B2133" s="1">
        <f>DATE(2014,11,7) + TIME(20,19,27)</f>
        <v>41950.84684027778</v>
      </c>
      <c r="C2133">
        <v>80</v>
      </c>
      <c r="D2133">
        <v>79.219917296999995</v>
      </c>
      <c r="E2133">
        <v>50</v>
      </c>
      <c r="F2133">
        <v>49.978282927999999</v>
      </c>
      <c r="G2133">
        <v>1298.9084473</v>
      </c>
      <c r="H2133">
        <v>1284.6060791</v>
      </c>
      <c r="I2133">
        <v>1404.7214355000001</v>
      </c>
      <c r="J2133">
        <v>1381.9008789</v>
      </c>
      <c r="K2133">
        <v>0</v>
      </c>
      <c r="L2133">
        <v>2750</v>
      </c>
      <c r="M2133">
        <v>2750</v>
      </c>
      <c r="N2133">
        <v>0</v>
      </c>
    </row>
    <row r="2134" spans="1:14" x14ac:dyDescent="0.25">
      <c r="A2134">
        <v>1652.371126</v>
      </c>
      <c r="B2134" s="1">
        <f>DATE(2014,11,8) + TIME(8,54,25)</f>
        <v>41951.371122685188</v>
      </c>
      <c r="C2134">
        <v>80</v>
      </c>
      <c r="D2134">
        <v>79.170433044000006</v>
      </c>
      <c r="E2134">
        <v>50</v>
      </c>
      <c r="F2134">
        <v>49.978954315000003</v>
      </c>
      <c r="G2134">
        <v>1298.8874512</v>
      </c>
      <c r="H2134">
        <v>1284.5825195</v>
      </c>
      <c r="I2134">
        <v>1404.6652832</v>
      </c>
      <c r="J2134">
        <v>1381.8558350000001</v>
      </c>
      <c r="K2134">
        <v>0</v>
      </c>
      <c r="L2134">
        <v>2750</v>
      </c>
      <c r="M2134">
        <v>2750</v>
      </c>
      <c r="N2134">
        <v>0</v>
      </c>
    </row>
    <row r="2135" spans="1:14" x14ac:dyDescent="0.25">
      <c r="A2135">
        <v>1652.933276</v>
      </c>
      <c r="B2135" s="1">
        <f>DATE(2014,11,8) + TIME(22,23,55)</f>
        <v>41951.933275462965</v>
      </c>
      <c r="C2135">
        <v>80</v>
      </c>
      <c r="D2135">
        <v>79.118385314999998</v>
      </c>
      <c r="E2135">
        <v>50</v>
      </c>
      <c r="F2135">
        <v>49.979396819999998</v>
      </c>
      <c r="G2135">
        <v>1298.8652344</v>
      </c>
      <c r="H2135">
        <v>1284.5574951000001</v>
      </c>
      <c r="I2135">
        <v>1404.6096190999999</v>
      </c>
      <c r="J2135">
        <v>1381.8115233999999</v>
      </c>
      <c r="K2135">
        <v>0</v>
      </c>
      <c r="L2135">
        <v>2750</v>
      </c>
      <c r="M2135">
        <v>2750</v>
      </c>
      <c r="N2135">
        <v>0</v>
      </c>
    </row>
    <row r="2136" spans="1:14" x14ac:dyDescent="0.25">
      <c r="A2136">
        <v>1653.543885</v>
      </c>
      <c r="B2136" s="1">
        <f>DATE(2014,11,9) + TIME(13,3,11)</f>
        <v>41952.543877314813</v>
      </c>
      <c r="C2136">
        <v>80</v>
      </c>
      <c r="D2136">
        <v>79.063056946000003</v>
      </c>
      <c r="E2136">
        <v>50</v>
      </c>
      <c r="F2136">
        <v>49.979686737000002</v>
      </c>
      <c r="G2136">
        <v>1298.8415527</v>
      </c>
      <c r="H2136">
        <v>1284.5306396000001</v>
      </c>
      <c r="I2136">
        <v>1404.5540771000001</v>
      </c>
      <c r="J2136">
        <v>1381.7670897999999</v>
      </c>
      <c r="K2136">
        <v>0</v>
      </c>
      <c r="L2136">
        <v>2750</v>
      </c>
      <c r="M2136">
        <v>2750</v>
      </c>
      <c r="N2136">
        <v>0</v>
      </c>
    </row>
    <row r="2137" spans="1:14" x14ac:dyDescent="0.25">
      <c r="A2137">
        <v>1654.204072</v>
      </c>
      <c r="B2137" s="1">
        <f>DATE(2014,11,10) + TIME(4,53,51)</f>
        <v>41953.204062500001</v>
      </c>
      <c r="C2137">
        <v>80</v>
      </c>
      <c r="D2137">
        <v>79.004127502000003</v>
      </c>
      <c r="E2137">
        <v>50</v>
      </c>
      <c r="F2137">
        <v>49.979881286999998</v>
      </c>
      <c r="G2137">
        <v>1298.8157959</v>
      </c>
      <c r="H2137">
        <v>1284.5017089999999</v>
      </c>
      <c r="I2137">
        <v>1404.4976807</v>
      </c>
      <c r="J2137">
        <v>1381.722168</v>
      </c>
      <c r="K2137">
        <v>0</v>
      </c>
      <c r="L2137">
        <v>2750</v>
      </c>
      <c r="M2137">
        <v>2750</v>
      </c>
      <c r="N2137">
        <v>0</v>
      </c>
    </row>
    <row r="2138" spans="1:14" x14ac:dyDescent="0.25">
      <c r="A2138">
        <v>1654.917267</v>
      </c>
      <c r="B2138" s="1">
        <f>DATE(2014,11,10) + TIME(22,0,51)</f>
        <v>41953.917256944442</v>
      </c>
      <c r="C2138">
        <v>80</v>
      </c>
      <c r="D2138">
        <v>78.941268921000002</v>
      </c>
      <c r="E2138">
        <v>50</v>
      </c>
      <c r="F2138">
        <v>49.980007172000001</v>
      </c>
      <c r="G2138">
        <v>1298.7879639</v>
      </c>
      <c r="H2138">
        <v>1284.4703368999999</v>
      </c>
      <c r="I2138">
        <v>1404.4406738</v>
      </c>
      <c r="J2138">
        <v>1381.6770019999999</v>
      </c>
      <c r="K2138">
        <v>0</v>
      </c>
      <c r="L2138">
        <v>2750</v>
      </c>
      <c r="M2138">
        <v>2750</v>
      </c>
      <c r="N2138">
        <v>0</v>
      </c>
    </row>
    <row r="2139" spans="1:14" x14ac:dyDescent="0.25">
      <c r="A2139">
        <v>1655.6364209999999</v>
      </c>
      <c r="B2139" s="1">
        <f>DATE(2014,11,11) + TIME(15,16,26)</f>
        <v>41954.636412037034</v>
      </c>
      <c r="C2139">
        <v>80</v>
      </c>
      <c r="D2139">
        <v>78.876441955999994</v>
      </c>
      <c r="E2139">
        <v>50</v>
      </c>
      <c r="F2139">
        <v>49.980087279999999</v>
      </c>
      <c r="G2139">
        <v>1298.7578125</v>
      </c>
      <c r="H2139">
        <v>1284.4366454999999</v>
      </c>
      <c r="I2139">
        <v>1404.3831786999999</v>
      </c>
      <c r="J2139">
        <v>1381.6314697</v>
      </c>
      <c r="K2139">
        <v>0</v>
      </c>
      <c r="L2139">
        <v>2750</v>
      </c>
      <c r="M2139">
        <v>2750</v>
      </c>
      <c r="N2139">
        <v>0</v>
      </c>
    </row>
    <row r="2140" spans="1:14" x14ac:dyDescent="0.25">
      <c r="A2140">
        <v>1656.366681</v>
      </c>
      <c r="B2140" s="1">
        <f>DATE(2014,11,12) + TIME(8,48,1)</f>
        <v>41955.366678240738</v>
      </c>
      <c r="C2140">
        <v>80</v>
      </c>
      <c r="D2140">
        <v>78.810462951999995</v>
      </c>
      <c r="E2140">
        <v>50</v>
      </c>
      <c r="F2140">
        <v>49.980136870999999</v>
      </c>
      <c r="G2140">
        <v>1298.7274170000001</v>
      </c>
      <c r="H2140">
        <v>1284.4024658000001</v>
      </c>
      <c r="I2140">
        <v>1404.3291016000001</v>
      </c>
      <c r="J2140">
        <v>1381.5886230000001</v>
      </c>
      <c r="K2140">
        <v>0</v>
      </c>
      <c r="L2140">
        <v>2750</v>
      </c>
      <c r="M2140">
        <v>2750</v>
      </c>
      <c r="N2140">
        <v>0</v>
      </c>
    </row>
    <row r="2141" spans="1:14" x14ac:dyDescent="0.25">
      <c r="A2141">
        <v>1657.1179890000001</v>
      </c>
      <c r="B2141" s="1">
        <f>DATE(2014,11,13) + TIME(2,49,54)</f>
        <v>41956.117986111109</v>
      </c>
      <c r="C2141">
        <v>80</v>
      </c>
      <c r="D2141">
        <v>78.743316649999997</v>
      </c>
      <c r="E2141">
        <v>50</v>
      </c>
      <c r="F2141">
        <v>49.980175017999997</v>
      </c>
      <c r="G2141">
        <v>1298.6965332</v>
      </c>
      <c r="H2141">
        <v>1284.3675536999999</v>
      </c>
      <c r="I2141">
        <v>1404.2774658000001</v>
      </c>
      <c r="J2141">
        <v>1381.5479736</v>
      </c>
      <c r="K2141">
        <v>0</v>
      </c>
      <c r="L2141">
        <v>2750</v>
      </c>
      <c r="M2141">
        <v>2750</v>
      </c>
      <c r="N2141">
        <v>0</v>
      </c>
    </row>
    <row r="2142" spans="1:14" x14ac:dyDescent="0.25">
      <c r="A2142">
        <v>1657.900294</v>
      </c>
      <c r="B2142" s="1">
        <f>DATE(2014,11,13) + TIME(21,36,25)</f>
        <v>41956.900289351855</v>
      </c>
      <c r="C2142">
        <v>80</v>
      </c>
      <c r="D2142">
        <v>78.674575806000007</v>
      </c>
      <c r="E2142">
        <v>50</v>
      </c>
      <c r="F2142">
        <v>49.980197906000001</v>
      </c>
      <c r="G2142">
        <v>1298.6649170000001</v>
      </c>
      <c r="H2142">
        <v>1284.3317870999999</v>
      </c>
      <c r="I2142">
        <v>1404.2275391000001</v>
      </c>
      <c r="J2142">
        <v>1381.5086670000001</v>
      </c>
      <c r="K2142">
        <v>0</v>
      </c>
      <c r="L2142">
        <v>2750</v>
      </c>
      <c r="M2142">
        <v>2750</v>
      </c>
      <c r="N2142">
        <v>0</v>
      </c>
    </row>
    <row r="2143" spans="1:14" x14ac:dyDescent="0.25">
      <c r="A2143">
        <v>1658.7243639999999</v>
      </c>
      <c r="B2143" s="1">
        <f>DATE(2014,11,14) + TIME(17,23,5)</f>
        <v>41957.724363425928</v>
      </c>
      <c r="C2143">
        <v>80</v>
      </c>
      <c r="D2143">
        <v>78.603591918999996</v>
      </c>
      <c r="E2143">
        <v>50</v>
      </c>
      <c r="F2143">
        <v>49.980216980000002</v>
      </c>
      <c r="G2143">
        <v>1298.6318358999999</v>
      </c>
      <c r="H2143">
        <v>1284.2943115</v>
      </c>
      <c r="I2143">
        <v>1404.1785889</v>
      </c>
      <c r="J2143">
        <v>1381.4700928</v>
      </c>
      <c r="K2143">
        <v>0</v>
      </c>
      <c r="L2143">
        <v>2750</v>
      </c>
      <c r="M2143">
        <v>2750</v>
      </c>
      <c r="N2143">
        <v>0</v>
      </c>
    </row>
    <row r="2144" spans="1:14" x14ac:dyDescent="0.25">
      <c r="A2144">
        <v>1659.6031889999999</v>
      </c>
      <c r="B2144" s="1">
        <f>DATE(2014,11,15) + TIME(14,28,35)</f>
        <v>41958.603182870371</v>
      </c>
      <c r="C2144">
        <v>80</v>
      </c>
      <c r="D2144">
        <v>78.529563904</v>
      </c>
      <c r="E2144">
        <v>50</v>
      </c>
      <c r="F2144">
        <v>49.980232239000003</v>
      </c>
      <c r="G2144">
        <v>1298.5970459</v>
      </c>
      <c r="H2144">
        <v>1284.2547606999999</v>
      </c>
      <c r="I2144">
        <v>1404.1297606999999</v>
      </c>
      <c r="J2144">
        <v>1381.4318848</v>
      </c>
      <c r="K2144">
        <v>0</v>
      </c>
      <c r="L2144">
        <v>2750</v>
      </c>
      <c r="M2144">
        <v>2750</v>
      </c>
      <c r="N2144">
        <v>0</v>
      </c>
    </row>
    <row r="2145" spans="1:14" x14ac:dyDescent="0.25">
      <c r="A2145">
        <v>1660.552925</v>
      </c>
      <c r="B2145" s="1">
        <f>DATE(2014,11,16) + TIME(13,16,12)</f>
        <v>41959.552916666667</v>
      </c>
      <c r="C2145">
        <v>80</v>
      </c>
      <c r="D2145">
        <v>78.451454162999994</v>
      </c>
      <c r="E2145">
        <v>50</v>
      </c>
      <c r="F2145">
        <v>49.980243682999998</v>
      </c>
      <c r="G2145">
        <v>1298.5598144999999</v>
      </c>
      <c r="H2145">
        <v>1284.2124022999999</v>
      </c>
      <c r="I2145">
        <v>1404.0805664</v>
      </c>
      <c r="J2145">
        <v>1381.3933105000001</v>
      </c>
      <c r="K2145">
        <v>0</v>
      </c>
      <c r="L2145">
        <v>2750</v>
      </c>
      <c r="M2145">
        <v>2750</v>
      </c>
      <c r="N2145">
        <v>0</v>
      </c>
    </row>
    <row r="2146" spans="1:14" x14ac:dyDescent="0.25">
      <c r="A2146">
        <v>1661.565053</v>
      </c>
      <c r="B2146" s="1">
        <f>DATE(2014,11,17) + TIME(13,33,40)</f>
        <v>41960.565046296295</v>
      </c>
      <c r="C2146">
        <v>80</v>
      </c>
      <c r="D2146">
        <v>78.368995666999993</v>
      </c>
      <c r="E2146">
        <v>50</v>
      </c>
      <c r="F2146">
        <v>49.980251312</v>
      </c>
      <c r="G2146">
        <v>1298.5194091999999</v>
      </c>
      <c r="H2146">
        <v>1284.1665039</v>
      </c>
      <c r="I2146">
        <v>1404.0302733999999</v>
      </c>
      <c r="J2146">
        <v>1381.3540039</v>
      </c>
      <c r="K2146">
        <v>0</v>
      </c>
      <c r="L2146">
        <v>2750</v>
      </c>
      <c r="M2146">
        <v>2750</v>
      </c>
      <c r="N2146">
        <v>0</v>
      </c>
    </row>
    <row r="2147" spans="1:14" x14ac:dyDescent="0.25">
      <c r="A2147">
        <v>1662.5816649999999</v>
      </c>
      <c r="B2147" s="1">
        <f>DATE(2014,11,18) + TIME(13,57,35)</f>
        <v>41961.581655092596</v>
      </c>
      <c r="C2147">
        <v>80</v>
      </c>
      <c r="D2147">
        <v>78.284194946</v>
      </c>
      <c r="E2147">
        <v>50</v>
      </c>
      <c r="F2147">
        <v>49.980258941999999</v>
      </c>
      <c r="G2147">
        <v>1298.4760742000001</v>
      </c>
      <c r="H2147">
        <v>1284.1174315999999</v>
      </c>
      <c r="I2147">
        <v>1403.9796143000001</v>
      </c>
      <c r="J2147">
        <v>1381.3144531</v>
      </c>
      <c r="K2147">
        <v>0</v>
      </c>
      <c r="L2147">
        <v>2750</v>
      </c>
      <c r="M2147">
        <v>2750</v>
      </c>
      <c r="N2147">
        <v>0</v>
      </c>
    </row>
    <row r="2148" spans="1:14" x14ac:dyDescent="0.25">
      <c r="A2148">
        <v>1663.6165739999999</v>
      </c>
      <c r="B2148" s="1">
        <f>DATE(2014,11,19) + TIME(14,47,52)</f>
        <v>41962.616574074076</v>
      </c>
      <c r="C2148">
        <v>80</v>
      </c>
      <c r="D2148">
        <v>78.198303222999996</v>
      </c>
      <c r="E2148">
        <v>50</v>
      </c>
      <c r="F2148">
        <v>49.980266571000001</v>
      </c>
      <c r="G2148">
        <v>1298.4323730000001</v>
      </c>
      <c r="H2148">
        <v>1284.0676269999999</v>
      </c>
      <c r="I2148">
        <v>1403.9315185999999</v>
      </c>
      <c r="J2148">
        <v>1381.2768555</v>
      </c>
      <c r="K2148">
        <v>0</v>
      </c>
      <c r="L2148">
        <v>2750</v>
      </c>
      <c r="M2148">
        <v>2750</v>
      </c>
      <c r="N2148">
        <v>0</v>
      </c>
    </row>
    <row r="2149" spans="1:14" x14ac:dyDescent="0.25">
      <c r="A2149">
        <v>1664.6837330000001</v>
      </c>
      <c r="B2149" s="1">
        <f>DATE(2014,11,20) + TIME(16,24,34)</f>
        <v>41963.68372685185</v>
      </c>
      <c r="C2149">
        <v>80</v>
      </c>
      <c r="D2149">
        <v>78.111213684000006</v>
      </c>
      <c r="E2149">
        <v>50</v>
      </c>
      <c r="F2149">
        <v>49.980274199999997</v>
      </c>
      <c r="G2149">
        <v>1298.3875731999999</v>
      </c>
      <c r="H2149">
        <v>1284.0164795000001</v>
      </c>
      <c r="I2149">
        <v>1403.8851318</v>
      </c>
      <c r="J2149">
        <v>1381.2407227000001</v>
      </c>
      <c r="K2149">
        <v>0</v>
      </c>
      <c r="L2149">
        <v>2750</v>
      </c>
      <c r="M2149">
        <v>2750</v>
      </c>
      <c r="N2149">
        <v>0</v>
      </c>
    </row>
    <row r="2150" spans="1:14" x14ac:dyDescent="0.25">
      <c r="A2150">
        <v>1665.7976160000001</v>
      </c>
      <c r="B2150" s="1">
        <f>DATE(2014,11,21) + TIME(19,8,34)</f>
        <v>41964.797615740739</v>
      </c>
      <c r="C2150">
        <v>80</v>
      </c>
      <c r="D2150">
        <v>78.022232056000007</v>
      </c>
      <c r="E2150">
        <v>50</v>
      </c>
      <c r="F2150">
        <v>49.980281830000003</v>
      </c>
      <c r="G2150">
        <v>1298.3413086</v>
      </c>
      <c r="H2150">
        <v>1283.9632568</v>
      </c>
      <c r="I2150">
        <v>1403.8397216999999</v>
      </c>
      <c r="J2150">
        <v>1381.2053223</v>
      </c>
      <c r="K2150">
        <v>0</v>
      </c>
      <c r="L2150">
        <v>2750</v>
      </c>
      <c r="M2150">
        <v>2750</v>
      </c>
      <c r="N2150">
        <v>0</v>
      </c>
    </row>
    <row r="2151" spans="1:14" x14ac:dyDescent="0.25">
      <c r="A2151">
        <v>1666.974594</v>
      </c>
      <c r="B2151" s="1">
        <f>DATE(2014,11,22) + TIME(23,23,24)</f>
        <v>41965.974583333336</v>
      </c>
      <c r="C2151">
        <v>80</v>
      </c>
      <c r="D2151">
        <v>77.930397033999995</v>
      </c>
      <c r="E2151">
        <v>50</v>
      </c>
      <c r="F2151">
        <v>49.980289458999998</v>
      </c>
      <c r="G2151">
        <v>1298.2924805</v>
      </c>
      <c r="H2151">
        <v>1283.9072266000001</v>
      </c>
      <c r="I2151">
        <v>1403.7945557</v>
      </c>
      <c r="J2151">
        <v>1381.1700439000001</v>
      </c>
      <c r="K2151">
        <v>0</v>
      </c>
      <c r="L2151">
        <v>2750</v>
      </c>
      <c r="M2151">
        <v>2750</v>
      </c>
      <c r="N2151">
        <v>0</v>
      </c>
    </row>
    <row r="2152" spans="1:14" x14ac:dyDescent="0.25">
      <c r="A2152">
        <v>1668.232346</v>
      </c>
      <c r="B2152" s="1">
        <f>DATE(2014,11,24) + TIME(5,34,34)</f>
        <v>41967.23233796296</v>
      </c>
      <c r="C2152">
        <v>80</v>
      </c>
      <c r="D2152">
        <v>77.834602356000005</v>
      </c>
      <c r="E2152">
        <v>50</v>
      </c>
      <c r="F2152">
        <v>49.980297088999997</v>
      </c>
      <c r="G2152">
        <v>1298.2406006000001</v>
      </c>
      <c r="H2152">
        <v>1283.8474120999999</v>
      </c>
      <c r="I2152">
        <v>1403.7491454999999</v>
      </c>
      <c r="J2152">
        <v>1381.1347656</v>
      </c>
      <c r="K2152">
        <v>0</v>
      </c>
      <c r="L2152">
        <v>2750</v>
      </c>
      <c r="M2152">
        <v>2750</v>
      </c>
      <c r="N2152">
        <v>0</v>
      </c>
    </row>
    <row r="2153" spans="1:14" x14ac:dyDescent="0.25">
      <c r="A2153">
        <v>1669.5795949999999</v>
      </c>
      <c r="B2153" s="1">
        <f>DATE(2014,11,25) + TIME(13,54,37)</f>
        <v>41968.579594907409</v>
      </c>
      <c r="C2153">
        <v>80</v>
      </c>
      <c r="D2153">
        <v>77.733917235999996</v>
      </c>
      <c r="E2153">
        <v>50</v>
      </c>
      <c r="F2153">
        <v>49.980308532999999</v>
      </c>
      <c r="G2153">
        <v>1298.1846923999999</v>
      </c>
      <c r="H2153">
        <v>1283.7827147999999</v>
      </c>
      <c r="I2153">
        <v>1403.7030029</v>
      </c>
      <c r="J2153">
        <v>1381.0987548999999</v>
      </c>
      <c r="K2153">
        <v>0</v>
      </c>
      <c r="L2153">
        <v>2750</v>
      </c>
      <c r="M2153">
        <v>2750</v>
      </c>
      <c r="N2153">
        <v>0</v>
      </c>
    </row>
    <row r="2154" spans="1:14" x14ac:dyDescent="0.25">
      <c r="A2154">
        <v>1670.9343679999999</v>
      </c>
      <c r="B2154" s="1">
        <f>DATE(2014,11,26) + TIME(22,25,29)</f>
        <v>41969.934363425928</v>
      </c>
      <c r="C2154">
        <v>80</v>
      </c>
      <c r="D2154">
        <v>77.630043029999996</v>
      </c>
      <c r="E2154">
        <v>50</v>
      </c>
      <c r="F2154">
        <v>49.980316162000001</v>
      </c>
      <c r="G2154">
        <v>1298.1240233999999</v>
      </c>
      <c r="H2154">
        <v>1283.7126464999999</v>
      </c>
      <c r="I2154">
        <v>1403.6557617000001</v>
      </c>
      <c r="J2154">
        <v>1381.0618896000001</v>
      </c>
      <c r="K2154">
        <v>0</v>
      </c>
      <c r="L2154">
        <v>2750</v>
      </c>
      <c r="M2154">
        <v>2750</v>
      </c>
      <c r="N2154">
        <v>0</v>
      </c>
    </row>
    <row r="2155" spans="1:14" x14ac:dyDescent="0.25">
      <c r="A2155">
        <v>1672.3064859999999</v>
      </c>
      <c r="B2155" s="1">
        <f>DATE(2014,11,28) + TIME(7,21,20)</f>
        <v>41971.306481481479</v>
      </c>
      <c r="C2155">
        <v>80</v>
      </c>
      <c r="D2155">
        <v>77.525321959999999</v>
      </c>
      <c r="E2155">
        <v>50</v>
      </c>
      <c r="F2155">
        <v>49.980327606000003</v>
      </c>
      <c r="G2155">
        <v>1298.0622559000001</v>
      </c>
      <c r="H2155">
        <v>1283.6407471</v>
      </c>
      <c r="I2155">
        <v>1403.6105957</v>
      </c>
      <c r="J2155">
        <v>1381.0267334</v>
      </c>
      <c r="K2155">
        <v>0</v>
      </c>
      <c r="L2155">
        <v>2750</v>
      </c>
      <c r="M2155">
        <v>2750</v>
      </c>
      <c r="N2155">
        <v>0</v>
      </c>
    </row>
    <row r="2156" spans="1:14" x14ac:dyDescent="0.25">
      <c r="A2156">
        <v>1673.71408</v>
      </c>
      <c r="B2156" s="1">
        <f>DATE(2014,11,29) + TIME(17,8,16)</f>
        <v>41972.714074074072</v>
      </c>
      <c r="C2156">
        <v>80</v>
      </c>
      <c r="D2156">
        <v>77.419883728000002</v>
      </c>
      <c r="E2156">
        <v>50</v>
      </c>
      <c r="F2156">
        <v>49.980335236000002</v>
      </c>
      <c r="G2156">
        <v>1297.9989014</v>
      </c>
      <c r="H2156">
        <v>1283.5667725000001</v>
      </c>
      <c r="I2156">
        <v>1403.5670166</v>
      </c>
      <c r="J2156">
        <v>1380.9926757999999</v>
      </c>
      <c r="K2156">
        <v>0</v>
      </c>
      <c r="L2156">
        <v>2750</v>
      </c>
      <c r="M2156">
        <v>2750</v>
      </c>
      <c r="N2156">
        <v>0</v>
      </c>
    </row>
    <row r="2157" spans="1:14" x14ac:dyDescent="0.25">
      <c r="A2157">
        <v>1675</v>
      </c>
      <c r="B2157" s="1">
        <f>DATE(2014,12,1) + TIME(0,0,0)</f>
        <v>41974</v>
      </c>
      <c r="C2157">
        <v>80</v>
      </c>
      <c r="D2157">
        <v>77.317611693999993</v>
      </c>
      <c r="E2157">
        <v>50</v>
      </c>
      <c r="F2157">
        <v>49.980346679999997</v>
      </c>
      <c r="G2157">
        <v>1297.9328613</v>
      </c>
      <c r="H2157">
        <v>1283.4897461</v>
      </c>
      <c r="I2157">
        <v>1403.5240478999999</v>
      </c>
      <c r="J2157">
        <v>1380.9591064000001</v>
      </c>
      <c r="K2157">
        <v>0</v>
      </c>
      <c r="L2157">
        <v>2750</v>
      </c>
      <c r="M2157">
        <v>2750</v>
      </c>
      <c r="N2157">
        <v>0</v>
      </c>
    </row>
    <row r="2158" spans="1:14" x14ac:dyDescent="0.25">
      <c r="A2158">
        <v>1676.4616229999999</v>
      </c>
      <c r="B2158" s="1">
        <f>DATE(2014,12,2) + TIME(11,4,44)</f>
        <v>41975.46162037037</v>
      </c>
      <c r="C2158">
        <v>80</v>
      </c>
      <c r="D2158">
        <v>77.215248107999997</v>
      </c>
      <c r="E2158">
        <v>50</v>
      </c>
      <c r="F2158">
        <v>49.980358123999999</v>
      </c>
      <c r="G2158">
        <v>1297.8719481999999</v>
      </c>
      <c r="H2158">
        <v>1283.4169922000001</v>
      </c>
      <c r="I2158">
        <v>1403.4865723</v>
      </c>
      <c r="J2158">
        <v>1380.9299315999999</v>
      </c>
      <c r="K2158">
        <v>0</v>
      </c>
      <c r="L2158">
        <v>2750</v>
      </c>
      <c r="M2158">
        <v>2750</v>
      </c>
      <c r="N2158">
        <v>0</v>
      </c>
    </row>
    <row r="2159" spans="1:14" x14ac:dyDescent="0.25">
      <c r="A2159">
        <v>1678.0839370000001</v>
      </c>
      <c r="B2159" s="1">
        <f>DATE(2014,12,4) + TIME(2,0,52)</f>
        <v>41977.083935185183</v>
      </c>
      <c r="C2159">
        <v>80</v>
      </c>
      <c r="D2159">
        <v>77.106140136999997</v>
      </c>
      <c r="E2159">
        <v>50</v>
      </c>
      <c r="F2159">
        <v>49.980373383</v>
      </c>
      <c r="G2159">
        <v>1297.8017577999999</v>
      </c>
      <c r="H2159">
        <v>1283.3338623</v>
      </c>
      <c r="I2159">
        <v>1403.4455565999999</v>
      </c>
      <c r="J2159">
        <v>1380.8978271000001</v>
      </c>
      <c r="K2159">
        <v>0</v>
      </c>
      <c r="L2159">
        <v>2750</v>
      </c>
      <c r="M2159">
        <v>2750</v>
      </c>
      <c r="N2159">
        <v>0</v>
      </c>
    </row>
    <row r="2160" spans="1:14" x14ac:dyDescent="0.25">
      <c r="A2160">
        <v>1679.8013060000001</v>
      </c>
      <c r="B2160" s="1">
        <f>DATE(2014,12,5) + TIME(19,13,52)</f>
        <v>41978.801296296297</v>
      </c>
      <c r="C2160">
        <v>80</v>
      </c>
      <c r="D2160">
        <v>76.989440918</v>
      </c>
      <c r="E2160">
        <v>50</v>
      </c>
      <c r="F2160">
        <v>49.980384827000002</v>
      </c>
      <c r="G2160">
        <v>1297.7225341999999</v>
      </c>
      <c r="H2160">
        <v>1283.2399902</v>
      </c>
      <c r="I2160">
        <v>1403.4018555</v>
      </c>
      <c r="J2160">
        <v>1380.8636475000001</v>
      </c>
      <c r="K2160">
        <v>0</v>
      </c>
      <c r="L2160">
        <v>2750</v>
      </c>
      <c r="M2160">
        <v>2750</v>
      </c>
      <c r="N2160">
        <v>0</v>
      </c>
    </row>
    <row r="2161" spans="1:14" x14ac:dyDescent="0.25">
      <c r="A2161">
        <v>1681.5303610000001</v>
      </c>
      <c r="B2161" s="1">
        <f>DATE(2014,12,7) + TIME(12,43,43)</f>
        <v>41980.530358796299</v>
      </c>
      <c r="C2161">
        <v>80</v>
      </c>
      <c r="D2161">
        <v>76.868576050000001</v>
      </c>
      <c r="E2161">
        <v>50</v>
      </c>
      <c r="F2161">
        <v>49.980400084999999</v>
      </c>
      <c r="G2161">
        <v>1297.6369629000001</v>
      </c>
      <c r="H2161">
        <v>1283.1381836</v>
      </c>
      <c r="I2161">
        <v>1403.3574219</v>
      </c>
      <c r="J2161">
        <v>1380.8288574000001</v>
      </c>
      <c r="K2161">
        <v>0</v>
      </c>
      <c r="L2161">
        <v>2750</v>
      </c>
      <c r="M2161">
        <v>2750</v>
      </c>
      <c r="N2161">
        <v>0</v>
      </c>
    </row>
    <row r="2162" spans="1:14" x14ac:dyDescent="0.25">
      <c r="A2162">
        <v>1683.286593</v>
      </c>
      <c r="B2162" s="1">
        <f>DATE(2014,12,9) + TIME(6,52,41)</f>
        <v>41982.286585648151</v>
      </c>
      <c r="C2162">
        <v>80</v>
      </c>
      <c r="D2162">
        <v>76.746788025000001</v>
      </c>
      <c r="E2162">
        <v>50</v>
      </c>
      <c r="F2162">
        <v>49.980415344000001</v>
      </c>
      <c r="G2162">
        <v>1297.5490723</v>
      </c>
      <c r="H2162">
        <v>1283.0325928</v>
      </c>
      <c r="I2162">
        <v>1403.3145752</v>
      </c>
      <c r="J2162">
        <v>1380.7951660000001</v>
      </c>
      <c r="K2162">
        <v>0</v>
      </c>
      <c r="L2162">
        <v>2750</v>
      </c>
      <c r="M2162">
        <v>2750</v>
      </c>
      <c r="N2162">
        <v>0</v>
      </c>
    </row>
    <row r="2163" spans="1:14" x14ac:dyDescent="0.25">
      <c r="A2163">
        <v>1685.0929940000001</v>
      </c>
      <c r="B2163" s="1">
        <f>DATE(2014,12,11) + TIME(2,13,54)</f>
        <v>41984.092986111114</v>
      </c>
      <c r="C2163">
        <v>80</v>
      </c>
      <c r="D2163">
        <v>76.624153136999993</v>
      </c>
      <c r="E2163">
        <v>50</v>
      </c>
      <c r="F2163">
        <v>49.980430603000002</v>
      </c>
      <c r="G2163">
        <v>1297.4578856999999</v>
      </c>
      <c r="H2163">
        <v>1282.9224853999999</v>
      </c>
      <c r="I2163">
        <v>1403.2728271000001</v>
      </c>
      <c r="J2163">
        <v>1380.7623291</v>
      </c>
      <c r="K2163">
        <v>0</v>
      </c>
      <c r="L2163">
        <v>2750</v>
      </c>
      <c r="M2163">
        <v>2750</v>
      </c>
      <c r="N2163">
        <v>0</v>
      </c>
    </row>
    <row r="2164" spans="1:14" x14ac:dyDescent="0.25">
      <c r="A2164">
        <v>1686.9738299999999</v>
      </c>
      <c r="B2164" s="1">
        <f>DATE(2014,12,12) + TIME(23,22,18)</f>
        <v>41985.973819444444</v>
      </c>
      <c r="C2164">
        <v>80</v>
      </c>
      <c r="D2164">
        <v>76.499618530000006</v>
      </c>
      <c r="E2164">
        <v>50</v>
      </c>
      <c r="F2164">
        <v>49.980449677000003</v>
      </c>
      <c r="G2164">
        <v>1297.3621826000001</v>
      </c>
      <c r="H2164">
        <v>1282.8061522999999</v>
      </c>
      <c r="I2164">
        <v>1403.2314452999999</v>
      </c>
      <c r="J2164">
        <v>1380.7297363</v>
      </c>
      <c r="K2164">
        <v>0</v>
      </c>
      <c r="L2164">
        <v>2750</v>
      </c>
      <c r="M2164">
        <v>2750</v>
      </c>
      <c r="N2164">
        <v>0</v>
      </c>
    </row>
    <row r="2165" spans="1:14" x14ac:dyDescent="0.25">
      <c r="A2165">
        <v>1688.910059</v>
      </c>
      <c r="B2165" s="1">
        <f>DATE(2014,12,14) + TIME(21,50,29)</f>
        <v>41987.910057870373</v>
      </c>
      <c r="C2165">
        <v>80</v>
      </c>
      <c r="D2165">
        <v>76.372566223000007</v>
      </c>
      <c r="E2165">
        <v>50</v>
      </c>
      <c r="F2165">
        <v>49.980464935000001</v>
      </c>
      <c r="G2165">
        <v>1297.2602539</v>
      </c>
      <c r="H2165">
        <v>1282.6817627</v>
      </c>
      <c r="I2165">
        <v>1403.1900635</v>
      </c>
      <c r="J2165">
        <v>1380.6970214999999</v>
      </c>
      <c r="K2165">
        <v>0</v>
      </c>
      <c r="L2165">
        <v>2750</v>
      </c>
      <c r="M2165">
        <v>2750</v>
      </c>
      <c r="N2165">
        <v>0</v>
      </c>
    </row>
    <row r="2166" spans="1:14" x14ac:dyDescent="0.25">
      <c r="A2166">
        <v>1690.885338</v>
      </c>
      <c r="B2166" s="1">
        <f>DATE(2014,12,16) + TIME(21,14,53)</f>
        <v>41989.885335648149</v>
      </c>
      <c r="C2166">
        <v>80</v>
      </c>
      <c r="D2166">
        <v>76.243736267000003</v>
      </c>
      <c r="E2166">
        <v>50</v>
      </c>
      <c r="F2166">
        <v>49.980484009000001</v>
      </c>
      <c r="G2166">
        <v>1297.152832</v>
      </c>
      <c r="H2166">
        <v>1282.5499268000001</v>
      </c>
      <c r="I2166">
        <v>1403.1489257999999</v>
      </c>
      <c r="J2166">
        <v>1380.6645507999999</v>
      </c>
      <c r="K2166">
        <v>0</v>
      </c>
      <c r="L2166">
        <v>2750</v>
      </c>
      <c r="M2166">
        <v>2750</v>
      </c>
      <c r="N2166">
        <v>0</v>
      </c>
    </row>
    <row r="2167" spans="1:14" x14ac:dyDescent="0.25">
      <c r="A2167">
        <v>1692.8958439999999</v>
      </c>
      <c r="B2167" s="1">
        <f>DATE(2014,12,18) + TIME(21,30,0)</f>
        <v>41991.895833333336</v>
      </c>
      <c r="C2167">
        <v>80</v>
      </c>
      <c r="D2167">
        <v>76.11390686</v>
      </c>
      <c r="E2167">
        <v>50</v>
      </c>
      <c r="F2167">
        <v>49.980503081999998</v>
      </c>
      <c r="G2167">
        <v>1297.0406493999999</v>
      </c>
      <c r="H2167">
        <v>1282.4113769999999</v>
      </c>
      <c r="I2167">
        <v>1403.1085204999999</v>
      </c>
      <c r="J2167">
        <v>1380.6324463000001</v>
      </c>
      <c r="K2167">
        <v>0</v>
      </c>
      <c r="L2167">
        <v>2750</v>
      </c>
      <c r="M2167">
        <v>2750</v>
      </c>
      <c r="N2167">
        <v>0</v>
      </c>
    </row>
    <row r="2168" spans="1:14" x14ac:dyDescent="0.25">
      <c r="A2168">
        <v>1694.9451819999999</v>
      </c>
      <c r="B2168" s="1">
        <f>DATE(2014,12,20) + TIME(22,41,3)</f>
        <v>41993.945173611108</v>
      </c>
      <c r="C2168">
        <v>80</v>
      </c>
      <c r="D2168">
        <v>75.983345032000003</v>
      </c>
      <c r="E2168">
        <v>50</v>
      </c>
      <c r="F2168">
        <v>49.980522155999999</v>
      </c>
      <c r="G2168">
        <v>1296.9234618999999</v>
      </c>
      <c r="H2168">
        <v>1282.2658690999999</v>
      </c>
      <c r="I2168">
        <v>1403.0687256000001</v>
      </c>
      <c r="J2168">
        <v>1380.6009521000001</v>
      </c>
      <c r="K2168">
        <v>0</v>
      </c>
      <c r="L2168">
        <v>2750</v>
      </c>
      <c r="M2168">
        <v>2750</v>
      </c>
      <c r="N2168">
        <v>0</v>
      </c>
    </row>
    <row r="2169" spans="1:14" x14ac:dyDescent="0.25">
      <c r="A2169">
        <v>1697.022739</v>
      </c>
      <c r="B2169" s="1">
        <f>DATE(2014,12,23) + TIME(0,32,44)</f>
        <v>41996.022731481484</v>
      </c>
      <c r="C2169">
        <v>80</v>
      </c>
      <c r="D2169">
        <v>75.852172851999995</v>
      </c>
      <c r="E2169">
        <v>50</v>
      </c>
      <c r="F2169">
        <v>49.980541229000004</v>
      </c>
      <c r="G2169">
        <v>1296.8010254000001</v>
      </c>
      <c r="H2169">
        <v>1282.1129149999999</v>
      </c>
      <c r="I2169">
        <v>1403.0295410000001</v>
      </c>
      <c r="J2169">
        <v>1380.5697021000001</v>
      </c>
      <c r="K2169">
        <v>0</v>
      </c>
      <c r="L2169">
        <v>2750</v>
      </c>
      <c r="M2169">
        <v>2750</v>
      </c>
      <c r="N2169">
        <v>0</v>
      </c>
    </row>
    <row r="2170" spans="1:14" x14ac:dyDescent="0.25">
      <c r="A2170">
        <v>1699.1233870000001</v>
      </c>
      <c r="B2170" s="1">
        <f>DATE(2014,12,25) + TIME(2,57,40)</f>
        <v>41998.123379629629</v>
      </c>
      <c r="C2170">
        <v>80</v>
      </c>
      <c r="D2170">
        <v>75.720809936999999</v>
      </c>
      <c r="E2170">
        <v>50</v>
      </c>
      <c r="F2170">
        <v>49.980560302999997</v>
      </c>
      <c r="G2170">
        <v>1296.6737060999999</v>
      </c>
      <c r="H2170">
        <v>1281.9530029</v>
      </c>
      <c r="I2170">
        <v>1402.9912108999999</v>
      </c>
      <c r="J2170">
        <v>1380.5390625</v>
      </c>
      <c r="K2170">
        <v>0</v>
      </c>
      <c r="L2170">
        <v>2750</v>
      </c>
      <c r="M2170">
        <v>2750</v>
      </c>
      <c r="N2170">
        <v>0</v>
      </c>
    </row>
    <row r="2171" spans="1:14" x14ac:dyDescent="0.25">
      <c r="A2171">
        <v>1701.251649</v>
      </c>
      <c r="B2171" s="1">
        <f>DATE(2014,12,27) + TIME(6,2,22)</f>
        <v>42000.251643518517</v>
      </c>
      <c r="C2171">
        <v>80</v>
      </c>
      <c r="D2171">
        <v>75.589393615999995</v>
      </c>
      <c r="E2171">
        <v>50</v>
      </c>
      <c r="F2171">
        <v>49.980579376000001</v>
      </c>
      <c r="G2171">
        <v>1296.541626</v>
      </c>
      <c r="H2171">
        <v>1281.7861327999999</v>
      </c>
      <c r="I2171">
        <v>1402.9536132999999</v>
      </c>
      <c r="J2171">
        <v>1380.5090332</v>
      </c>
      <c r="K2171">
        <v>0</v>
      </c>
      <c r="L2171">
        <v>2750</v>
      </c>
      <c r="M2171">
        <v>2750</v>
      </c>
      <c r="N2171">
        <v>0</v>
      </c>
    </row>
    <row r="2172" spans="1:14" x14ac:dyDescent="0.25">
      <c r="A2172">
        <v>1703.4125300000001</v>
      </c>
      <c r="B2172" s="1">
        <f>DATE(2014,12,29) + TIME(9,54,2)</f>
        <v>42002.412523148145</v>
      </c>
      <c r="C2172">
        <v>80</v>
      </c>
      <c r="D2172">
        <v>75.457702636999997</v>
      </c>
      <c r="E2172">
        <v>50</v>
      </c>
      <c r="F2172">
        <v>49.980602263999998</v>
      </c>
      <c r="G2172">
        <v>1296.4044189000001</v>
      </c>
      <c r="H2172">
        <v>1281.6118164</v>
      </c>
      <c r="I2172">
        <v>1402.9167480000001</v>
      </c>
      <c r="J2172">
        <v>1380.4793701000001</v>
      </c>
      <c r="K2172">
        <v>0</v>
      </c>
      <c r="L2172">
        <v>2750</v>
      </c>
      <c r="M2172">
        <v>2750</v>
      </c>
      <c r="N2172">
        <v>0</v>
      </c>
    </row>
    <row r="2173" spans="1:14" x14ac:dyDescent="0.25">
      <c r="A2173">
        <v>1705.6104379999999</v>
      </c>
      <c r="B2173" s="1">
        <f>DATE(2014,12,31) + TIME(14,39,1)</f>
        <v>42004.61042824074</v>
      </c>
      <c r="C2173">
        <v>80</v>
      </c>
      <c r="D2173">
        <v>75.325416564999998</v>
      </c>
      <c r="E2173">
        <v>50</v>
      </c>
      <c r="F2173">
        <v>49.980621337999999</v>
      </c>
      <c r="G2173">
        <v>1296.2614745999999</v>
      </c>
      <c r="H2173">
        <v>1281.4293213000001</v>
      </c>
      <c r="I2173">
        <v>1402.8803711</v>
      </c>
      <c r="J2173">
        <v>1380.4501952999999</v>
      </c>
      <c r="K2173">
        <v>0</v>
      </c>
      <c r="L2173">
        <v>2750</v>
      </c>
      <c r="M2173">
        <v>2750</v>
      </c>
      <c r="N2173">
        <v>0</v>
      </c>
    </row>
    <row r="2174" spans="1:14" x14ac:dyDescent="0.25">
      <c r="A2174">
        <v>1706</v>
      </c>
      <c r="B2174" s="1">
        <f>DATE(2015,1,1) + TIME(0,0,0)</f>
        <v>42005</v>
      </c>
      <c r="C2174">
        <v>80</v>
      </c>
      <c r="D2174">
        <v>75.264175414999997</v>
      </c>
      <c r="E2174">
        <v>50</v>
      </c>
      <c r="F2174">
        <v>49.980621337999999</v>
      </c>
      <c r="G2174">
        <v>1296.1185303</v>
      </c>
      <c r="H2174">
        <v>1281.2591553</v>
      </c>
      <c r="I2174">
        <v>1402.8439940999999</v>
      </c>
      <c r="J2174">
        <v>1380.4207764</v>
      </c>
      <c r="K2174">
        <v>0</v>
      </c>
      <c r="L2174">
        <v>2750</v>
      </c>
      <c r="M2174">
        <v>2750</v>
      </c>
      <c r="N2174">
        <v>0</v>
      </c>
    </row>
    <row r="2175" spans="1:14" x14ac:dyDescent="0.25">
      <c r="A2175">
        <v>1708.2371410000001</v>
      </c>
      <c r="B2175" s="1">
        <f>DATE(2015,1,3) + TIME(5,41,28)</f>
        <v>42007.237129629626</v>
      </c>
      <c r="C2175">
        <v>80</v>
      </c>
      <c r="D2175">
        <v>75.159454346000004</v>
      </c>
      <c r="E2175">
        <v>50</v>
      </c>
      <c r="F2175">
        <v>49.980648041000002</v>
      </c>
      <c r="G2175">
        <v>1296.0817870999999</v>
      </c>
      <c r="H2175">
        <v>1281.1958007999999</v>
      </c>
      <c r="I2175">
        <v>1402.8381348</v>
      </c>
      <c r="J2175">
        <v>1380.4161377</v>
      </c>
      <c r="K2175">
        <v>0</v>
      </c>
      <c r="L2175">
        <v>2750</v>
      </c>
      <c r="M2175">
        <v>2750</v>
      </c>
      <c r="N2175">
        <v>0</v>
      </c>
    </row>
    <row r="2176" spans="1:14" x14ac:dyDescent="0.25">
      <c r="A2176">
        <v>1710.507511</v>
      </c>
      <c r="B2176" s="1">
        <f>DATE(2015,1,5) + TIME(12,10,48)</f>
        <v>42009.5075</v>
      </c>
      <c r="C2176">
        <v>80</v>
      </c>
      <c r="D2176">
        <v>75.032478333</v>
      </c>
      <c r="E2176">
        <v>50</v>
      </c>
      <c r="F2176">
        <v>49.980667113999999</v>
      </c>
      <c r="G2176">
        <v>1295.9282227000001</v>
      </c>
      <c r="H2176">
        <v>1280.9996338000001</v>
      </c>
      <c r="I2176">
        <v>1402.8027344</v>
      </c>
      <c r="J2176">
        <v>1380.3875731999999</v>
      </c>
      <c r="K2176">
        <v>0</v>
      </c>
      <c r="L2176">
        <v>2750</v>
      </c>
      <c r="M2176">
        <v>2750</v>
      </c>
      <c r="N2176">
        <v>0</v>
      </c>
    </row>
    <row r="2177" spans="1:14" x14ac:dyDescent="0.25">
      <c r="A2177">
        <v>1712.8093650000001</v>
      </c>
      <c r="B2177" s="1">
        <f>DATE(2015,1,7) + TIME(19,25,29)</f>
        <v>42011.809363425928</v>
      </c>
      <c r="C2177">
        <v>80</v>
      </c>
      <c r="D2177">
        <v>74.899284363000007</v>
      </c>
      <c r="E2177">
        <v>50</v>
      </c>
      <c r="F2177">
        <v>49.980690002000003</v>
      </c>
      <c r="G2177">
        <v>1295.7662353999999</v>
      </c>
      <c r="H2177">
        <v>1280.7900391000001</v>
      </c>
      <c r="I2177">
        <v>1402.7678223</v>
      </c>
      <c r="J2177">
        <v>1380.3592529</v>
      </c>
      <c r="K2177">
        <v>0</v>
      </c>
      <c r="L2177">
        <v>2750</v>
      </c>
      <c r="M2177">
        <v>2750</v>
      </c>
      <c r="N2177">
        <v>0</v>
      </c>
    </row>
    <row r="2178" spans="1:14" x14ac:dyDescent="0.25">
      <c r="A2178">
        <v>1715.139936</v>
      </c>
      <c r="B2178" s="1">
        <f>DATE(2015,1,10) + TIME(3,21,30)</f>
        <v>42014.139930555553</v>
      </c>
      <c r="C2178">
        <v>80</v>
      </c>
      <c r="D2178">
        <v>74.763870238999999</v>
      </c>
      <c r="E2178">
        <v>50</v>
      </c>
      <c r="F2178">
        <v>49.980712891000003</v>
      </c>
      <c r="G2178">
        <v>1295.5972899999999</v>
      </c>
      <c r="H2178">
        <v>1280.5699463000001</v>
      </c>
      <c r="I2178">
        <v>1402.7332764</v>
      </c>
      <c r="J2178">
        <v>1380.3311768000001</v>
      </c>
      <c r="K2178">
        <v>0</v>
      </c>
      <c r="L2178">
        <v>2750</v>
      </c>
      <c r="M2178">
        <v>2750</v>
      </c>
      <c r="N2178">
        <v>0</v>
      </c>
    </row>
    <row r="2179" spans="1:14" x14ac:dyDescent="0.25">
      <c r="A2179">
        <v>1717.494974</v>
      </c>
      <c r="B2179" s="1">
        <f>DATE(2015,1,12) + TIME(11,52,45)</f>
        <v>42016.49496527778</v>
      </c>
      <c r="C2179">
        <v>80</v>
      </c>
      <c r="D2179">
        <v>74.627258300999998</v>
      </c>
      <c r="E2179">
        <v>50</v>
      </c>
      <c r="F2179">
        <v>49.980735779</v>
      </c>
      <c r="G2179">
        <v>1295.421875</v>
      </c>
      <c r="H2179">
        <v>1280.3404541</v>
      </c>
      <c r="I2179">
        <v>1402.6992187999999</v>
      </c>
      <c r="J2179">
        <v>1380.3034668</v>
      </c>
      <c r="K2179">
        <v>0</v>
      </c>
      <c r="L2179">
        <v>2750</v>
      </c>
      <c r="M2179">
        <v>2750</v>
      </c>
      <c r="N2179">
        <v>0</v>
      </c>
    </row>
    <row r="2180" spans="1:14" x14ac:dyDescent="0.25">
      <c r="A2180">
        <v>1719.879711</v>
      </c>
      <c r="B2180" s="1">
        <f>DATE(2015,1,14) + TIME(21,6,47)</f>
        <v>42018.879710648151</v>
      </c>
      <c r="C2180">
        <v>80</v>
      </c>
      <c r="D2180">
        <v>74.489624023000005</v>
      </c>
      <c r="E2180">
        <v>50</v>
      </c>
      <c r="F2180">
        <v>49.980758667000003</v>
      </c>
      <c r="G2180">
        <v>1295.2402344</v>
      </c>
      <c r="H2180">
        <v>1280.1015625</v>
      </c>
      <c r="I2180">
        <v>1402.6657714999999</v>
      </c>
      <c r="J2180">
        <v>1380.2761230000001</v>
      </c>
      <c r="K2180">
        <v>0</v>
      </c>
      <c r="L2180">
        <v>2750</v>
      </c>
      <c r="M2180">
        <v>2750</v>
      </c>
      <c r="N2180">
        <v>0</v>
      </c>
    </row>
    <row r="2181" spans="1:14" x14ac:dyDescent="0.25">
      <c r="A2181">
        <v>1722.2991959999999</v>
      </c>
      <c r="B2181" s="1">
        <f>DATE(2015,1,17) + TIME(7,10,50)</f>
        <v>42021.299189814818</v>
      </c>
      <c r="C2181">
        <v>80</v>
      </c>
      <c r="D2181">
        <v>74.350669861</v>
      </c>
      <c r="E2181">
        <v>50</v>
      </c>
      <c r="F2181">
        <v>49.980781555</v>
      </c>
      <c r="G2181">
        <v>1295.0518798999999</v>
      </c>
      <c r="H2181">
        <v>1279.8527832</v>
      </c>
      <c r="I2181">
        <v>1402.6325684000001</v>
      </c>
      <c r="J2181">
        <v>1380.2489014</v>
      </c>
      <c r="K2181">
        <v>0</v>
      </c>
      <c r="L2181">
        <v>2750</v>
      </c>
      <c r="M2181">
        <v>2750</v>
      </c>
      <c r="N2181">
        <v>0</v>
      </c>
    </row>
    <row r="2182" spans="1:14" x14ac:dyDescent="0.25">
      <c r="A2182">
        <v>1724.758114</v>
      </c>
      <c r="B2182" s="1">
        <f>DATE(2015,1,19) + TIME(18,11,41)</f>
        <v>42023.758113425924</v>
      </c>
      <c r="C2182">
        <v>80</v>
      </c>
      <c r="D2182">
        <v>74.209945679</v>
      </c>
      <c r="E2182">
        <v>50</v>
      </c>
      <c r="F2182">
        <v>49.980804442999997</v>
      </c>
      <c r="G2182">
        <v>1294.8562012</v>
      </c>
      <c r="H2182">
        <v>1279.5932617000001</v>
      </c>
      <c r="I2182">
        <v>1402.5997314000001</v>
      </c>
      <c r="J2182">
        <v>1380.2219238</v>
      </c>
      <c r="K2182">
        <v>0</v>
      </c>
      <c r="L2182">
        <v>2750</v>
      </c>
      <c r="M2182">
        <v>2750</v>
      </c>
      <c r="N2182">
        <v>0</v>
      </c>
    </row>
    <row r="2183" spans="1:14" x14ac:dyDescent="0.25">
      <c r="A2183">
        <v>1727.2611449999999</v>
      </c>
      <c r="B2183" s="1">
        <f>DATE(2015,1,22) + TIME(6,16,2)</f>
        <v>42026.261134259257</v>
      </c>
      <c r="C2183">
        <v>80</v>
      </c>
      <c r="D2183">
        <v>74.066986084000007</v>
      </c>
      <c r="E2183">
        <v>50</v>
      </c>
      <c r="F2183">
        <v>49.980831146</v>
      </c>
      <c r="G2183">
        <v>1294.652832</v>
      </c>
      <c r="H2183">
        <v>1279.3225098</v>
      </c>
      <c r="I2183">
        <v>1402.5670166</v>
      </c>
      <c r="J2183">
        <v>1380.1950684000001</v>
      </c>
      <c r="K2183">
        <v>0</v>
      </c>
      <c r="L2183">
        <v>2750</v>
      </c>
      <c r="M2183">
        <v>2750</v>
      </c>
      <c r="N2183">
        <v>0</v>
      </c>
    </row>
    <row r="2184" spans="1:14" x14ac:dyDescent="0.25">
      <c r="A2184">
        <v>1729.7999420000001</v>
      </c>
      <c r="B2184" s="1">
        <f>DATE(2015,1,24) + TIME(19,11,55)</f>
        <v>42028.799942129626</v>
      </c>
      <c r="C2184">
        <v>80</v>
      </c>
      <c r="D2184">
        <v>73.921455382999994</v>
      </c>
      <c r="E2184">
        <v>50</v>
      </c>
      <c r="F2184">
        <v>49.980854033999996</v>
      </c>
      <c r="G2184">
        <v>1294.4410399999999</v>
      </c>
      <c r="H2184">
        <v>1279.0395507999999</v>
      </c>
      <c r="I2184">
        <v>1402.5345459</v>
      </c>
      <c r="J2184">
        <v>1380.1682129000001</v>
      </c>
      <c r="K2184">
        <v>0</v>
      </c>
      <c r="L2184">
        <v>2750</v>
      </c>
      <c r="M2184">
        <v>2750</v>
      </c>
      <c r="N2184">
        <v>0</v>
      </c>
    </row>
    <row r="2185" spans="1:14" x14ac:dyDescent="0.25">
      <c r="A2185">
        <v>1732.366561</v>
      </c>
      <c r="B2185" s="1">
        <f>DATE(2015,1,27) + TIME(8,47,50)</f>
        <v>42031.366550925923</v>
      </c>
      <c r="C2185">
        <v>80</v>
      </c>
      <c r="D2185">
        <v>73.773445128999995</v>
      </c>
      <c r="E2185">
        <v>50</v>
      </c>
      <c r="F2185">
        <v>49.980880737</v>
      </c>
      <c r="G2185">
        <v>1294.2214355000001</v>
      </c>
      <c r="H2185">
        <v>1278.7448730000001</v>
      </c>
      <c r="I2185">
        <v>1402.5023193</v>
      </c>
      <c r="J2185">
        <v>1380.1416016000001</v>
      </c>
      <c r="K2185">
        <v>0</v>
      </c>
      <c r="L2185">
        <v>2750</v>
      </c>
      <c r="M2185">
        <v>2750</v>
      </c>
      <c r="N2185">
        <v>0</v>
      </c>
    </row>
    <row r="2186" spans="1:14" x14ac:dyDescent="0.25">
      <c r="A2186">
        <v>1734.9667999999999</v>
      </c>
      <c r="B2186" s="1">
        <f>DATE(2015,1,29) + TIME(23,12,11)</f>
        <v>42033.966793981483</v>
      </c>
      <c r="C2186">
        <v>80</v>
      </c>
      <c r="D2186">
        <v>73.622932434000006</v>
      </c>
      <c r="E2186">
        <v>50</v>
      </c>
      <c r="F2186">
        <v>49.980903625000003</v>
      </c>
      <c r="G2186">
        <v>1293.9943848</v>
      </c>
      <c r="H2186">
        <v>1278.4390868999999</v>
      </c>
      <c r="I2186">
        <v>1402.4703368999999</v>
      </c>
      <c r="J2186">
        <v>1380.1149902</v>
      </c>
      <c r="K2186">
        <v>0</v>
      </c>
      <c r="L2186">
        <v>2750</v>
      </c>
      <c r="M2186">
        <v>2750</v>
      </c>
      <c r="N2186">
        <v>0</v>
      </c>
    </row>
    <row r="2187" spans="1:14" x14ac:dyDescent="0.25">
      <c r="A2187">
        <v>1737</v>
      </c>
      <c r="B2187" s="1">
        <f>DATE(2015,2,1) + TIME(0,0,0)</f>
        <v>42036</v>
      </c>
      <c r="C2187">
        <v>80</v>
      </c>
      <c r="D2187">
        <v>73.478645325000002</v>
      </c>
      <c r="E2187">
        <v>50</v>
      </c>
      <c r="F2187">
        <v>49.980922698999997</v>
      </c>
      <c r="G2187">
        <v>1293.7612305</v>
      </c>
      <c r="H2187">
        <v>1278.1262207</v>
      </c>
      <c r="I2187">
        <v>1402.4383545000001</v>
      </c>
      <c r="J2187">
        <v>1380.0883789</v>
      </c>
      <c r="K2187">
        <v>0</v>
      </c>
      <c r="L2187">
        <v>2750</v>
      </c>
      <c r="M2187">
        <v>2750</v>
      </c>
      <c r="N2187">
        <v>0</v>
      </c>
    </row>
    <row r="2188" spans="1:14" x14ac:dyDescent="0.25">
      <c r="A2188">
        <v>1739.6391550000001</v>
      </c>
      <c r="B2188" s="1">
        <f>DATE(2015,2,3) + TIME(15,20,23)</f>
        <v>42038.639155092591</v>
      </c>
      <c r="C2188">
        <v>80</v>
      </c>
      <c r="D2188">
        <v>73.343086243000002</v>
      </c>
      <c r="E2188">
        <v>50</v>
      </c>
      <c r="F2188">
        <v>49.980949402</v>
      </c>
      <c r="G2188">
        <v>1293.567749</v>
      </c>
      <c r="H2188">
        <v>1277.8591309000001</v>
      </c>
      <c r="I2188">
        <v>1402.4141846</v>
      </c>
      <c r="J2188">
        <v>1380.0682373</v>
      </c>
      <c r="K2188">
        <v>0</v>
      </c>
      <c r="L2188">
        <v>2750</v>
      </c>
      <c r="M2188">
        <v>2750</v>
      </c>
      <c r="N2188">
        <v>0</v>
      </c>
    </row>
    <row r="2189" spans="1:14" x14ac:dyDescent="0.25">
      <c r="A2189">
        <v>1742.343746</v>
      </c>
      <c r="B2189" s="1">
        <f>DATE(2015,2,6) + TIME(8,14,59)</f>
        <v>42041.343738425923</v>
      </c>
      <c r="C2189">
        <v>80</v>
      </c>
      <c r="D2189">
        <v>73.188507079999994</v>
      </c>
      <c r="E2189">
        <v>50</v>
      </c>
      <c r="F2189">
        <v>49.980976105000003</v>
      </c>
      <c r="G2189">
        <v>1293.3239745999999</v>
      </c>
      <c r="H2189">
        <v>1277.5292969</v>
      </c>
      <c r="I2189">
        <v>1402.3829346</v>
      </c>
      <c r="J2189">
        <v>1380.0422363</v>
      </c>
      <c r="K2189">
        <v>0</v>
      </c>
      <c r="L2189">
        <v>2750</v>
      </c>
      <c r="M2189">
        <v>2750</v>
      </c>
      <c r="N2189">
        <v>0</v>
      </c>
    </row>
    <row r="2190" spans="1:14" x14ac:dyDescent="0.25">
      <c r="A2190">
        <v>1745.0904410000001</v>
      </c>
      <c r="B2190" s="1">
        <f>DATE(2015,2,9) + TIME(2,10,14)</f>
        <v>42044.090439814812</v>
      </c>
      <c r="C2190">
        <v>80</v>
      </c>
      <c r="D2190">
        <v>73.025398253999995</v>
      </c>
      <c r="E2190">
        <v>50</v>
      </c>
      <c r="F2190">
        <v>49.981002808</v>
      </c>
      <c r="G2190">
        <v>1293.0667725000001</v>
      </c>
      <c r="H2190">
        <v>1277.1788329999999</v>
      </c>
      <c r="I2190">
        <v>1402.3515625</v>
      </c>
      <c r="J2190">
        <v>1380.0159911999999</v>
      </c>
      <c r="K2190">
        <v>0</v>
      </c>
      <c r="L2190">
        <v>2750</v>
      </c>
      <c r="M2190">
        <v>2750</v>
      </c>
      <c r="N2190">
        <v>0</v>
      </c>
    </row>
    <row r="2191" spans="1:14" x14ac:dyDescent="0.25">
      <c r="A2191">
        <v>1747.884926</v>
      </c>
      <c r="B2191" s="1">
        <f>DATE(2015,2,11) + TIME(21,14,17)</f>
        <v>42046.884918981479</v>
      </c>
      <c r="C2191">
        <v>80</v>
      </c>
      <c r="D2191">
        <v>72.856475829999994</v>
      </c>
      <c r="E2191">
        <v>50</v>
      </c>
      <c r="F2191">
        <v>49.981029509999999</v>
      </c>
      <c r="G2191">
        <v>1292.7999268000001</v>
      </c>
      <c r="H2191">
        <v>1276.8134766000001</v>
      </c>
      <c r="I2191">
        <v>1402.3201904</v>
      </c>
      <c r="J2191">
        <v>1379.989624</v>
      </c>
      <c r="K2191">
        <v>0</v>
      </c>
      <c r="L2191">
        <v>2750</v>
      </c>
      <c r="M2191">
        <v>2750</v>
      </c>
      <c r="N2191">
        <v>0</v>
      </c>
    </row>
    <row r="2192" spans="1:14" x14ac:dyDescent="0.25">
      <c r="A2192">
        <v>1750.7184460000001</v>
      </c>
      <c r="B2192" s="1">
        <f>DATE(2015,2,14) + TIME(17,14,33)</f>
        <v>42049.7184375</v>
      </c>
      <c r="C2192">
        <v>80</v>
      </c>
      <c r="D2192">
        <v>72.681823730000005</v>
      </c>
      <c r="E2192">
        <v>50</v>
      </c>
      <c r="F2192">
        <v>49.981056213000002</v>
      </c>
      <c r="G2192">
        <v>1292.5231934000001</v>
      </c>
      <c r="H2192">
        <v>1276.4334716999999</v>
      </c>
      <c r="I2192">
        <v>1402.2886963000001</v>
      </c>
      <c r="J2192">
        <v>1379.9631348</v>
      </c>
      <c r="K2192">
        <v>0</v>
      </c>
      <c r="L2192">
        <v>2750</v>
      </c>
      <c r="M2192">
        <v>2750</v>
      </c>
      <c r="N2192">
        <v>0</v>
      </c>
    </row>
    <row r="2193" spans="1:14" x14ac:dyDescent="0.25">
      <c r="A2193">
        <v>1753.5858659999999</v>
      </c>
      <c r="B2193" s="1">
        <f>DATE(2015,2,17) + TIME(14,3,38)</f>
        <v>42052.585856481484</v>
      </c>
      <c r="C2193">
        <v>80</v>
      </c>
      <c r="D2193">
        <v>72.501449585000003</v>
      </c>
      <c r="E2193">
        <v>50</v>
      </c>
      <c r="F2193">
        <v>49.981082915999998</v>
      </c>
      <c r="G2193">
        <v>1292.2375488</v>
      </c>
      <c r="H2193">
        <v>1276.0397949000001</v>
      </c>
      <c r="I2193">
        <v>1402.2573242000001</v>
      </c>
      <c r="J2193">
        <v>1379.9366454999999</v>
      </c>
      <c r="K2193">
        <v>0</v>
      </c>
      <c r="L2193">
        <v>2750</v>
      </c>
      <c r="M2193">
        <v>2750</v>
      </c>
      <c r="N2193">
        <v>0</v>
      </c>
    </row>
    <row r="2194" spans="1:14" x14ac:dyDescent="0.25">
      <c r="A2194">
        <v>1756.493745</v>
      </c>
      <c r="B2194" s="1">
        <f>DATE(2015,2,20) + TIME(11,50,59)</f>
        <v>42055.493738425925</v>
      </c>
      <c r="C2194">
        <v>80</v>
      </c>
      <c r="D2194">
        <v>72.315063476999995</v>
      </c>
      <c r="E2194">
        <v>50</v>
      </c>
      <c r="F2194">
        <v>49.981109619000001</v>
      </c>
      <c r="G2194">
        <v>1291.9433594</v>
      </c>
      <c r="H2194">
        <v>1275.6330565999999</v>
      </c>
      <c r="I2194">
        <v>1402.2260742000001</v>
      </c>
      <c r="J2194">
        <v>1379.9101562000001</v>
      </c>
      <c r="K2194">
        <v>0</v>
      </c>
      <c r="L2194">
        <v>2750</v>
      </c>
      <c r="M2194">
        <v>2750</v>
      </c>
      <c r="N2194">
        <v>0</v>
      </c>
    </row>
    <row r="2195" spans="1:14" x14ac:dyDescent="0.25">
      <c r="A2195">
        <v>1759.4484910000001</v>
      </c>
      <c r="B2195" s="1">
        <f>DATE(2015,2,23) + TIME(10,45,49)</f>
        <v>42058.448483796295</v>
      </c>
      <c r="C2195">
        <v>80</v>
      </c>
      <c r="D2195">
        <v>72.121833800999994</v>
      </c>
      <c r="E2195">
        <v>50</v>
      </c>
      <c r="F2195">
        <v>49.981140136999997</v>
      </c>
      <c r="G2195">
        <v>1291.6402588000001</v>
      </c>
      <c r="H2195">
        <v>1275.2126464999999</v>
      </c>
      <c r="I2195">
        <v>1402.1947021000001</v>
      </c>
      <c r="J2195">
        <v>1379.8836670000001</v>
      </c>
      <c r="K2195">
        <v>0</v>
      </c>
      <c r="L2195">
        <v>2750</v>
      </c>
      <c r="M2195">
        <v>2750</v>
      </c>
      <c r="N2195">
        <v>0</v>
      </c>
    </row>
    <row r="2196" spans="1:14" x14ac:dyDescent="0.25">
      <c r="A2196">
        <v>1762.45659</v>
      </c>
      <c r="B2196" s="1">
        <f>DATE(2015,2,26) + TIME(10,57,29)</f>
        <v>42061.456585648149</v>
      </c>
      <c r="C2196">
        <v>80</v>
      </c>
      <c r="D2196">
        <v>71.920776367000002</v>
      </c>
      <c r="E2196">
        <v>50</v>
      </c>
      <c r="F2196">
        <v>49.98116684</v>
      </c>
      <c r="G2196">
        <v>1291.3273925999999</v>
      </c>
      <c r="H2196">
        <v>1274.7773437999999</v>
      </c>
      <c r="I2196">
        <v>1402.1633300999999</v>
      </c>
      <c r="J2196">
        <v>1379.8569336</v>
      </c>
      <c r="K2196">
        <v>0</v>
      </c>
      <c r="L2196">
        <v>2750</v>
      </c>
      <c r="M2196">
        <v>2750</v>
      </c>
      <c r="N2196">
        <v>0</v>
      </c>
    </row>
    <row r="2197" spans="1:14" x14ac:dyDescent="0.25">
      <c r="A2197">
        <v>1765</v>
      </c>
      <c r="B2197" s="1">
        <f>DATE(2015,3,1) + TIME(0,0,0)</f>
        <v>42064</v>
      </c>
      <c r="C2197">
        <v>80</v>
      </c>
      <c r="D2197">
        <v>71.718490600999999</v>
      </c>
      <c r="E2197">
        <v>50</v>
      </c>
      <c r="F2197">
        <v>49.981189727999997</v>
      </c>
      <c r="G2197">
        <v>1291.0059814000001</v>
      </c>
      <c r="H2197">
        <v>1274.3310547000001</v>
      </c>
      <c r="I2197">
        <v>1402.1315918</v>
      </c>
      <c r="J2197">
        <v>1379.8297118999999</v>
      </c>
      <c r="K2197">
        <v>0</v>
      </c>
      <c r="L2197">
        <v>2750</v>
      </c>
      <c r="M2197">
        <v>2750</v>
      </c>
      <c r="N2197">
        <v>0</v>
      </c>
    </row>
    <row r="2198" spans="1:14" x14ac:dyDescent="0.25">
      <c r="A2198">
        <v>1768.0612060000001</v>
      </c>
      <c r="B2198" s="1">
        <f>DATE(2015,3,4) + TIME(1,28,8)</f>
        <v>42067.061203703706</v>
      </c>
      <c r="C2198">
        <v>80</v>
      </c>
      <c r="D2198">
        <v>71.523849487000007</v>
      </c>
      <c r="E2198">
        <v>50</v>
      </c>
      <c r="F2198">
        <v>49.981220245000003</v>
      </c>
      <c r="G2198">
        <v>1290.722168</v>
      </c>
      <c r="H2198">
        <v>1273.9289550999999</v>
      </c>
      <c r="I2198">
        <v>1402.1052245999999</v>
      </c>
      <c r="J2198">
        <v>1379.807251</v>
      </c>
      <c r="K2198">
        <v>0</v>
      </c>
      <c r="L2198">
        <v>2750</v>
      </c>
      <c r="M2198">
        <v>2750</v>
      </c>
      <c r="N2198">
        <v>0</v>
      </c>
    </row>
    <row r="2199" spans="1:14" x14ac:dyDescent="0.25">
      <c r="A2199">
        <v>1771.186776</v>
      </c>
      <c r="B2199" s="1">
        <f>DATE(2015,3,7) + TIME(4,28,57)</f>
        <v>42070.18677083333</v>
      </c>
      <c r="C2199">
        <v>80</v>
      </c>
      <c r="D2199">
        <v>71.302696228000002</v>
      </c>
      <c r="E2199">
        <v>50</v>
      </c>
      <c r="F2199">
        <v>49.981246947999999</v>
      </c>
      <c r="G2199">
        <v>1290.3887939000001</v>
      </c>
      <c r="H2199">
        <v>1273.4630127</v>
      </c>
      <c r="I2199">
        <v>1402.0736084</v>
      </c>
      <c r="J2199">
        <v>1379.7801514</v>
      </c>
      <c r="K2199">
        <v>0</v>
      </c>
      <c r="L2199">
        <v>2750</v>
      </c>
      <c r="M2199">
        <v>2750</v>
      </c>
      <c r="N2199">
        <v>0</v>
      </c>
    </row>
    <row r="2200" spans="1:14" x14ac:dyDescent="0.25">
      <c r="A2200">
        <v>1774.3576230000001</v>
      </c>
      <c r="B2200" s="1">
        <f>DATE(2015,3,10) + TIME(8,34,58)</f>
        <v>42073.357615740744</v>
      </c>
      <c r="C2200">
        <v>80</v>
      </c>
      <c r="D2200">
        <v>71.067192078000005</v>
      </c>
      <c r="E2200">
        <v>50</v>
      </c>
      <c r="F2200">
        <v>49.981277466000002</v>
      </c>
      <c r="G2200">
        <v>1290.0411377</v>
      </c>
      <c r="H2200">
        <v>1272.973999</v>
      </c>
      <c r="I2200">
        <v>1402.041626</v>
      </c>
      <c r="J2200">
        <v>1379.7525635</v>
      </c>
      <c r="K2200">
        <v>0</v>
      </c>
      <c r="L2200">
        <v>2750</v>
      </c>
      <c r="M2200">
        <v>2750</v>
      </c>
      <c r="N2200">
        <v>0</v>
      </c>
    </row>
    <row r="2201" spans="1:14" x14ac:dyDescent="0.25">
      <c r="A2201">
        <v>1777.5815439999999</v>
      </c>
      <c r="B2201" s="1">
        <f>DATE(2015,3,13) + TIME(13,57,25)</f>
        <v>42076.58153935185</v>
      </c>
      <c r="C2201">
        <v>80</v>
      </c>
      <c r="D2201">
        <v>70.819984435999999</v>
      </c>
      <c r="E2201">
        <v>50</v>
      </c>
      <c r="F2201">
        <v>49.981307983000001</v>
      </c>
      <c r="G2201">
        <v>1289.6833495999999</v>
      </c>
      <c r="H2201">
        <v>1272.4688721</v>
      </c>
      <c r="I2201">
        <v>1402.0093993999999</v>
      </c>
      <c r="J2201">
        <v>1379.7248535000001</v>
      </c>
      <c r="K2201">
        <v>0</v>
      </c>
      <c r="L2201">
        <v>2750</v>
      </c>
      <c r="M2201">
        <v>2750</v>
      </c>
      <c r="N2201">
        <v>0</v>
      </c>
    </row>
    <row r="2202" spans="1:14" x14ac:dyDescent="0.25">
      <c r="A2202">
        <v>1780.858072</v>
      </c>
      <c r="B2202" s="1">
        <f>DATE(2015,3,16) + TIME(20,35,37)</f>
        <v>42079.858067129629</v>
      </c>
      <c r="C2202">
        <v>80</v>
      </c>
      <c r="D2202">
        <v>70.560508728000002</v>
      </c>
      <c r="E2202">
        <v>50</v>
      </c>
      <c r="F2202">
        <v>49.981338501000003</v>
      </c>
      <c r="G2202">
        <v>1289.3155518000001</v>
      </c>
      <c r="H2202">
        <v>1271.9479980000001</v>
      </c>
      <c r="I2202">
        <v>1401.9769286999999</v>
      </c>
      <c r="J2202">
        <v>1379.6967772999999</v>
      </c>
      <c r="K2202">
        <v>0</v>
      </c>
      <c r="L2202">
        <v>2750</v>
      </c>
      <c r="M2202">
        <v>2750</v>
      </c>
      <c r="N2202">
        <v>0</v>
      </c>
    </row>
    <row r="2203" spans="1:14" x14ac:dyDescent="0.25">
      <c r="A2203">
        <v>1784.1846149999999</v>
      </c>
      <c r="B2203" s="1">
        <f>DATE(2015,3,20) + TIME(4,25,50)</f>
        <v>42083.184606481482</v>
      </c>
      <c r="C2203">
        <v>80</v>
      </c>
      <c r="D2203">
        <v>70.288177489999995</v>
      </c>
      <c r="E2203">
        <v>50</v>
      </c>
      <c r="F2203">
        <v>49.981369018999999</v>
      </c>
      <c r="G2203">
        <v>1288.9381103999999</v>
      </c>
      <c r="H2203">
        <v>1271.4116211</v>
      </c>
      <c r="I2203">
        <v>1401.9440918</v>
      </c>
      <c r="J2203">
        <v>1379.6683350000001</v>
      </c>
      <c r="K2203">
        <v>0</v>
      </c>
      <c r="L2203">
        <v>2750</v>
      </c>
      <c r="M2203">
        <v>2750</v>
      </c>
      <c r="N2203">
        <v>0</v>
      </c>
    </row>
    <row r="2204" spans="1:14" x14ac:dyDescent="0.25">
      <c r="A2204">
        <v>1787.5694490000001</v>
      </c>
      <c r="B2204" s="1">
        <f>DATE(2015,3,23) + TIME(13,40,0)</f>
        <v>42086.569444444445</v>
      </c>
      <c r="C2204">
        <v>80</v>
      </c>
      <c r="D2204">
        <v>70.002632141000007</v>
      </c>
      <c r="E2204">
        <v>50</v>
      </c>
      <c r="F2204">
        <v>49.981399535999998</v>
      </c>
      <c r="G2204">
        <v>1288.5513916</v>
      </c>
      <c r="H2204">
        <v>1270.8604736</v>
      </c>
      <c r="I2204">
        <v>1401.9110106999999</v>
      </c>
      <c r="J2204">
        <v>1379.6394043</v>
      </c>
      <c r="K2204">
        <v>0</v>
      </c>
      <c r="L2204">
        <v>2750</v>
      </c>
      <c r="M2204">
        <v>2750</v>
      </c>
      <c r="N2204">
        <v>0</v>
      </c>
    </row>
    <row r="2205" spans="1:14" x14ac:dyDescent="0.25">
      <c r="A2205">
        <v>1791.0207170000001</v>
      </c>
      <c r="B2205" s="1">
        <f>DATE(2015,3,27) + TIME(0,29,49)</f>
        <v>42090.02070601852</v>
      </c>
      <c r="C2205">
        <v>80</v>
      </c>
      <c r="D2205">
        <v>69.701881408999995</v>
      </c>
      <c r="E2205">
        <v>50</v>
      </c>
      <c r="F2205">
        <v>49.981430054</v>
      </c>
      <c r="G2205">
        <v>1288.1547852000001</v>
      </c>
      <c r="H2205">
        <v>1270.293457</v>
      </c>
      <c r="I2205">
        <v>1401.8774414</v>
      </c>
      <c r="J2205">
        <v>1379.6101074000001</v>
      </c>
      <c r="K2205">
        <v>0</v>
      </c>
      <c r="L2205">
        <v>2750</v>
      </c>
      <c r="M2205">
        <v>2750</v>
      </c>
      <c r="N2205">
        <v>0</v>
      </c>
    </row>
    <row r="2206" spans="1:14" x14ac:dyDescent="0.25">
      <c r="A2206">
        <v>1794.547245</v>
      </c>
      <c r="B2206" s="1">
        <f>DATE(2015,3,30) + TIME(13,8,1)</f>
        <v>42093.547233796293</v>
      </c>
      <c r="C2206">
        <v>80</v>
      </c>
      <c r="D2206">
        <v>69.384605407999999</v>
      </c>
      <c r="E2206">
        <v>50</v>
      </c>
      <c r="F2206">
        <v>49.981460571</v>
      </c>
      <c r="G2206">
        <v>1287.7475586</v>
      </c>
      <c r="H2206">
        <v>1269.7094727000001</v>
      </c>
      <c r="I2206">
        <v>1401.8432617000001</v>
      </c>
      <c r="J2206">
        <v>1379.5803223</v>
      </c>
      <c r="K2206">
        <v>0</v>
      </c>
      <c r="L2206">
        <v>2750</v>
      </c>
      <c r="M2206">
        <v>2750</v>
      </c>
      <c r="N2206">
        <v>0</v>
      </c>
    </row>
    <row r="2207" spans="1:14" x14ac:dyDescent="0.25">
      <c r="A2207">
        <v>1796</v>
      </c>
      <c r="B2207" s="1">
        <f>DATE(2015,4,1) + TIME(0,0,0)</f>
        <v>42095</v>
      </c>
      <c r="C2207">
        <v>80</v>
      </c>
      <c r="D2207">
        <v>69.111671447999996</v>
      </c>
      <c r="E2207">
        <v>50</v>
      </c>
      <c r="F2207">
        <v>49.981472015000001</v>
      </c>
      <c r="G2207">
        <v>1287.3410644999999</v>
      </c>
      <c r="H2207">
        <v>1269.1435547000001</v>
      </c>
      <c r="I2207">
        <v>1401.8078613</v>
      </c>
      <c r="J2207">
        <v>1379.5491943</v>
      </c>
      <c r="K2207">
        <v>0</v>
      </c>
      <c r="L2207">
        <v>2750</v>
      </c>
      <c r="M2207">
        <v>2750</v>
      </c>
      <c r="N220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2022-06-22T13:10:13Z</dcterms:created>
  <dcterms:modified xsi:type="dcterms:W3CDTF">2022-06-22T13:10:49Z</dcterms:modified>
</cp:coreProperties>
</file>