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torage_V/"/>
    </mc:Choice>
  </mc:AlternateContent>
  <xr:revisionPtr revIDLastSave="0" documentId="8_{F089F06A-384A-4537-9E16-05E3DD5EEB1C}" xr6:coauthVersionLast="47" xr6:coauthVersionMax="47" xr10:uidLastSave="{00000000-0000-0000-0000-000000000000}"/>
  <bookViews>
    <workbookView xWindow="-120" yWindow="-120" windowWidth="20730" windowHeight="11160" xr2:uid="{62DC5E7E-75F0-4B30-B475-41F7C49C7029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04" i="1" l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<sst xmlns="http://schemas.openxmlformats.org/spreadsheetml/2006/main" count="15" uniqueCount="15">
  <si>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MODEL\SCENARIOS\2022\Storage_V\Storage_400k.sr3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</si>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</sst>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1DD9A7-28C1-4521-936D-8B3A0DFB4CC9}" name="Table1" displayName="Table1" ref="A3:N1704" totalsRowShown="0">
  <autoFilter ref="A3:N1704" xr:uid="{351DD9A7-28C1-4521-936D-8B3A0DFB4CC9}"/>
  <tableColumns count="14">
    <tableColumn id="1" xr3:uid="{F9770779-A9D3-4C9A-9DFC-8AF1009DC97A}" name="Time (day)"/>
    <tableColumn id="2" xr3:uid="{25834853-44AB-4229-AB5F-38D501725B47}" name="Date" dataDxfId="0"/>
    <tableColumn id="3" xr3:uid="{7EB54D45-75D0-42F0-841A-B51E3B087D77}" name="Hot well INJ-Well bottom hole temperature (C)"/>
    <tableColumn id="4" xr3:uid="{A115D086-5BCF-4E59-84FF-589294E71340}" name="Hot well PROD-Well bottom hole temperature (C)"/>
    <tableColumn id="5" xr3:uid="{B3FE79B5-D903-4CA5-9E89-BA3BDA5773C8}" name="Warm well INJ-Well bottom hole temperature (C)"/>
    <tableColumn id="6" xr3:uid="{89EB6372-8F60-4F66-997B-A03EE88EB23C}" name="Warm well PROD-Well bottom hole temperature (C)"/>
    <tableColumn id="7" xr3:uid="{45B67D69-B374-41D3-ADBA-F1B8396DB063}" name="Hot well INJ-Well Bottom-hole Pressure (kPa)"/>
    <tableColumn id="8" xr3:uid="{AB543E7D-EC2F-417E-B221-0D7A6EC69FA0}" name="Hot well PROD-Well Bottom-hole Pressure (kPa)"/>
    <tableColumn id="9" xr3:uid="{C52B148B-390D-47B6-A89F-0E0C6A34AD56}" name="Warm well INJ-Well Bottom-hole Pressure (kPa)"/>
    <tableColumn id="10" xr3:uid="{C6A7678D-FDFF-448E-A2F5-256AC9269C35}" name="Warm well PROD-Well Bottom-hole Pressure (kPa)"/>
    <tableColumn id="11" xr3:uid="{A2BB5746-60FA-473D-9D5F-AE486DC744E1}" name="Hot well INJ-Fluid Rate SC (m³/day)"/>
    <tableColumn id="12" xr3:uid="{0391BAE9-F672-4989-BE81-6679B7CBD9B3}" name="Hot well PROD-Fluid Rate SC (m³/day)"/>
    <tableColumn id="13" xr3:uid="{9D8DBFC2-6847-49B5-A7E3-C9C6A052B29A}" name="Warm well INJ-Fluid Rate SC (m³/day)"/>
    <tableColumn id="14" xr3:uid="{BA084759-4A5F-4F72-922C-C55BF7FED0D4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AFE9-6B6A-4568-A476-DBD9C14D359A}">
  <dimension ref="A1:N1704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15.000054359</v>
      </c>
      <c r="E4">
        <v>50</v>
      </c>
      <c r="F4">
        <v>14.999979019</v>
      </c>
      <c r="G4">
        <v>1347.6804199000001</v>
      </c>
      <c r="H4">
        <v>1329.6109618999999</v>
      </c>
      <c r="I4">
        <v>1329.2092285000001</v>
      </c>
      <c r="J4">
        <v>1311.1390381000001</v>
      </c>
      <c r="K4">
        <v>1100</v>
      </c>
      <c r="L4">
        <v>0</v>
      </c>
      <c r="M4">
        <v>0</v>
      </c>
      <c r="N4">
        <v>1100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15.000213623</v>
      </c>
      <c r="E5">
        <v>50</v>
      </c>
      <c r="F5">
        <v>14.999920845</v>
      </c>
      <c r="G5">
        <v>1348.2495117000001</v>
      </c>
      <c r="H5">
        <v>1330.1801757999999</v>
      </c>
      <c r="I5">
        <v>1328.6424560999999</v>
      </c>
      <c r="J5">
        <v>1310.5722656</v>
      </c>
      <c r="K5">
        <v>1100</v>
      </c>
      <c r="L5">
        <v>0</v>
      </c>
      <c r="M5">
        <v>0</v>
      </c>
      <c r="N5">
        <v>1100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15.000665665</v>
      </c>
      <c r="E6">
        <v>50</v>
      </c>
      <c r="F6">
        <v>14.999772072000001</v>
      </c>
      <c r="G6">
        <v>1349.7049560999999</v>
      </c>
      <c r="H6">
        <v>1331.6357422000001</v>
      </c>
      <c r="I6">
        <v>1327.1932373</v>
      </c>
      <c r="J6">
        <v>1309.1229248</v>
      </c>
      <c r="K6">
        <v>1100</v>
      </c>
      <c r="L6">
        <v>0</v>
      </c>
      <c r="M6">
        <v>0</v>
      </c>
      <c r="N6">
        <v>1100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15.001882553</v>
      </c>
      <c r="E7">
        <v>50</v>
      </c>
      <c r="F7">
        <v>14.999464035000001</v>
      </c>
      <c r="G7">
        <v>1352.7109375</v>
      </c>
      <c r="H7">
        <v>1334.6422118999999</v>
      </c>
      <c r="I7">
        <v>1324.1998291</v>
      </c>
      <c r="J7">
        <v>1306.1292725000001</v>
      </c>
      <c r="K7">
        <v>1100</v>
      </c>
      <c r="L7">
        <v>0</v>
      </c>
      <c r="M7">
        <v>0</v>
      </c>
      <c r="N7">
        <v>1100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15.005069732999999</v>
      </c>
      <c r="E8">
        <v>50</v>
      </c>
      <c r="F8">
        <v>14.999001503000001</v>
      </c>
      <c r="G8">
        <v>1357.2265625</v>
      </c>
      <c r="H8">
        <v>1339.1591797000001</v>
      </c>
      <c r="I8">
        <v>1319.7021483999999</v>
      </c>
      <c r="J8">
        <v>1301.6314697</v>
      </c>
      <c r="K8">
        <v>1100</v>
      </c>
      <c r="L8">
        <v>0</v>
      </c>
      <c r="M8">
        <v>0</v>
      </c>
      <c r="N8">
        <v>1100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15.013762474</v>
      </c>
      <c r="E9">
        <v>50</v>
      </c>
      <c r="F9">
        <v>14.998476982</v>
      </c>
      <c r="G9">
        <v>1362.3464355000001</v>
      </c>
      <c r="H9">
        <v>1344.2832031</v>
      </c>
      <c r="I9">
        <v>1314.5986327999999</v>
      </c>
      <c r="J9">
        <v>1296.5277100000001</v>
      </c>
      <c r="K9">
        <v>1100</v>
      </c>
      <c r="L9">
        <v>0</v>
      </c>
      <c r="M9">
        <v>0</v>
      </c>
      <c r="N9">
        <v>1100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15.038783072999999</v>
      </c>
      <c r="E10">
        <v>50</v>
      </c>
      <c r="F10">
        <v>14.997947693</v>
      </c>
      <c r="G10">
        <v>1367.5048827999999</v>
      </c>
      <c r="H10">
        <v>1349.4534911999999</v>
      </c>
      <c r="I10">
        <v>1309.4448242000001</v>
      </c>
      <c r="J10">
        <v>1291.3736572</v>
      </c>
      <c r="K10">
        <v>1100</v>
      </c>
      <c r="L10">
        <v>0</v>
      </c>
      <c r="M10">
        <v>0</v>
      </c>
      <c r="N10">
        <v>1100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15.112689972</v>
      </c>
      <c r="E11">
        <v>50</v>
      </c>
      <c r="F11">
        <v>14.997432709</v>
      </c>
      <c r="G11">
        <v>1372.5002440999999</v>
      </c>
      <c r="H11">
        <v>1354.4836425999999</v>
      </c>
      <c r="I11">
        <v>1304.4190673999999</v>
      </c>
      <c r="J11">
        <v>1286.3476562000001</v>
      </c>
      <c r="K11">
        <v>1100</v>
      </c>
      <c r="L11">
        <v>0</v>
      </c>
      <c r="M11">
        <v>0</v>
      </c>
      <c r="N11">
        <v>1100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15.332590102999999</v>
      </c>
      <c r="E12">
        <v>50</v>
      </c>
      <c r="F12">
        <v>14.996994972</v>
      </c>
      <c r="G12">
        <v>1376.6721190999999</v>
      </c>
      <c r="H12">
        <v>1358.7585449000001</v>
      </c>
      <c r="I12">
        <v>1300.1156006000001</v>
      </c>
      <c r="J12">
        <v>1282.0440673999999</v>
      </c>
      <c r="K12">
        <v>1100</v>
      </c>
      <c r="L12">
        <v>0</v>
      </c>
      <c r="M12">
        <v>0</v>
      </c>
      <c r="N12">
        <v>1100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15.985472679000001</v>
      </c>
      <c r="E13">
        <v>50</v>
      </c>
      <c r="F13">
        <v>14.996724129</v>
      </c>
      <c r="G13">
        <v>1379.0303954999999</v>
      </c>
      <c r="H13">
        <v>1361.4167480000001</v>
      </c>
      <c r="I13">
        <v>1297.3527832</v>
      </c>
      <c r="J13">
        <v>1279.2811279</v>
      </c>
      <c r="K13">
        <v>1100</v>
      </c>
      <c r="L13">
        <v>0</v>
      </c>
      <c r="M13">
        <v>0</v>
      </c>
      <c r="N13">
        <v>1100</v>
      </c>
    </row>
    <row r="14" spans="1:14" x14ac:dyDescent="0.25">
      <c r="A14">
        <v>5.9672000000000003E-2</v>
      </c>
      <c r="B14" s="1">
        <f>DATE(2010,5,1) + TIME(1,25,55)</f>
        <v>40299.059664351851</v>
      </c>
      <c r="C14">
        <v>80</v>
      </c>
      <c r="D14">
        <v>16.971858978</v>
      </c>
      <c r="E14">
        <v>50</v>
      </c>
      <c r="F14">
        <v>14.996641158999999</v>
      </c>
      <c r="G14">
        <v>1379.4329834</v>
      </c>
      <c r="H14">
        <v>1362.2521973</v>
      </c>
      <c r="I14">
        <v>1296.3771973</v>
      </c>
      <c r="J14">
        <v>1278.3054199000001</v>
      </c>
      <c r="K14">
        <v>1100</v>
      </c>
      <c r="L14">
        <v>0</v>
      </c>
      <c r="M14">
        <v>0</v>
      </c>
      <c r="N14">
        <v>1100</v>
      </c>
    </row>
    <row r="15" spans="1:14" x14ac:dyDescent="0.25">
      <c r="A15">
        <v>9.0235999999999997E-2</v>
      </c>
      <c r="B15" s="1">
        <f>DATE(2010,5,1) + TIME(2,9,56)</f>
        <v>40299.090231481481</v>
      </c>
      <c r="C15">
        <v>80</v>
      </c>
      <c r="D15">
        <v>17.959043503</v>
      </c>
      <c r="E15">
        <v>50</v>
      </c>
      <c r="F15">
        <v>14.996628761</v>
      </c>
      <c r="G15">
        <v>1379.1722411999999</v>
      </c>
      <c r="H15">
        <v>1362.401001</v>
      </c>
      <c r="I15">
        <v>1296.0997314000001</v>
      </c>
      <c r="J15">
        <v>1278.027832</v>
      </c>
      <c r="K15">
        <v>1100</v>
      </c>
      <c r="L15">
        <v>0</v>
      </c>
      <c r="M15">
        <v>0</v>
      </c>
      <c r="N15">
        <v>1100</v>
      </c>
    </row>
    <row r="16" spans="1:14" x14ac:dyDescent="0.25">
      <c r="A16">
        <v>0.121196</v>
      </c>
      <c r="B16" s="1">
        <f>DATE(2010,5,1) + TIME(2,54,31)</f>
        <v>40299.121192129627</v>
      </c>
      <c r="C16">
        <v>80</v>
      </c>
      <c r="D16">
        <v>18.946067809999999</v>
      </c>
      <c r="E16">
        <v>50</v>
      </c>
      <c r="F16">
        <v>14.996636390999999</v>
      </c>
      <c r="G16">
        <v>1378.7265625</v>
      </c>
      <c r="H16">
        <v>1362.3472899999999</v>
      </c>
      <c r="I16">
        <v>1296.0196533000001</v>
      </c>
      <c r="J16">
        <v>1277.9475098</v>
      </c>
      <c r="K16">
        <v>1100</v>
      </c>
      <c r="L16">
        <v>0</v>
      </c>
      <c r="M16">
        <v>0</v>
      </c>
      <c r="N16">
        <v>1100</v>
      </c>
    </row>
    <row r="17" spans="1:14" x14ac:dyDescent="0.25">
      <c r="A17">
        <v>0.15256400000000001</v>
      </c>
      <c r="B17" s="1">
        <f>DATE(2010,5,1) + TIME(3,39,41)</f>
        <v>40299.152557870373</v>
      </c>
      <c r="C17">
        <v>80</v>
      </c>
      <c r="D17">
        <v>19.932891846</v>
      </c>
      <c r="E17">
        <v>50</v>
      </c>
      <c r="F17">
        <v>14.996649742000001</v>
      </c>
      <c r="G17">
        <v>1378.2299805</v>
      </c>
      <c r="H17">
        <v>1362.2257079999999</v>
      </c>
      <c r="I17">
        <v>1296.0006103999999</v>
      </c>
      <c r="J17">
        <v>1277.9283447</v>
      </c>
      <c r="K17">
        <v>1100</v>
      </c>
      <c r="L17">
        <v>0</v>
      </c>
      <c r="M17">
        <v>0</v>
      </c>
      <c r="N17">
        <v>1100</v>
      </c>
    </row>
    <row r="18" spans="1:14" x14ac:dyDescent="0.25">
      <c r="A18">
        <v>0.18435099999999999</v>
      </c>
      <c r="B18" s="1">
        <f>DATE(2010,5,1) + TIME(4,25,27)</f>
        <v>40299.184340277781</v>
      </c>
      <c r="C18">
        <v>80</v>
      </c>
      <c r="D18">
        <v>20.920318603999998</v>
      </c>
      <c r="E18">
        <v>50</v>
      </c>
      <c r="F18">
        <v>14.996665001</v>
      </c>
      <c r="G18">
        <v>1377.7269286999999</v>
      </c>
      <c r="H18">
        <v>1362.0817870999999</v>
      </c>
      <c r="I18">
        <v>1296.0001221</v>
      </c>
      <c r="J18">
        <v>1277.9277344</v>
      </c>
      <c r="K18">
        <v>1100</v>
      </c>
      <c r="L18">
        <v>0</v>
      </c>
      <c r="M18">
        <v>0</v>
      </c>
      <c r="N18">
        <v>1100</v>
      </c>
    </row>
    <row r="19" spans="1:14" x14ac:dyDescent="0.25">
      <c r="A19">
        <v>0.21654200000000001</v>
      </c>
      <c r="B19" s="1">
        <f>DATE(2010,5,1) + TIME(5,11,49)</f>
        <v>40299.216539351852</v>
      </c>
      <c r="C19">
        <v>80</v>
      </c>
      <c r="D19">
        <v>21.90678978</v>
      </c>
      <c r="E19">
        <v>50</v>
      </c>
      <c r="F19">
        <v>14.996681213</v>
      </c>
      <c r="G19">
        <v>1377.2342529</v>
      </c>
      <c r="H19">
        <v>1361.9329834</v>
      </c>
      <c r="I19">
        <v>1296.0043945</v>
      </c>
      <c r="J19">
        <v>1277.9317627</v>
      </c>
      <c r="K19">
        <v>1100</v>
      </c>
      <c r="L19">
        <v>0</v>
      </c>
      <c r="M19">
        <v>0</v>
      </c>
      <c r="N19">
        <v>1100</v>
      </c>
    </row>
    <row r="20" spans="1:14" x14ac:dyDescent="0.25">
      <c r="A20">
        <v>0.24917500000000001</v>
      </c>
      <c r="B20" s="1">
        <f>DATE(2010,5,1) + TIME(5,58,48)</f>
        <v>40299.249166666668</v>
      </c>
      <c r="C20">
        <v>80</v>
      </c>
      <c r="D20">
        <v>22.892967224</v>
      </c>
      <c r="E20">
        <v>50</v>
      </c>
      <c r="F20">
        <v>14.996697426000001</v>
      </c>
      <c r="G20">
        <v>1376.7579346</v>
      </c>
      <c r="H20">
        <v>1361.7860106999999</v>
      </c>
      <c r="I20">
        <v>1296.0092772999999</v>
      </c>
      <c r="J20">
        <v>1277.9364014</v>
      </c>
      <c r="K20">
        <v>1100</v>
      </c>
      <c r="L20">
        <v>0</v>
      </c>
      <c r="M20">
        <v>0</v>
      </c>
      <c r="N20">
        <v>1100</v>
      </c>
    </row>
    <row r="21" spans="1:14" x14ac:dyDescent="0.25">
      <c r="A21">
        <v>0.28226499999999999</v>
      </c>
      <c r="B21" s="1">
        <f>DATE(2010,5,1) + TIME(6,46,27)</f>
        <v>40299.282256944447</v>
      </c>
      <c r="C21">
        <v>80</v>
      </c>
      <c r="D21">
        <v>23.878900527999999</v>
      </c>
      <c r="E21">
        <v>50</v>
      </c>
      <c r="F21">
        <v>14.996712685</v>
      </c>
      <c r="G21">
        <v>1376.2999268000001</v>
      </c>
      <c r="H21">
        <v>1361.6439209</v>
      </c>
      <c r="I21">
        <v>1296.0134277</v>
      </c>
      <c r="J21">
        <v>1277.9403076000001</v>
      </c>
      <c r="K21">
        <v>1100</v>
      </c>
      <c r="L21">
        <v>0</v>
      </c>
      <c r="M21">
        <v>0</v>
      </c>
      <c r="N21">
        <v>1100</v>
      </c>
    </row>
    <row r="22" spans="1:14" x14ac:dyDescent="0.25">
      <c r="A22">
        <v>0.31582700000000002</v>
      </c>
      <c r="B22" s="1">
        <f>DATE(2010,5,1) + TIME(7,34,47)</f>
        <v>40299.315821759257</v>
      </c>
      <c r="C22">
        <v>80</v>
      </c>
      <c r="D22">
        <v>24.864580153999999</v>
      </c>
      <c r="E22">
        <v>50</v>
      </c>
      <c r="F22">
        <v>14.996728897000001</v>
      </c>
      <c r="G22">
        <v>1375.8608397999999</v>
      </c>
      <c r="H22">
        <v>1361.5075684000001</v>
      </c>
      <c r="I22">
        <v>1296.0170897999999</v>
      </c>
      <c r="J22">
        <v>1277.9437256000001</v>
      </c>
      <c r="K22">
        <v>1100</v>
      </c>
      <c r="L22">
        <v>0</v>
      </c>
      <c r="M22">
        <v>0</v>
      </c>
      <c r="N22">
        <v>1100</v>
      </c>
    </row>
    <row r="23" spans="1:14" x14ac:dyDescent="0.25">
      <c r="A23">
        <v>0.34987699999999999</v>
      </c>
      <c r="B23" s="1">
        <f>DATE(2010,5,1) + TIME(8,23,49)</f>
        <v>40299.349872685183</v>
      </c>
      <c r="C23">
        <v>80</v>
      </c>
      <c r="D23">
        <v>25.850572585999998</v>
      </c>
      <c r="E23">
        <v>50</v>
      </c>
      <c r="F23">
        <v>14.996745110000001</v>
      </c>
      <c r="G23">
        <v>1375.4401855000001</v>
      </c>
      <c r="H23">
        <v>1361.3776855000001</v>
      </c>
      <c r="I23">
        <v>1296.0202637</v>
      </c>
      <c r="J23">
        <v>1277.9466553</v>
      </c>
      <c r="K23">
        <v>1100</v>
      </c>
      <c r="L23">
        <v>0</v>
      </c>
      <c r="M23">
        <v>0</v>
      </c>
      <c r="N23">
        <v>1100</v>
      </c>
    </row>
    <row r="24" spans="1:14" x14ac:dyDescent="0.25">
      <c r="A24">
        <v>0.384411</v>
      </c>
      <c r="B24" s="1">
        <f>DATE(2010,5,1) + TIME(9,13,33)</f>
        <v>40299.384409722225</v>
      </c>
      <c r="C24">
        <v>80</v>
      </c>
      <c r="D24">
        <v>26.835832595999999</v>
      </c>
      <c r="E24">
        <v>50</v>
      </c>
      <c r="F24">
        <v>14.996760368</v>
      </c>
      <c r="G24">
        <v>1375.0375977000001</v>
      </c>
      <c r="H24">
        <v>1361.2539062000001</v>
      </c>
      <c r="I24">
        <v>1296.0231934000001</v>
      </c>
      <c r="J24">
        <v>1277.9492187999999</v>
      </c>
      <c r="K24">
        <v>1100</v>
      </c>
      <c r="L24">
        <v>0</v>
      </c>
      <c r="M24">
        <v>0</v>
      </c>
      <c r="N24">
        <v>1100</v>
      </c>
    </row>
    <row r="25" spans="1:14" x14ac:dyDescent="0.25">
      <c r="A25">
        <v>0.41946099999999997</v>
      </c>
      <c r="B25" s="1">
        <f>DATE(2010,5,1) + TIME(10,4,1)</f>
        <v>40299.419456018521</v>
      </c>
      <c r="C25">
        <v>80</v>
      </c>
      <c r="D25">
        <v>27.820718764999999</v>
      </c>
      <c r="E25">
        <v>50</v>
      </c>
      <c r="F25">
        <v>14.996776581000001</v>
      </c>
      <c r="G25">
        <v>1374.6523437999999</v>
      </c>
      <c r="H25">
        <v>1361.1363524999999</v>
      </c>
      <c r="I25">
        <v>1296.0257568</v>
      </c>
      <c r="J25">
        <v>1277.9514160000001</v>
      </c>
      <c r="K25">
        <v>1100</v>
      </c>
      <c r="L25">
        <v>0</v>
      </c>
      <c r="M25">
        <v>0</v>
      </c>
      <c r="N25">
        <v>1100</v>
      </c>
    </row>
    <row r="26" spans="1:14" x14ac:dyDescent="0.25">
      <c r="A26">
        <v>0.45504899999999998</v>
      </c>
      <c r="B26" s="1">
        <f>DATE(2010,5,1) + TIME(10,55,16)</f>
        <v>40299.455046296294</v>
      </c>
      <c r="C26">
        <v>80</v>
      </c>
      <c r="D26">
        <v>28.805309296000001</v>
      </c>
      <c r="E26">
        <v>50</v>
      </c>
      <c r="F26">
        <v>14.99679184</v>
      </c>
      <c r="G26">
        <v>1374.2835693</v>
      </c>
      <c r="H26">
        <v>1361.0247803</v>
      </c>
      <c r="I26">
        <v>1296.0280762</v>
      </c>
      <c r="J26">
        <v>1277.9534911999999</v>
      </c>
      <c r="K26">
        <v>1100</v>
      </c>
      <c r="L26">
        <v>0</v>
      </c>
      <c r="M26">
        <v>0</v>
      </c>
      <c r="N26">
        <v>1100</v>
      </c>
    </row>
    <row r="27" spans="1:14" x14ac:dyDescent="0.25">
      <c r="A27">
        <v>0.49119400000000002</v>
      </c>
      <c r="B27" s="1">
        <f>DATE(2010,5,1) + TIME(11,47,19)</f>
        <v>40299.49119212963</v>
      </c>
      <c r="C27">
        <v>80</v>
      </c>
      <c r="D27">
        <v>29.789590835999999</v>
      </c>
      <c r="E27">
        <v>50</v>
      </c>
      <c r="F27">
        <v>14.996808052</v>
      </c>
      <c r="G27">
        <v>1373.9305420000001</v>
      </c>
      <c r="H27">
        <v>1360.9189452999999</v>
      </c>
      <c r="I27">
        <v>1296.0303954999999</v>
      </c>
      <c r="J27">
        <v>1277.9554443</v>
      </c>
      <c r="K27">
        <v>1100</v>
      </c>
      <c r="L27">
        <v>0</v>
      </c>
      <c r="M27">
        <v>0</v>
      </c>
      <c r="N27">
        <v>1100</v>
      </c>
    </row>
    <row r="28" spans="1:14" x14ac:dyDescent="0.25">
      <c r="A28">
        <v>0.52791600000000005</v>
      </c>
      <c r="B28" s="1">
        <f>DATE(2010,5,1) + TIME(12,40,11)</f>
        <v>40299.527905092589</v>
      </c>
      <c r="C28">
        <v>80</v>
      </c>
      <c r="D28">
        <v>30.773727417</v>
      </c>
      <c r="E28">
        <v>50</v>
      </c>
      <c r="F28">
        <v>14.996823311</v>
      </c>
      <c r="G28">
        <v>1373.5925293</v>
      </c>
      <c r="H28">
        <v>1360.8184814000001</v>
      </c>
      <c r="I28">
        <v>1296.0325928</v>
      </c>
      <c r="J28">
        <v>1277.9572754000001</v>
      </c>
      <c r="K28">
        <v>1100</v>
      </c>
      <c r="L28">
        <v>0</v>
      </c>
      <c r="M28">
        <v>0</v>
      </c>
      <c r="N28">
        <v>1100</v>
      </c>
    </row>
    <row r="29" spans="1:14" x14ac:dyDescent="0.25">
      <c r="A29">
        <v>0.56523000000000001</v>
      </c>
      <c r="B29" s="1">
        <f>DATE(2010,5,1) + TIME(13,33,55)</f>
        <v>40299.56521990741</v>
      </c>
      <c r="C29">
        <v>80</v>
      </c>
      <c r="D29">
        <v>31.757408141999999</v>
      </c>
      <c r="E29">
        <v>50</v>
      </c>
      <c r="F29">
        <v>14.996839523</v>
      </c>
      <c r="G29">
        <v>1373.269043</v>
      </c>
      <c r="H29">
        <v>1360.7233887</v>
      </c>
      <c r="I29">
        <v>1296.034668</v>
      </c>
      <c r="J29">
        <v>1277.9589844</v>
      </c>
      <c r="K29">
        <v>1100</v>
      </c>
      <c r="L29">
        <v>0</v>
      </c>
      <c r="M29">
        <v>0</v>
      </c>
      <c r="N29">
        <v>1100</v>
      </c>
    </row>
    <row r="30" spans="1:14" x14ac:dyDescent="0.25">
      <c r="A30">
        <v>0.60316400000000003</v>
      </c>
      <c r="B30" s="1">
        <f>DATE(2010,5,1) + TIME(14,28,33)</f>
        <v>40299.603159722225</v>
      </c>
      <c r="C30">
        <v>80</v>
      </c>
      <c r="D30">
        <v>32.740688323999997</v>
      </c>
      <c r="E30">
        <v>50</v>
      </c>
      <c r="F30">
        <v>14.996854782</v>
      </c>
      <c r="G30">
        <v>1372.9591064000001</v>
      </c>
      <c r="H30">
        <v>1360.6331786999999</v>
      </c>
      <c r="I30">
        <v>1296.0367432</v>
      </c>
      <c r="J30">
        <v>1277.9606934000001</v>
      </c>
      <c r="K30">
        <v>1100</v>
      </c>
      <c r="L30">
        <v>0</v>
      </c>
      <c r="M30">
        <v>0</v>
      </c>
      <c r="N30">
        <v>1100</v>
      </c>
    </row>
    <row r="31" spans="1:14" x14ac:dyDescent="0.25">
      <c r="A31">
        <v>0.64174200000000003</v>
      </c>
      <c r="B31" s="1">
        <f>DATE(2010,5,1) + TIME(15,24,6)</f>
        <v>40299.641736111109</v>
      </c>
      <c r="C31">
        <v>80</v>
      </c>
      <c r="D31">
        <v>33.723602294999999</v>
      </c>
      <c r="E31">
        <v>50</v>
      </c>
      <c r="F31">
        <v>14.996870995</v>
      </c>
      <c r="G31">
        <v>1372.6622314000001</v>
      </c>
      <c r="H31">
        <v>1360.5477295000001</v>
      </c>
      <c r="I31">
        <v>1296.0386963000001</v>
      </c>
      <c r="J31">
        <v>1277.9621582</v>
      </c>
      <c r="K31">
        <v>1100</v>
      </c>
      <c r="L31">
        <v>0</v>
      </c>
      <c r="M31">
        <v>0</v>
      </c>
      <c r="N31">
        <v>1100</v>
      </c>
    </row>
    <row r="32" spans="1:14" x14ac:dyDescent="0.25">
      <c r="A32">
        <v>0.68099100000000001</v>
      </c>
      <c r="B32" s="1">
        <f>DATE(2010,5,1) + TIME(16,20,37)</f>
        <v>40299.680983796294</v>
      </c>
      <c r="C32">
        <v>80</v>
      </c>
      <c r="D32">
        <v>34.706127166999998</v>
      </c>
      <c r="E32">
        <v>50</v>
      </c>
      <c r="F32">
        <v>14.996886253</v>
      </c>
      <c r="G32">
        <v>1372.3778076000001</v>
      </c>
      <c r="H32">
        <v>1360.4667969</v>
      </c>
      <c r="I32">
        <v>1296.0406493999999</v>
      </c>
      <c r="J32">
        <v>1277.9636230000001</v>
      </c>
      <c r="K32">
        <v>1100</v>
      </c>
      <c r="L32">
        <v>0</v>
      </c>
      <c r="M32">
        <v>0</v>
      </c>
      <c r="N32">
        <v>1100</v>
      </c>
    </row>
    <row r="33" spans="1:14" x14ac:dyDescent="0.25">
      <c r="A33">
        <v>0.72093799999999997</v>
      </c>
      <c r="B33" s="1">
        <f>DATE(2010,5,1) + TIME(17,18,9)</f>
        <v>40299.720937500002</v>
      </c>
      <c r="C33">
        <v>80</v>
      </c>
      <c r="D33">
        <v>35.688251495000003</v>
      </c>
      <c r="E33">
        <v>50</v>
      </c>
      <c r="F33">
        <v>14.996902466</v>
      </c>
      <c r="G33">
        <v>1372.1052245999999</v>
      </c>
      <c r="H33">
        <v>1360.3901367000001</v>
      </c>
      <c r="I33">
        <v>1296.0424805</v>
      </c>
      <c r="J33">
        <v>1277.9650879000001</v>
      </c>
      <c r="K33">
        <v>1100</v>
      </c>
      <c r="L33">
        <v>0</v>
      </c>
      <c r="M33">
        <v>0</v>
      </c>
      <c r="N33">
        <v>1100</v>
      </c>
    </row>
    <row r="34" spans="1:14" x14ac:dyDescent="0.25">
      <c r="A34">
        <v>0.76161199999999996</v>
      </c>
      <c r="B34" s="1">
        <f>DATE(2010,5,1) + TIME(18,16,43)</f>
        <v>40299.761608796296</v>
      </c>
      <c r="C34">
        <v>80</v>
      </c>
      <c r="D34">
        <v>36.669948578000003</v>
      </c>
      <c r="E34">
        <v>50</v>
      </c>
      <c r="F34">
        <v>14.996917724999999</v>
      </c>
      <c r="G34">
        <v>1371.8438721</v>
      </c>
      <c r="H34">
        <v>1360.3176269999999</v>
      </c>
      <c r="I34">
        <v>1296.0441894999999</v>
      </c>
      <c r="J34">
        <v>1277.9664307</v>
      </c>
      <c r="K34">
        <v>1100</v>
      </c>
      <c r="L34">
        <v>0</v>
      </c>
      <c r="M34">
        <v>0</v>
      </c>
      <c r="N34">
        <v>1100</v>
      </c>
    </row>
    <row r="35" spans="1:14" x14ac:dyDescent="0.25">
      <c r="A35">
        <v>0.80304399999999998</v>
      </c>
      <c r="B35" s="1">
        <f>DATE(2010,5,1) + TIME(19,16,23)</f>
        <v>40299.803043981483</v>
      </c>
      <c r="C35">
        <v>80</v>
      </c>
      <c r="D35">
        <v>37.651199341000002</v>
      </c>
      <c r="E35">
        <v>50</v>
      </c>
      <c r="F35">
        <v>14.996933937</v>
      </c>
      <c r="G35">
        <v>1371.5935059000001</v>
      </c>
      <c r="H35">
        <v>1360.2489014</v>
      </c>
      <c r="I35">
        <v>1296.0460204999999</v>
      </c>
      <c r="J35">
        <v>1277.9676514</v>
      </c>
      <c r="K35">
        <v>1100</v>
      </c>
      <c r="L35">
        <v>0</v>
      </c>
      <c r="M35">
        <v>0</v>
      </c>
      <c r="N35">
        <v>1100</v>
      </c>
    </row>
    <row r="36" spans="1:14" x14ac:dyDescent="0.25">
      <c r="A36">
        <v>0.84526900000000005</v>
      </c>
      <c r="B36" s="1">
        <f>DATE(2010,5,1) + TIME(20,17,11)</f>
        <v>40299.845266203702</v>
      </c>
      <c r="C36">
        <v>80</v>
      </c>
      <c r="D36">
        <v>38.631980896000002</v>
      </c>
      <c r="E36">
        <v>50</v>
      </c>
      <c r="F36">
        <v>14.996949195999999</v>
      </c>
      <c r="G36">
        <v>1371.3532714999999</v>
      </c>
      <c r="H36">
        <v>1360.1839600000001</v>
      </c>
      <c r="I36">
        <v>1296.0477295000001</v>
      </c>
      <c r="J36">
        <v>1277.9688721</v>
      </c>
      <c r="K36">
        <v>1100</v>
      </c>
      <c r="L36">
        <v>0</v>
      </c>
      <c r="M36">
        <v>0</v>
      </c>
      <c r="N36">
        <v>1100</v>
      </c>
    </row>
    <row r="37" spans="1:14" x14ac:dyDescent="0.25">
      <c r="A37">
        <v>0.88832</v>
      </c>
      <c r="B37" s="1">
        <f>DATE(2010,5,1) + TIME(21,19,10)</f>
        <v>40299.888310185182</v>
      </c>
      <c r="C37">
        <v>80</v>
      </c>
      <c r="D37">
        <v>39.612270355</v>
      </c>
      <c r="E37">
        <v>50</v>
      </c>
      <c r="F37">
        <v>14.996965407999999</v>
      </c>
      <c r="G37">
        <v>1371.1229248</v>
      </c>
      <c r="H37">
        <v>1360.1225586</v>
      </c>
      <c r="I37">
        <v>1296.0493164</v>
      </c>
      <c r="J37">
        <v>1277.9699707</v>
      </c>
      <c r="K37">
        <v>1100</v>
      </c>
      <c r="L37">
        <v>0</v>
      </c>
      <c r="M37">
        <v>0</v>
      </c>
      <c r="N37">
        <v>1100</v>
      </c>
    </row>
    <row r="38" spans="1:14" x14ac:dyDescent="0.25">
      <c r="A38">
        <v>0.93223699999999998</v>
      </c>
      <c r="B38" s="1">
        <f>DATE(2010,5,1) + TIME(22,22,25)</f>
        <v>40299.932233796295</v>
      </c>
      <c r="C38">
        <v>80</v>
      </c>
      <c r="D38">
        <v>40.592182158999996</v>
      </c>
      <c r="E38">
        <v>50</v>
      </c>
      <c r="F38">
        <v>14.996981621</v>
      </c>
      <c r="G38">
        <v>1370.9018555</v>
      </c>
      <c r="H38">
        <v>1360.0644531</v>
      </c>
      <c r="I38">
        <v>1296.0510254000001</v>
      </c>
      <c r="J38">
        <v>1277.9710693</v>
      </c>
      <c r="K38">
        <v>1100</v>
      </c>
      <c r="L38">
        <v>0</v>
      </c>
      <c r="M38">
        <v>0</v>
      </c>
      <c r="N38">
        <v>1100</v>
      </c>
    </row>
    <row r="39" spans="1:14" x14ac:dyDescent="0.25">
      <c r="A39">
        <v>0.97705399999999998</v>
      </c>
      <c r="B39" s="1">
        <f>DATE(2010,5,1) + TIME(23,26,57)</f>
        <v>40299.977048611108</v>
      </c>
      <c r="C39">
        <v>80</v>
      </c>
      <c r="D39">
        <v>41.571502686000002</v>
      </c>
      <c r="E39">
        <v>50</v>
      </c>
      <c r="F39">
        <v>14.996996879999999</v>
      </c>
      <c r="G39">
        <v>1370.6898193</v>
      </c>
      <c r="H39">
        <v>1360.0095214999999</v>
      </c>
      <c r="I39">
        <v>1296.0526123</v>
      </c>
      <c r="J39">
        <v>1277.972168</v>
      </c>
      <c r="K39">
        <v>1100</v>
      </c>
      <c r="L39">
        <v>0</v>
      </c>
      <c r="M39">
        <v>0</v>
      </c>
      <c r="N39">
        <v>1100</v>
      </c>
    </row>
    <row r="40" spans="1:14" x14ac:dyDescent="0.25">
      <c r="A40">
        <v>1.022818</v>
      </c>
      <c r="B40" s="1">
        <f>DATE(2010,5,2) + TIME(0,32,51)</f>
        <v>40300.022812499999</v>
      </c>
      <c r="C40">
        <v>80</v>
      </c>
      <c r="D40">
        <v>42.550159454000003</v>
      </c>
      <c r="E40">
        <v>50</v>
      </c>
      <c r="F40">
        <v>14.997013092</v>
      </c>
      <c r="G40">
        <v>1370.4863281</v>
      </c>
      <c r="H40">
        <v>1359.9575195</v>
      </c>
      <c r="I40">
        <v>1296.0540771000001</v>
      </c>
      <c r="J40">
        <v>1277.9731445</v>
      </c>
      <c r="K40">
        <v>1100</v>
      </c>
      <c r="L40">
        <v>0</v>
      </c>
      <c r="M40">
        <v>0</v>
      </c>
      <c r="N40">
        <v>1100</v>
      </c>
    </row>
    <row r="41" spans="1:14" x14ac:dyDescent="0.25">
      <c r="A41">
        <v>1.06958</v>
      </c>
      <c r="B41" s="1">
        <f>DATE(2010,5,2) + TIME(1,40,11)</f>
        <v>40300.069571759261</v>
      </c>
      <c r="C41">
        <v>80</v>
      </c>
      <c r="D41">
        <v>43.528209685999997</v>
      </c>
      <c r="E41">
        <v>50</v>
      </c>
      <c r="F41">
        <v>14.997029305</v>
      </c>
      <c r="G41">
        <v>1370.2908935999999</v>
      </c>
      <c r="H41">
        <v>1359.9083252</v>
      </c>
      <c r="I41">
        <v>1296.0556641000001</v>
      </c>
      <c r="J41">
        <v>1277.9741211</v>
      </c>
      <c r="K41">
        <v>1100</v>
      </c>
      <c r="L41">
        <v>0</v>
      </c>
      <c r="M41">
        <v>0</v>
      </c>
      <c r="N41">
        <v>1100</v>
      </c>
    </row>
    <row r="42" spans="1:14" x14ac:dyDescent="0.25">
      <c r="A42">
        <v>1.117391</v>
      </c>
      <c r="B42" s="1">
        <f>DATE(2010,5,2) + TIME(2,49,2)</f>
        <v>40300.117384259262</v>
      </c>
      <c r="C42">
        <v>80</v>
      </c>
      <c r="D42">
        <v>44.505615233999997</v>
      </c>
      <c r="E42">
        <v>50</v>
      </c>
      <c r="F42">
        <v>14.997045517</v>
      </c>
      <c r="G42">
        <v>1370.1032714999999</v>
      </c>
      <c r="H42">
        <v>1359.8618164</v>
      </c>
      <c r="I42">
        <v>1296.0571289</v>
      </c>
      <c r="J42">
        <v>1277.9750977000001</v>
      </c>
      <c r="K42">
        <v>1100</v>
      </c>
      <c r="L42">
        <v>0</v>
      </c>
      <c r="M42">
        <v>0</v>
      </c>
      <c r="N42">
        <v>1100</v>
      </c>
    </row>
    <row r="43" spans="1:14" x14ac:dyDescent="0.25">
      <c r="A43">
        <v>1.166307</v>
      </c>
      <c r="B43" s="1">
        <f>DATE(2010,5,2) + TIME(3,59,28)</f>
        <v>40300.166296296295</v>
      </c>
      <c r="C43">
        <v>80</v>
      </c>
      <c r="D43">
        <v>45.482341765999998</v>
      </c>
      <c r="E43">
        <v>50</v>
      </c>
      <c r="F43">
        <v>14.997060776</v>
      </c>
      <c r="G43">
        <v>1369.9229736</v>
      </c>
      <c r="H43">
        <v>1359.817749</v>
      </c>
      <c r="I43">
        <v>1296.0587158000001</v>
      </c>
      <c r="J43">
        <v>1277.9759521000001</v>
      </c>
      <c r="K43">
        <v>1100</v>
      </c>
      <c r="L43">
        <v>0</v>
      </c>
      <c r="M43">
        <v>0</v>
      </c>
      <c r="N43">
        <v>1100</v>
      </c>
    </row>
    <row r="44" spans="1:14" x14ac:dyDescent="0.25">
      <c r="A44">
        <v>1.2163900000000001</v>
      </c>
      <c r="B44" s="1">
        <f>DATE(2010,5,2) + TIME(5,11,36)</f>
        <v>40300.21638888889</v>
      </c>
      <c r="C44">
        <v>80</v>
      </c>
      <c r="D44">
        <v>46.458343505999999</v>
      </c>
      <c r="E44">
        <v>50</v>
      </c>
      <c r="F44">
        <v>14.997076988</v>
      </c>
      <c r="G44">
        <v>1369.7497559000001</v>
      </c>
      <c r="H44">
        <v>1359.776001</v>
      </c>
      <c r="I44">
        <v>1296.0601807</v>
      </c>
      <c r="J44">
        <v>1277.9768065999999</v>
      </c>
      <c r="K44">
        <v>1100</v>
      </c>
      <c r="L44">
        <v>0</v>
      </c>
      <c r="M44">
        <v>0</v>
      </c>
      <c r="N44">
        <v>1100</v>
      </c>
    </row>
    <row r="45" spans="1:14" x14ac:dyDescent="0.25">
      <c r="A45">
        <v>1.267703</v>
      </c>
      <c r="B45" s="1">
        <f>DATE(2010,5,2) + TIME(6,25,29)</f>
        <v>40300.267696759256</v>
      </c>
      <c r="C45">
        <v>80</v>
      </c>
      <c r="D45">
        <v>47.433582305999998</v>
      </c>
      <c r="E45">
        <v>50</v>
      </c>
      <c r="F45">
        <v>14.997093201</v>
      </c>
      <c r="G45">
        <v>1369.5832519999999</v>
      </c>
      <c r="H45">
        <v>1359.7365723</v>
      </c>
      <c r="I45">
        <v>1296.0616454999999</v>
      </c>
      <c r="J45">
        <v>1277.9776611</v>
      </c>
      <c r="K45">
        <v>1100</v>
      </c>
      <c r="L45">
        <v>0</v>
      </c>
      <c r="M45">
        <v>0</v>
      </c>
      <c r="N45">
        <v>1100</v>
      </c>
    </row>
    <row r="46" spans="1:14" x14ac:dyDescent="0.25">
      <c r="A46">
        <v>1.320319</v>
      </c>
      <c r="B46" s="1">
        <f>DATE(2010,5,2) + TIME(7,41,15)</f>
        <v>40300.3203125</v>
      </c>
      <c r="C46">
        <v>80</v>
      </c>
      <c r="D46">
        <v>48.408004761000001</v>
      </c>
      <c r="E46">
        <v>50</v>
      </c>
      <c r="F46">
        <v>14.997109413</v>
      </c>
      <c r="G46">
        <v>1369.4230957</v>
      </c>
      <c r="H46">
        <v>1359.6990966999999</v>
      </c>
      <c r="I46">
        <v>1296.0631103999999</v>
      </c>
      <c r="J46">
        <v>1277.9783935999999</v>
      </c>
      <c r="K46">
        <v>1100</v>
      </c>
      <c r="L46">
        <v>0</v>
      </c>
      <c r="M46">
        <v>0</v>
      </c>
      <c r="N46">
        <v>1100</v>
      </c>
    </row>
    <row r="47" spans="1:14" x14ac:dyDescent="0.25">
      <c r="A47">
        <v>1.374317</v>
      </c>
      <c r="B47" s="1">
        <f>DATE(2010,5,2) + TIME(8,59,0)</f>
        <v>40300.374305555553</v>
      </c>
      <c r="C47">
        <v>80</v>
      </c>
      <c r="D47">
        <v>49.381565094000003</v>
      </c>
      <c r="E47">
        <v>50</v>
      </c>
      <c r="F47">
        <v>14.997126579</v>
      </c>
      <c r="G47">
        <v>1369.269043</v>
      </c>
      <c r="H47">
        <v>1359.6635742000001</v>
      </c>
      <c r="I47">
        <v>1296.0644531</v>
      </c>
      <c r="J47">
        <v>1277.9792480000001</v>
      </c>
      <c r="K47">
        <v>1100</v>
      </c>
      <c r="L47">
        <v>0</v>
      </c>
      <c r="M47">
        <v>0</v>
      </c>
      <c r="N47">
        <v>1100</v>
      </c>
    </row>
    <row r="48" spans="1:14" x14ac:dyDescent="0.25">
      <c r="A48">
        <v>1.429781</v>
      </c>
      <c r="B48" s="1">
        <f>DATE(2010,5,2) + TIME(10,18,53)</f>
        <v>40300.429780092592</v>
      </c>
      <c r="C48">
        <v>80</v>
      </c>
      <c r="D48">
        <v>50.354038238999998</v>
      </c>
      <c r="E48">
        <v>50</v>
      </c>
      <c r="F48">
        <v>14.997142792</v>
      </c>
      <c r="G48">
        <v>1369.1207274999999</v>
      </c>
      <c r="H48">
        <v>1359.6296387</v>
      </c>
      <c r="I48">
        <v>1296.065918</v>
      </c>
      <c r="J48">
        <v>1277.9799805</v>
      </c>
      <c r="K48">
        <v>1100</v>
      </c>
      <c r="L48">
        <v>0</v>
      </c>
      <c r="M48">
        <v>0</v>
      </c>
      <c r="N48">
        <v>1100</v>
      </c>
    </row>
    <row r="49" spans="1:14" x14ac:dyDescent="0.25">
      <c r="A49">
        <v>1.486815</v>
      </c>
      <c r="B49" s="1">
        <f>DATE(2010,5,2) + TIME(11,41,0)</f>
        <v>40300.486805555556</v>
      </c>
      <c r="C49">
        <v>80</v>
      </c>
      <c r="D49">
        <v>51.325386047000002</v>
      </c>
      <c r="E49">
        <v>50</v>
      </c>
      <c r="F49">
        <v>14.997159004</v>
      </c>
      <c r="G49">
        <v>1368.9779053</v>
      </c>
      <c r="H49">
        <v>1359.5974120999999</v>
      </c>
      <c r="I49">
        <v>1296.0673827999999</v>
      </c>
      <c r="J49">
        <v>1277.9807129000001</v>
      </c>
      <c r="K49">
        <v>1100</v>
      </c>
      <c r="L49">
        <v>0</v>
      </c>
      <c r="M49">
        <v>0</v>
      </c>
      <c r="N49">
        <v>1100</v>
      </c>
    </row>
    <row r="50" spans="1:14" x14ac:dyDescent="0.25">
      <c r="A50">
        <v>1.545531</v>
      </c>
      <c r="B50" s="1">
        <f>DATE(2010,5,2) + TIME(13,5,33)</f>
        <v>40300.545520833337</v>
      </c>
      <c r="C50">
        <v>80</v>
      </c>
      <c r="D50">
        <v>52.295959473000003</v>
      </c>
      <c r="E50">
        <v>50</v>
      </c>
      <c r="F50">
        <v>14.997176169999999</v>
      </c>
      <c r="G50">
        <v>1368.8402100000001</v>
      </c>
      <c r="H50">
        <v>1359.5666504000001</v>
      </c>
      <c r="I50">
        <v>1296.0688477000001</v>
      </c>
      <c r="J50">
        <v>1277.9814452999999</v>
      </c>
      <c r="K50">
        <v>1100</v>
      </c>
      <c r="L50">
        <v>0</v>
      </c>
      <c r="M50">
        <v>0</v>
      </c>
      <c r="N50">
        <v>1100</v>
      </c>
    </row>
    <row r="51" spans="1:14" x14ac:dyDescent="0.25">
      <c r="A51">
        <v>1.6060270000000001</v>
      </c>
      <c r="B51" s="1">
        <f>DATE(2010,5,2) + TIME(14,32,40)</f>
        <v>40300.60601851852</v>
      </c>
      <c r="C51">
        <v>80</v>
      </c>
      <c r="D51">
        <v>53.265407562</v>
      </c>
      <c r="E51">
        <v>50</v>
      </c>
      <c r="F51">
        <v>14.997192383</v>
      </c>
      <c r="G51">
        <v>1368.7075195</v>
      </c>
      <c r="H51">
        <v>1359.5371094</v>
      </c>
      <c r="I51">
        <v>1296.0703125</v>
      </c>
      <c r="J51">
        <v>1277.9821777</v>
      </c>
      <c r="K51">
        <v>1100</v>
      </c>
      <c r="L51">
        <v>0</v>
      </c>
      <c r="M51">
        <v>0</v>
      </c>
      <c r="N51">
        <v>1100</v>
      </c>
    </row>
    <row r="52" spans="1:14" x14ac:dyDescent="0.25">
      <c r="A52">
        <v>1.6684300000000001</v>
      </c>
      <c r="B52" s="1">
        <f>DATE(2010,5,2) + TIME(16,2,32)</f>
        <v>40300.668425925927</v>
      </c>
      <c r="C52">
        <v>80</v>
      </c>
      <c r="D52">
        <v>54.233646393000001</v>
      </c>
      <c r="E52">
        <v>50</v>
      </c>
      <c r="F52">
        <v>14.997209549000001</v>
      </c>
      <c r="G52">
        <v>1368.5794678</v>
      </c>
      <c r="H52">
        <v>1359.5089111</v>
      </c>
      <c r="I52">
        <v>1296.0717772999999</v>
      </c>
      <c r="J52">
        <v>1277.9829102000001</v>
      </c>
      <c r="K52">
        <v>1100</v>
      </c>
      <c r="L52">
        <v>0</v>
      </c>
      <c r="M52">
        <v>0</v>
      </c>
      <c r="N52">
        <v>1100</v>
      </c>
    </row>
    <row r="53" spans="1:14" x14ac:dyDescent="0.25">
      <c r="A53">
        <v>1.73288</v>
      </c>
      <c r="B53" s="1">
        <f>DATE(2010,5,2) + TIME(17,35,20)</f>
        <v>40300.732870370368</v>
      </c>
      <c r="C53">
        <v>80</v>
      </c>
      <c r="D53">
        <v>55.200588226000001</v>
      </c>
      <c r="E53">
        <v>50</v>
      </c>
      <c r="F53">
        <v>14.997226715</v>
      </c>
      <c r="G53">
        <v>1368.4558105000001</v>
      </c>
      <c r="H53">
        <v>1359.4815673999999</v>
      </c>
      <c r="I53">
        <v>1296.0732422000001</v>
      </c>
      <c r="J53">
        <v>1277.9836425999999</v>
      </c>
      <c r="K53">
        <v>1100</v>
      </c>
      <c r="L53">
        <v>0</v>
      </c>
      <c r="M53">
        <v>0</v>
      </c>
      <c r="N53">
        <v>1100</v>
      </c>
    </row>
    <row r="54" spans="1:14" x14ac:dyDescent="0.25">
      <c r="A54">
        <v>1.799533</v>
      </c>
      <c r="B54" s="1">
        <f>DATE(2010,5,2) + TIME(19,11,19)</f>
        <v>40300.799525462964</v>
      </c>
      <c r="C54">
        <v>80</v>
      </c>
      <c r="D54">
        <v>56.166130066000001</v>
      </c>
      <c r="E54">
        <v>50</v>
      </c>
      <c r="F54">
        <v>14.997243880999999</v>
      </c>
      <c r="G54">
        <v>1368.3361815999999</v>
      </c>
      <c r="H54">
        <v>1359.4552002</v>
      </c>
      <c r="I54">
        <v>1296.0748291</v>
      </c>
      <c r="J54">
        <v>1277.984375</v>
      </c>
      <c r="K54">
        <v>1100</v>
      </c>
      <c r="L54">
        <v>0</v>
      </c>
      <c r="M54">
        <v>0</v>
      </c>
      <c r="N54">
        <v>1100</v>
      </c>
    </row>
    <row r="55" spans="1:14" x14ac:dyDescent="0.25">
      <c r="A55">
        <v>1.868565</v>
      </c>
      <c r="B55" s="1">
        <f>DATE(2010,5,2) + TIME(20,50,44)</f>
        <v>40300.868564814817</v>
      </c>
      <c r="C55">
        <v>80</v>
      </c>
      <c r="D55">
        <v>57.130161285</v>
      </c>
      <c r="E55">
        <v>50</v>
      </c>
      <c r="F55">
        <v>14.997261047</v>
      </c>
      <c r="G55">
        <v>1368.2205810999999</v>
      </c>
      <c r="H55">
        <v>1359.4294434000001</v>
      </c>
      <c r="I55">
        <v>1296.0762939000001</v>
      </c>
      <c r="J55">
        <v>1277.9851074000001</v>
      </c>
      <c r="K55">
        <v>1100</v>
      </c>
      <c r="L55">
        <v>0</v>
      </c>
      <c r="M55">
        <v>0</v>
      </c>
      <c r="N55">
        <v>1100</v>
      </c>
    </row>
    <row r="56" spans="1:14" x14ac:dyDescent="0.25">
      <c r="A56">
        <v>1.9401729999999999</v>
      </c>
      <c r="B56" s="1">
        <f>DATE(2010,5,2) + TIME(22,33,50)</f>
        <v>40300.940162037034</v>
      </c>
      <c r="C56">
        <v>80</v>
      </c>
      <c r="D56">
        <v>58.092559813999998</v>
      </c>
      <c r="E56">
        <v>50</v>
      </c>
      <c r="F56">
        <v>14.997278214</v>
      </c>
      <c r="G56">
        <v>1368.1085204999999</v>
      </c>
      <c r="H56">
        <v>1359.4042969</v>
      </c>
      <c r="I56">
        <v>1296.0778809000001</v>
      </c>
      <c r="J56">
        <v>1277.9859618999999</v>
      </c>
      <c r="K56">
        <v>1100</v>
      </c>
      <c r="L56">
        <v>0</v>
      </c>
      <c r="M56">
        <v>0</v>
      </c>
      <c r="N56">
        <v>1100</v>
      </c>
    </row>
    <row r="57" spans="1:14" x14ac:dyDescent="0.25">
      <c r="A57">
        <v>2.0145789999999999</v>
      </c>
      <c r="B57" s="1">
        <f>DATE(2010,5,3) + TIME(0,20,59)</f>
        <v>40301.01457175926</v>
      </c>
      <c r="C57">
        <v>80</v>
      </c>
      <c r="D57">
        <v>59.053180695000002</v>
      </c>
      <c r="E57">
        <v>50</v>
      </c>
      <c r="F57">
        <v>14.997296333</v>
      </c>
      <c r="G57">
        <v>1367.9997559000001</v>
      </c>
      <c r="H57">
        <v>1359.3795166</v>
      </c>
      <c r="I57">
        <v>1296.0794678</v>
      </c>
      <c r="J57">
        <v>1277.9866943</v>
      </c>
      <c r="K57">
        <v>1100</v>
      </c>
      <c r="L57">
        <v>0</v>
      </c>
      <c r="M57">
        <v>0</v>
      </c>
      <c r="N57">
        <v>1100</v>
      </c>
    </row>
    <row r="58" spans="1:14" x14ac:dyDescent="0.25">
      <c r="A58">
        <v>2.0920339999999999</v>
      </c>
      <c r="B58" s="1">
        <f>DATE(2010,5,3) + TIME(2,12,31)</f>
        <v>40301.09202546296</v>
      </c>
      <c r="C58">
        <v>80</v>
      </c>
      <c r="D58">
        <v>60.011856078999998</v>
      </c>
      <c r="E58">
        <v>50</v>
      </c>
      <c r="F58">
        <v>14.997314453</v>
      </c>
      <c r="G58">
        <v>1367.8941649999999</v>
      </c>
      <c r="H58">
        <v>1359.3549805</v>
      </c>
      <c r="I58">
        <v>1296.0810547000001</v>
      </c>
      <c r="J58">
        <v>1277.9874268000001</v>
      </c>
      <c r="K58">
        <v>1100</v>
      </c>
      <c r="L58">
        <v>0</v>
      </c>
      <c r="M58">
        <v>0</v>
      </c>
      <c r="N58">
        <v>1100</v>
      </c>
    </row>
    <row r="59" spans="1:14" x14ac:dyDescent="0.25">
      <c r="A59">
        <v>2.1728290000000001</v>
      </c>
      <c r="B59" s="1">
        <f>DATE(2010,5,3) + TIME(4,8,52)</f>
        <v>40301.172824074078</v>
      </c>
      <c r="C59">
        <v>80</v>
      </c>
      <c r="D59">
        <v>60.967739105</v>
      </c>
      <c r="E59">
        <v>50</v>
      </c>
      <c r="F59">
        <v>14.997332573</v>
      </c>
      <c r="G59">
        <v>1367.7913818</v>
      </c>
      <c r="H59">
        <v>1359.3303223</v>
      </c>
      <c r="I59">
        <v>1296.0827637</v>
      </c>
      <c r="J59">
        <v>1277.9882812000001</v>
      </c>
      <c r="K59">
        <v>1100</v>
      </c>
      <c r="L59">
        <v>0</v>
      </c>
      <c r="M59">
        <v>0</v>
      </c>
      <c r="N59">
        <v>1100</v>
      </c>
    </row>
    <row r="60" spans="1:14" x14ac:dyDescent="0.25">
      <c r="A60">
        <v>2.257352</v>
      </c>
      <c r="B60" s="1">
        <f>DATE(2010,5,3) + TIME(6,10,35)</f>
        <v>40301.257349537038</v>
      </c>
      <c r="C60">
        <v>80</v>
      </c>
      <c r="D60">
        <v>61.921920776</v>
      </c>
      <c r="E60">
        <v>50</v>
      </c>
      <c r="F60">
        <v>14.997350693</v>
      </c>
      <c r="G60">
        <v>1367.6910399999999</v>
      </c>
      <c r="H60">
        <v>1359.3055420000001</v>
      </c>
      <c r="I60">
        <v>1296.0844727000001</v>
      </c>
      <c r="J60">
        <v>1277.9891356999999</v>
      </c>
      <c r="K60">
        <v>1100</v>
      </c>
      <c r="L60">
        <v>0</v>
      </c>
      <c r="M60">
        <v>0</v>
      </c>
      <c r="N60">
        <v>1100</v>
      </c>
    </row>
    <row r="61" spans="1:14" x14ac:dyDescent="0.25">
      <c r="A61">
        <v>2.3459340000000002</v>
      </c>
      <c r="B61" s="1">
        <f>DATE(2010,5,3) + TIME(8,18,8)</f>
        <v>40301.345925925925</v>
      </c>
      <c r="C61">
        <v>80</v>
      </c>
      <c r="D61">
        <v>62.873546599999997</v>
      </c>
      <c r="E61">
        <v>50</v>
      </c>
      <c r="F61">
        <v>14.997369766</v>
      </c>
      <c r="G61">
        <v>1367.5930175999999</v>
      </c>
      <c r="H61">
        <v>1359.2803954999999</v>
      </c>
      <c r="I61">
        <v>1296.0863036999999</v>
      </c>
      <c r="J61">
        <v>1277.9899902</v>
      </c>
      <c r="K61">
        <v>1100</v>
      </c>
      <c r="L61">
        <v>0</v>
      </c>
      <c r="M61">
        <v>0</v>
      </c>
      <c r="N61">
        <v>1100</v>
      </c>
    </row>
    <row r="62" spans="1:14" x14ac:dyDescent="0.25">
      <c r="A62">
        <v>2.439019</v>
      </c>
      <c r="B62" s="1">
        <f>DATE(2010,5,3) + TIME(10,32,11)</f>
        <v>40301.439016203702</v>
      </c>
      <c r="C62">
        <v>80</v>
      </c>
      <c r="D62">
        <v>63.822345734000002</v>
      </c>
      <c r="E62">
        <v>50</v>
      </c>
      <c r="F62">
        <v>14.997388839999999</v>
      </c>
      <c r="G62">
        <v>1367.4969481999999</v>
      </c>
      <c r="H62">
        <v>1359.2545166</v>
      </c>
      <c r="I62">
        <v>1296.0881348</v>
      </c>
      <c r="J62">
        <v>1277.9909668</v>
      </c>
      <c r="K62">
        <v>1100</v>
      </c>
      <c r="L62">
        <v>0</v>
      </c>
      <c r="M62">
        <v>0</v>
      </c>
      <c r="N62">
        <v>1100</v>
      </c>
    </row>
    <row r="63" spans="1:14" x14ac:dyDescent="0.25">
      <c r="A63">
        <v>2.5371269999999999</v>
      </c>
      <c r="B63" s="1">
        <f>DATE(2010,5,3) + TIME(12,53,27)</f>
        <v>40301.537118055552</v>
      </c>
      <c r="C63">
        <v>80</v>
      </c>
      <c r="D63">
        <v>64.767997742000006</v>
      </c>
      <c r="E63">
        <v>50</v>
      </c>
      <c r="F63">
        <v>14.997407913</v>
      </c>
      <c r="G63">
        <v>1367.4025879000001</v>
      </c>
      <c r="H63">
        <v>1359.2277832</v>
      </c>
      <c r="I63">
        <v>1296.0900879000001</v>
      </c>
      <c r="J63">
        <v>1277.9919434000001</v>
      </c>
      <c r="K63">
        <v>1100</v>
      </c>
      <c r="L63">
        <v>0</v>
      </c>
      <c r="M63">
        <v>0</v>
      </c>
      <c r="N63">
        <v>1100</v>
      </c>
    </row>
    <row r="64" spans="1:14" x14ac:dyDescent="0.25">
      <c r="A64">
        <v>2.6408740000000002</v>
      </c>
      <c r="B64" s="1">
        <f>DATE(2010,5,3) + TIME(15,22,51)</f>
        <v>40301.640868055554</v>
      </c>
      <c r="C64">
        <v>80</v>
      </c>
      <c r="D64">
        <v>65.710327148000005</v>
      </c>
      <c r="E64">
        <v>50</v>
      </c>
      <c r="F64">
        <v>14.99742794</v>
      </c>
      <c r="G64">
        <v>1367.3095702999999</v>
      </c>
      <c r="H64">
        <v>1359.1999512</v>
      </c>
      <c r="I64">
        <v>1296.0920410000001</v>
      </c>
      <c r="J64">
        <v>1277.9930420000001</v>
      </c>
      <c r="K64">
        <v>1100</v>
      </c>
      <c r="L64">
        <v>0</v>
      </c>
      <c r="M64">
        <v>0</v>
      </c>
      <c r="N64">
        <v>1100</v>
      </c>
    </row>
    <row r="65" spans="1:14" x14ac:dyDescent="0.25">
      <c r="A65">
        <v>2.7509700000000001</v>
      </c>
      <c r="B65" s="1">
        <f>DATE(2010,5,3) + TIME(18,1,23)</f>
        <v>40301.750960648147</v>
      </c>
      <c r="C65">
        <v>80</v>
      </c>
      <c r="D65">
        <v>66.648612975999995</v>
      </c>
      <c r="E65">
        <v>50</v>
      </c>
      <c r="F65">
        <v>14.997447967999999</v>
      </c>
      <c r="G65">
        <v>1367.2174072</v>
      </c>
      <c r="H65">
        <v>1359.1705322</v>
      </c>
      <c r="I65">
        <v>1296.0941161999999</v>
      </c>
      <c r="J65">
        <v>1277.9941406</v>
      </c>
      <c r="K65">
        <v>1100</v>
      </c>
      <c r="L65">
        <v>0</v>
      </c>
      <c r="M65">
        <v>0</v>
      </c>
      <c r="N65">
        <v>1100</v>
      </c>
    </row>
    <row r="66" spans="1:14" x14ac:dyDescent="0.25">
      <c r="A66">
        <v>2.8079230000000002</v>
      </c>
      <c r="B66" s="1">
        <f>DATE(2010,5,3) + TIME(19,23,24)</f>
        <v>40301.807916666665</v>
      </c>
      <c r="C66">
        <v>80</v>
      </c>
      <c r="D66">
        <v>67.119262695000003</v>
      </c>
      <c r="E66">
        <v>50</v>
      </c>
      <c r="F66">
        <v>14.997459412</v>
      </c>
      <c r="G66">
        <v>1367.1920166</v>
      </c>
      <c r="H66">
        <v>1359.1540527</v>
      </c>
      <c r="I66">
        <v>1296.0960693</v>
      </c>
      <c r="J66">
        <v>1277.9952393000001</v>
      </c>
      <c r="K66">
        <v>1100</v>
      </c>
      <c r="L66">
        <v>0</v>
      </c>
      <c r="M66">
        <v>0</v>
      </c>
      <c r="N66">
        <v>1100</v>
      </c>
    </row>
    <row r="67" spans="1:14" x14ac:dyDescent="0.25">
      <c r="A67">
        <v>2.8648750000000001</v>
      </c>
      <c r="B67" s="1">
        <f>DATE(2010,5,3) + TIME(20,45,25)</f>
        <v>40301.864872685182</v>
      </c>
      <c r="C67">
        <v>80</v>
      </c>
      <c r="D67">
        <v>67.574188231999997</v>
      </c>
      <c r="E67">
        <v>50</v>
      </c>
      <c r="F67">
        <v>14.997468948</v>
      </c>
      <c r="G67">
        <v>1367.1481934000001</v>
      </c>
      <c r="H67">
        <v>1359.1387939000001</v>
      </c>
      <c r="I67">
        <v>1296.0974120999999</v>
      </c>
      <c r="J67">
        <v>1277.9959716999999</v>
      </c>
      <c r="K67">
        <v>1100</v>
      </c>
      <c r="L67">
        <v>0</v>
      </c>
      <c r="M67">
        <v>0</v>
      </c>
      <c r="N67">
        <v>1100</v>
      </c>
    </row>
    <row r="68" spans="1:14" x14ac:dyDescent="0.25">
      <c r="A68">
        <v>2.9218280000000001</v>
      </c>
      <c r="B68" s="1">
        <f>DATE(2010,5,3) + TIME(22,7,25)</f>
        <v>40301.921817129631</v>
      </c>
      <c r="C68">
        <v>80</v>
      </c>
      <c r="D68">
        <v>68.013862610000004</v>
      </c>
      <c r="E68">
        <v>50</v>
      </c>
      <c r="F68">
        <v>14.997479438999999</v>
      </c>
      <c r="G68">
        <v>1367.1058350000001</v>
      </c>
      <c r="H68">
        <v>1359.1234131000001</v>
      </c>
      <c r="I68">
        <v>1296.0985106999999</v>
      </c>
      <c r="J68">
        <v>1277.996582</v>
      </c>
      <c r="K68">
        <v>1100</v>
      </c>
      <c r="L68">
        <v>0</v>
      </c>
      <c r="M68">
        <v>0</v>
      </c>
      <c r="N68">
        <v>1100</v>
      </c>
    </row>
    <row r="69" spans="1:14" x14ac:dyDescent="0.25">
      <c r="A69">
        <v>2.9787810000000001</v>
      </c>
      <c r="B69" s="1">
        <f>DATE(2010,5,3) + TIME(23,29,26)</f>
        <v>40301.978773148148</v>
      </c>
      <c r="C69">
        <v>80</v>
      </c>
      <c r="D69">
        <v>68.438713074000006</v>
      </c>
      <c r="E69">
        <v>50</v>
      </c>
      <c r="F69">
        <v>14.997488976</v>
      </c>
      <c r="G69">
        <v>1367.0646973</v>
      </c>
      <c r="H69">
        <v>1359.1080322</v>
      </c>
      <c r="I69">
        <v>1296.0996094</v>
      </c>
      <c r="J69">
        <v>1277.9971923999999</v>
      </c>
      <c r="K69">
        <v>1100</v>
      </c>
      <c r="L69">
        <v>0</v>
      </c>
      <c r="M69">
        <v>0</v>
      </c>
      <c r="N69">
        <v>1100</v>
      </c>
    </row>
    <row r="70" spans="1:14" x14ac:dyDescent="0.25">
      <c r="A70">
        <v>3.035733</v>
      </c>
      <c r="B70" s="1">
        <f>DATE(2010,5,4) + TIME(0,51,27)</f>
        <v>40302.035729166666</v>
      </c>
      <c r="C70">
        <v>80</v>
      </c>
      <c r="D70">
        <v>68.849182128999999</v>
      </c>
      <c r="E70">
        <v>50</v>
      </c>
      <c r="F70">
        <v>14.997498512</v>
      </c>
      <c r="G70">
        <v>1367.0247803</v>
      </c>
      <c r="H70">
        <v>1359.0924072</v>
      </c>
      <c r="I70">
        <v>1296.1007079999999</v>
      </c>
      <c r="J70">
        <v>1277.9978027</v>
      </c>
      <c r="K70">
        <v>1100</v>
      </c>
      <c r="L70">
        <v>0</v>
      </c>
      <c r="M70">
        <v>0</v>
      </c>
      <c r="N70">
        <v>1100</v>
      </c>
    </row>
    <row r="71" spans="1:14" x14ac:dyDescent="0.25">
      <c r="A71">
        <v>3.092686</v>
      </c>
      <c r="B71" s="1">
        <f>DATE(2010,5,4) + TIME(2,13,28)</f>
        <v>40302.092685185184</v>
      </c>
      <c r="C71">
        <v>80</v>
      </c>
      <c r="D71">
        <v>69.245681762999993</v>
      </c>
      <c r="E71">
        <v>50</v>
      </c>
      <c r="F71">
        <v>14.997508049</v>
      </c>
      <c r="G71">
        <v>1366.9859618999999</v>
      </c>
      <c r="H71">
        <v>1359.0766602000001</v>
      </c>
      <c r="I71">
        <v>1296.1018065999999</v>
      </c>
      <c r="J71">
        <v>1277.9984131000001</v>
      </c>
      <c r="K71">
        <v>1100</v>
      </c>
      <c r="L71">
        <v>0</v>
      </c>
      <c r="M71">
        <v>0</v>
      </c>
      <c r="N71">
        <v>1100</v>
      </c>
    </row>
    <row r="72" spans="1:14" x14ac:dyDescent="0.25">
      <c r="A72">
        <v>3.1496390000000001</v>
      </c>
      <c r="B72" s="1">
        <f>DATE(2010,5,4) + TIME(3,35,28)</f>
        <v>40302.149629629632</v>
      </c>
      <c r="C72">
        <v>80</v>
      </c>
      <c r="D72">
        <v>69.628631592000005</v>
      </c>
      <c r="E72">
        <v>50</v>
      </c>
      <c r="F72">
        <v>14.997517586000001</v>
      </c>
      <c r="G72">
        <v>1366.9481201000001</v>
      </c>
      <c r="H72">
        <v>1359.0607910000001</v>
      </c>
      <c r="I72">
        <v>1296.1027832</v>
      </c>
      <c r="J72">
        <v>1277.9990233999999</v>
      </c>
      <c r="K72">
        <v>1100</v>
      </c>
      <c r="L72">
        <v>0</v>
      </c>
      <c r="M72">
        <v>0</v>
      </c>
      <c r="N72">
        <v>1100</v>
      </c>
    </row>
    <row r="73" spans="1:14" x14ac:dyDescent="0.25">
      <c r="A73">
        <v>3.2065920000000001</v>
      </c>
      <c r="B73" s="1">
        <f>DATE(2010,5,4) + TIME(4,57,29)</f>
        <v>40302.206585648149</v>
      </c>
      <c r="C73">
        <v>80</v>
      </c>
      <c r="D73">
        <v>69.998435974000003</v>
      </c>
      <c r="E73">
        <v>50</v>
      </c>
      <c r="F73">
        <v>14.997527121999999</v>
      </c>
      <c r="G73">
        <v>1366.9111327999999</v>
      </c>
      <c r="H73">
        <v>1359.0447998</v>
      </c>
      <c r="I73">
        <v>1296.1038818</v>
      </c>
      <c r="J73">
        <v>1277.9996338000001</v>
      </c>
      <c r="K73">
        <v>1100</v>
      </c>
      <c r="L73">
        <v>0</v>
      </c>
      <c r="M73">
        <v>0</v>
      </c>
      <c r="N73">
        <v>1100</v>
      </c>
    </row>
    <row r="74" spans="1:14" x14ac:dyDescent="0.25">
      <c r="A74">
        <v>3.263544</v>
      </c>
      <c r="B74" s="1">
        <f>DATE(2010,5,4) + TIME(6,19,30)</f>
        <v>40302.263541666667</v>
      </c>
      <c r="C74">
        <v>80</v>
      </c>
      <c r="D74">
        <v>70.355232239000003</v>
      </c>
      <c r="E74">
        <v>50</v>
      </c>
      <c r="F74">
        <v>14.997535706000001</v>
      </c>
      <c r="G74">
        <v>1366.8751221</v>
      </c>
      <c r="H74">
        <v>1359.0285644999999</v>
      </c>
      <c r="I74">
        <v>1296.1049805</v>
      </c>
      <c r="J74">
        <v>1278.0002440999999</v>
      </c>
      <c r="K74">
        <v>1100</v>
      </c>
      <c r="L74">
        <v>0</v>
      </c>
      <c r="M74">
        <v>0</v>
      </c>
      <c r="N74">
        <v>1100</v>
      </c>
    </row>
    <row r="75" spans="1:14" x14ac:dyDescent="0.25">
      <c r="A75">
        <v>3.320497</v>
      </c>
      <c r="B75" s="1">
        <f>DATE(2010,5,4) + TIME(7,41,30)</f>
        <v>40302.320486111108</v>
      </c>
      <c r="C75">
        <v>80</v>
      </c>
      <c r="D75">
        <v>70.699668884000005</v>
      </c>
      <c r="E75">
        <v>50</v>
      </c>
      <c r="F75">
        <v>14.997545241999999</v>
      </c>
      <c r="G75">
        <v>1366.8399658000001</v>
      </c>
      <c r="H75">
        <v>1359.012207</v>
      </c>
      <c r="I75">
        <v>1296.105957</v>
      </c>
      <c r="J75">
        <v>1278.0008545000001</v>
      </c>
      <c r="K75">
        <v>1100</v>
      </c>
      <c r="L75">
        <v>0</v>
      </c>
      <c r="M75">
        <v>0</v>
      </c>
      <c r="N75">
        <v>1100</v>
      </c>
    </row>
    <row r="76" spans="1:14" x14ac:dyDescent="0.25">
      <c r="A76">
        <v>3.3774500000000001</v>
      </c>
      <c r="B76" s="1">
        <f>DATE(2010,5,4) + TIME(9,3,31)</f>
        <v>40302.377442129633</v>
      </c>
      <c r="C76">
        <v>80</v>
      </c>
      <c r="D76">
        <v>71.032127380000006</v>
      </c>
      <c r="E76">
        <v>50</v>
      </c>
      <c r="F76">
        <v>14.997553825000001</v>
      </c>
      <c r="G76">
        <v>1366.8055420000001</v>
      </c>
      <c r="H76">
        <v>1358.9957274999999</v>
      </c>
      <c r="I76">
        <v>1296.1070557</v>
      </c>
      <c r="J76">
        <v>1278.0014647999999</v>
      </c>
      <c r="K76">
        <v>1100</v>
      </c>
      <c r="L76">
        <v>0</v>
      </c>
      <c r="M76">
        <v>0</v>
      </c>
      <c r="N76">
        <v>1100</v>
      </c>
    </row>
    <row r="77" spans="1:14" x14ac:dyDescent="0.25">
      <c r="A77">
        <v>3.491355</v>
      </c>
      <c r="B77" s="1">
        <f>DATE(2010,5,4) + TIME(11,47,33)</f>
        <v>40302.491354166668</v>
      </c>
      <c r="C77">
        <v>80</v>
      </c>
      <c r="D77">
        <v>71.650756835999999</v>
      </c>
      <c r="E77">
        <v>50</v>
      </c>
      <c r="F77">
        <v>14.997570037999999</v>
      </c>
      <c r="G77">
        <v>1366.7321777</v>
      </c>
      <c r="H77">
        <v>1358.9711914</v>
      </c>
      <c r="I77">
        <v>1296.1081543</v>
      </c>
      <c r="J77">
        <v>1278.0021973</v>
      </c>
      <c r="K77">
        <v>1100</v>
      </c>
      <c r="L77">
        <v>0</v>
      </c>
      <c r="M77">
        <v>0</v>
      </c>
      <c r="N77">
        <v>1100</v>
      </c>
    </row>
    <row r="78" spans="1:14" x14ac:dyDescent="0.25">
      <c r="A78">
        <v>3.6054360000000001</v>
      </c>
      <c r="B78" s="1">
        <f>DATE(2010,5,4) + TIME(14,31,49)</f>
        <v>40302.605428240742</v>
      </c>
      <c r="C78">
        <v>80</v>
      </c>
      <c r="D78">
        <v>72.228279114000003</v>
      </c>
      <c r="E78">
        <v>50</v>
      </c>
      <c r="F78">
        <v>14.997586249999999</v>
      </c>
      <c r="G78">
        <v>1366.6695557</v>
      </c>
      <c r="H78">
        <v>1358.9371338000001</v>
      </c>
      <c r="I78">
        <v>1296.1102295000001</v>
      </c>
      <c r="J78">
        <v>1278.003418</v>
      </c>
      <c r="K78">
        <v>1100</v>
      </c>
      <c r="L78">
        <v>0</v>
      </c>
      <c r="M78">
        <v>0</v>
      </c>
      <c r="N78">
        <v>1100</v>
      </c>
    </row>
    <row r="79" spans="1:14" x14ac:dyDescent="0.25">
      <c r="A79">
        <v>3.7203870000000001</v>
      </c>
      <c r="B79" s="1">
        <f>DATE(2010,5,4) + TIME(17,17,21)</f>
        <v>40302.720381944448</v>
      </c>
      <c r="C79">
        <v>80</v>
      </c>
      <c r="D79">
        <v>72.770126343000001</v>
      </c>
      <c r="E79">
        <v>50</v>
      </c>
      <c r="F79">
        <v>14.997602463</v>
      </c>
      <c r="G79">
        <v>1366.6082764</v>
      </c>
      <c r="H79">
        <v>1358.9022216999999</v>
      </c>
      <c r="I79">
        <v>1296.1121826000001</v>
      </c>
      <c r="J79">
        <v>1278.0046387</v>
      </c>
      <c r="K79">
        <v>1100</v>
      </c>
      <c r="L79">
        <v>0</v>
      </c>
      <c r="M79">
        <v>0</v>
      </c>
      <c r="N79">
        <v>1100</v>
      </c>
    </row>
    <row r="80" spans="1:14" x14ac:dyDescent="0.25">
      <c r="A80">
        <v>3.8363659999999999</v>
      </c>
      <c r="B80" s="1">
        <f>DATE(2010,5,4) + TIME(20,4,21)</f>
        <v>40302.836354166669</v>
      </c>
      <c r="C80">
        <v>80</v>
      </c>
      <c r="D80">
        <v>73.278625488000003</v>
      </c>
      <c r="E80">
        <v>50</v>
      </c>
      <c r="F80">
        <v>14.997617721999999</v>
      </c>
      <c r="G80">
        <v>1366.5485839999999</v>
      </c>
      <c r="H80">
        <v>1358.8664550999999</v>
      </c>
      <c r="I80">
        <v>1296.1141356999999</v>
      </c>
      <c r="J80">
        <v>1278.0058594</v>
      </c>
      <c r="K80">
        <v>1100</v>
      </c>
      <c r="L80">
        <v>0</v>
      </c>
      <c r="M80">
        <v>0</v>
      </c>
      <c r="N80">
        <v>1100</v>
      </c>
    </row>
    <row r="81" spans="1:14" x14ac:dyDescent="0.25">
      <c r="A81">
        <v>3.9535339999999999</v>
      </c>
      <c r="B81" s="1">
        <f>DATE(2010,5,4) + TIME(22,53,5)</f>
        <v>40302.953530092593</v>
      </c>
      <c r="C81">
        <v>80</v>
      </c>
      <c r="D81">
        <v>73.755897521999998</v>
      </c>
      <c r="E81">
        <v>50</v>
      </c>
      <c r="F81">
        <v>14.997632980000001</v>
      </c>
      <c r="G81">
        <v>1366.4898682</v>
      </c>
      <c r="H81">
        <v>1358.8297118999999</v>
      </c>
      <c r="I81">
        <v>1296.1162108999999</v>
      </c>
      <c r="J81">
        <v>1278.0072021000001</v>
      </c>
      <c r="K81">
        <v>1100</v>
      </c>
      <c r="L81">
        <v>0</v>
      </c>
      <c r="M81">
        <v>0</v>
      </c>
      <c r="N81">
        <v>1100</v>
      </c>
    </row>
    <row r="82" spans="1:14" x14ac:dyDescent="0.25">
      <c r="A82">
        <v>4.0720559999999999</v>
      </c>
      <c r="B82" s="1">
        <f>DATE(2010,5,5) + TIME(1,43,45)</f>
        <v>40303.072048611109</v>
      </c>
      <c r="C82">
        <v>80</v>
      </c>
      <c r="D82">
        <v>74.203865050999994</v>
      </c>
      <c r="E82">
        <v>50</v>
      </c>
      <c r="F82">
        <v>14.997648239</v>
      </c>
      <c r="G82">
        <v>1366.432251</v>
      </c>
      <c r="H82">
        <v>1358.7919922000001</v>
      </c>
      <c r="I82">
        <v>1296.1181641000001</v>
      </c>
      <c r="J82">
        <v>1278.0084228999999</v>
      </c>
      <c r="K82">
        <v>1100</v>
      </c>
      <c r="L82">
        <v>0</v>
      </c>
      <c r="M82">
        <v>0</v>
      </c>
      <c r="N82">
        <v>1100</v>
      </c>
    </row>
    <row r="83" spans="1:14" x14ac:dyDescent="0.25">
      <c r="A83">
        <v>4.1921220000000003</v>
      </c>
      <c r="B83" s="1">
        <f>DATE(2010,5,5) + TIME(4,36,39)</f>
        <v>40303.192118055558</v>
      </c>
      <c r="C83">
        <v>80</v>
      </c>
      <c r="D83">
        <v>74.624382018999995</v>
      </c>
      <c r="E83">
        <v>50</v>
      </c>
      <c r="F83">
        <v>14.997662544000001</v>
      </c>
      <c r="G83">
        <v>1366.3753661999999</v>
      </c>
      <c r="H83">
        <v>1358.7532959</v>
      </c>
      <c r="I83">
        <v>1296.1201172000001</v>
      </c>
      <c r="J83">
        <v>1278.0097656</v>
      </c>
      <c r="K83">
        <v>1100</v>
      </c>
      <c r="L83">
        <v>0</v>
      </c>
      <c r="M83">
        <v>0</v>
      </c>
      <c r="N83">
        <v>1100</v>
      </c>
    </row>
    <row r="84" spans="1:14" x14ac:dyDescent="0.25">
      <c r="A84">
        <v>4.3139139999999996</v>
      </c>
      <c r="B84" s="1">
        <f>DATE(2010,5,5) + TIME(7,32,2)</f>
        <v>40303.31391203704</v>
      </c>
      <c r="C84">
        <v>80</v>
      </c>
      <c r="D84">
        <v>75.019073485999996</v>
      </c>
      <c r="E84">
        <v>50</v>
      </c>
      <c r="F84">
        <v>14.997676848999999</v>
      </c>
      <c r="G84">
        <v>1366.3189697</v>
      </c>
      <c r="H84">
        <v>1358.713501</v>
      </c>
      <c r="I84">
        <v>1296.1220702999999</v>
      </c>
      <c r="J84">
        <v>1278.0111084</v>
      </c>
      <c r="K84">
        <v>1100</v>
      </c>
      <c r="L84">
        <v>0</v>
      </c>
      <c r="M84">
        <v>0</v>
      </c>
      <c r="N84">
        <v>1100</v>
      </c>
    </row>
    <row r="85" spans="1:14" x14ac:dyDescent="0.25">
      <c r="A85">
        <v>4.4376179999999996</v>
      </c>
      <c r="B85" s="1">
        <f>DATE(2010,5,5) + TIME(10,30,10)</f>
        <v>40303.437615740739</v>
      </c>
      <c r="C85">
        <v>80</v>
      </c>
      <c r="D85">
        <v>75.389167786000002</v>
      </c>
      <c r="E85">
        <v>50</v>
      </c>
      <c r="F85">
        <v>14.997691154</v>
      </c>
      <c r="G85">
        <v>1366.2630615</v>
      </c>
      <c r="H85">
        <v>1358.6727295000001</v>
      </c>
      <c r="I85">
        <v>1296.1240233999999</v>
      </c>
      <c r="J85">
        <v>1278.0124512</v>
      </c>
      <c r="K85">
        <v>1100</v>
      </c>
      <c r="L85">
        <v>0</v>
      </c>
      <c r="M85">
        <v>0</v>
      </c>
      <c r="N85">
        <v>1100</v>
      </c>
    </row>
    <row r="86" spans="1:14" x14ac:dyDescent="0.25">
      <c r="A86">
        <v>4.5634269999999999</v>
      </c>
      <c r="B86" s="1">
        <f>DATE(2010,5,5) + TIME(13,31,20)</f>
        <v>40303.563425925924</v>
      </c>
      <c r="C86">
        <v>80</v>
      </c>
      <c r="D86">
        <v>75.736328125</v>
      </c>
      <c r="E86">
        <v>50</v>
      </c>
      <c r="F86">
        <v>14.997704506</v>
      </c>
      <c r="G86">
        <v>1366.2073975000001</v>
      </c>
      <c r="H86">
        <v>1358.6308594</v>
      </c>
      <c r="I86">
        <v>1296.1259766000001</v>
      </c>
      <c r="J86">
        <v>1278.0137939000001</v>
      </c>
      <c r="K86">
        <v>1100</v>
      </c>
      <c r="L86">
        <v>0</v>
      </c>
      <c r="M86">
        <v>0</v>
      </c>
      <c r="N86">
        <v>1100</v>
      </c>
    </row>
    <row r="87" spans="1:14" x14ac:dyDescent="0.25">
      <c r="A87">
        <v>4.6915469999999999</v>
      </c>
      <c r="B87" s="1">
        <f>DATE(2010,5,5) + TIME(16,35,49)</f>
        <v>40303.69153935185</v>
      </c>
      <c r="C87">
        <v>80</v>
      </c>
      <c r="D87">
        <v>76.061813353999995</v>
      </c>
      <c r="E87">
        <v>50</v>
      </c>
      <c r="F87">
        <v>14.997718811</v>
      </c>
      <c r="G87">
        <v>1366.1518555</v>
      </c>
      <c r="H87">
        <v>1358.5877685999999</v>
      </c>
      <c r="I87">
        <v>1296.1279297000001</v>
      </c>
      <c r="J87">
        <v>1278.0151367000001</v>
      </c>
      <c r="K87">
        <v>1100</v>
      </c>
      <c r="L87">
        <v>0</v>
      </c>
      <c r="M87">
        <v>0</v>
      </c>
      <c r="N87">
        <v>1100</v>
      </c>
    </row>
    <row r="88" spans="1:14" x14ac:dyDescent="0.25">
      <c r="A88">
        <v>4.8221930000000004</v>
      </c>
      <c r="B88" s="1">
        <f>DATE(2010,5,5) + TIME(19,43,57)</f>
        <v>40303.822187500002</v>
      </c>
      <c r="C88">
        <v>80</v>
      </c>
      <c r="D88">
        <v>76.366828917999996</v>
      </c>
      <c r="E88">
        <v>50</v>
      </c>
      <c r="F88">
        <v>14.997732162</v>
      </c>
      <c r="G88">
        <v>1366.0963135</v>
      </c>
      <c r="H88">
        <v>1358.5435791</v>
      </c>
      <c r="I88">
        <v>1296.1298827999999</v>
      </c>
      <c r="J88">
        <v>1278.0166016000001</v>
      </c>
      <c r="K88">
        <v>1100</v>
      </c>
      <c r="L88">
        <v>0</v>
      </c>
      <c r="M88">
        <v>0</v>
      </c>
      <c r="N88">
        <v>1100</v>
      </c>
    </row>
    <row r="89" spans="1:14" x14ac:dyDescent="0.25">
      <c r="A89">
        <v>4.9555949999999998</v>
      </c>
      <c r="B89" s="1">
        <f>DATE(2010,5,5) + TIME(22,56,3)</f>
        <v>40303.955590277779</v>
      </c>
      <c r="C89">
        <v>80</v>
      </c>
      <c r="D89">
        <v>76.652458190999994</v>
      </c>
      <c r="E89">
        <v>50</v>
      </c>
      <c r="F89">
        <v>14.997745514</v>
      </c>
      <c r="G89">
        <v>1366.0405272999999</v>
      </c>
      <c r="H89">
        <v>1358.4981689000001</v>
      </c>
      <c r="I89">
        <v>1296.1318358999999</v>
      </c>
      <c r="J89">
        <v>1278.0179443</v>
      </c>
      <c r="K89">
        <v>1100</v>
      </c>
      <c r="L89">
        <v>0</v>
      </c>
      <c r="M89">
        <v>0</v>
      </c>
      <c r="N89">
        <v>1100</v>
      </c>
    </row>
    <row r="90" spans="1:14" x14ac:dyDescent="0.25">
      <c r="A90">
        <v>5.0919999999999996</v>
      </c>
      <c r="B90" s="1">
        <f>DATE(2010,5,6) + TIME(2,12,28)</f>
        <v>40304.091990740744</v>
      </c>
      <c r="C90">
        <v>80</v>
      </c>
      <c r="D90">
        <v>76.919738769999995</v>
      </c>
      <c r="E90">
        <v>50</v>
      </c>
      <c r="F90">
        <v>14.997758865</v>
      </c>
      <c r="G90">
        <v>1365.9846190999999</v>
      </c>
      <c r="H90">
        <v>1358.4515381000001</v>
      </c>
      <c r="I90">
        <v>1296.1337891000001</v>
      </c>
      <c r="J90">
        <v>1278.0194091999999</v>
      </c>
      <c r="K90">
        <v>1100</v>
      </c>
      <c r="L90">
        <v>0</v>
      </c>
      <c r="M90">
        <v>0</v>
      </c>
      <c r="N90">
        <v>1100</v>
      </c>
    </row>
    <row r="91" spans="1:14" x14ac:dyDescent="0.25">
      <c r="A91">
        <v>5.2316839999999996</v>
      </c>
      <c r="B91" s="1">
        <f>DATE(2010,5,6) + TIME(5,33,37)</f>
        <v>40304.231678240743</v>
      </c>
      <c r="C91">
        <v>80</v>
      </c>
      <c r="D91">
        <v>77.169647217000005</v>
      </c>
      <c r="E91">
        <v>50</v>
      </c>
      <c r="F91">
        <v>14.997772217</v>
      </c>
      <c r="G91">
        <v>1365.9282227000001</v>
      </c>
      <c r="H91">
        <v>1358.4036865</v>
      </c>
      <c r="I91">
        <v>1296.1357422000001</v>
      </c>
      <c r="J91">
        <v>1278.020874</v>
      </c>
      <c r="K91">
        <v>1100</v>
      </c>
      <c r="L91">
        <v>0</v>
      </c>
      <c r="M91">
        <v>0</v>
      </c>
      <c r="N91">
        <v>1100</v>
      </c>
    </row>
    <row r="92" spans="1:14" x14ac:dyDescent="0.25">
      <c r="A92">
        <v>5.3749750000000001</v>
      </c>
      <c r="B92" s="1">
        <f>DATE(2010,5,6) + TIME(8,59,57)</f>
        <v>40304.374965277777</v>
      </c>
      <c r="C92">
        <v>80</v>
      </c>
      <c r="D92">
        <v>77.403137207</v>
      </c>
      <c r="E92">
        <v>50</v>
      </c>
      <c r="F92">
        <v>14.997785567999999</v>
      </c>
      <c r="G92">
        <v>1365.8714600000001</v>
      </c>
      <c r="H92">
        <v>1358.3544922000001</v>
      </c>
      <c r="I92">
        <v>1296.1378173999999</v>
      </c>
      <c r="J92">
        <v>1278.0223389</v>
      </c>
      <c r="K92">
        <v>1100</v>
      </c>
      <c r="L92">
        <v>0</v>
      </c>
      <c r="M92">
        <v>0</v>
      </c>
      <c r="N92">
        <v>1100</v>
      </c>
    </row>
    <row r="93" spans="1:14" x14ac:dyDescent="0.25">
      <c r="A93">
        <v>5.5221340000000003</v>
      </c>
      <c r="B93" s="1">
        <f>DATE(2010,5,6) + TIME(12,31,52)</f>
        <v>40304.522129629629</v>
      </c>
      <c r="C93">
        <v>80</v>
      </c>
      <c r="D93">
        <v>77.620964049999998</v>
      </c>
      <c r="E93">
        <v>50</v>
      </c>
      <c r="F93">
        <v>14.997798919999999</v>
      </c>
      <c r="G93">
        <v>1365.8140868999999</v>
      </c>
      <c r="H93">
        <v>1358.3039550999999</v>
      </c>
      <c r="I93">
        <v>1296.1398925999999</v>
      </c>
      <c r="J93">
        <v>1278.0239257999999</v>
      </c>
      <c r="K93">
        <v>1100</v>
      </c>
      <c r="L93">
        <v>0</v>
      </c>
      <c r="M93">
        <v>0</v>
      </c>
      <c r="N93">
        <v>1100</v>
      </c>
    </row>
    <row r="94" spans="1:14" x14ac:dyDescent="0.25">
      <c r="A94">
        <v>5.6735030000000002</v>
      </c>
      <c r="B94" s="1">
        <f>DATE(2010,5,6) + TIME(16,9,50)</f>
        <v>40304.673495370371</v>
      </c>
      <c r="C94">
        <v>80</v>
      </c>
      <c r="D94">
        <v>77.823928832999997</v>
      </c>
      <c r="E94">
        <v>50</v>
      </c>
      <c r="F94">
        <v>14.997812271000001</v>
      </c>
      <c r="G94">
        <v>1365.7561035000001</v>
      </c>
      <c r="H94">
        <v>1358.2520752</v>
      </c>
      <c r="I94">
        <v>1296.1418457</v>
      </c>
      <c r="J94">
        <v>1278.0255127</v>
      </c>
      <c r="K94">
        <v>1100</v>
      </c>
      <c r="L94">
        <v>0</v>
      </c>
      <c r="M94">
        <v>0</v>
      </c>
      <c r="N94">
        <v>1100</v>
      </c>
    </row>
    <row r="95" spans="1:14" x14ac:dyDescent="0.25">
      <c r="A95">
        <v>5.8294560000000004</v>
      </c>
      <c r="B95" s="1">
        <f>DATE(2010,5,6) + TIME(19,54,24)</f>
        <v>40304.829444444447</v>
      </c>
      <c r="C95">
        <v>80</v>
      </c>
      <c r="D95">
        <v>78.012779236</v>
      </c>
      <c r="E95">
        <v>50</v>
      </c>
      <c r="F95">
        <v>14.997825623000001</v>
      </c>
      <c r="G95">
        <v>1365.6972656</v>
      </c>
      <c r="H95">
        <v>1358.1986084</v>
      </c>
      <c r="I95">
        <v>1296.1439209</v>
      </c>
      <c r="J95">
        <v>1278.0270995999999</v>
      </c>
      <c r="K95">
        <v>1100</v>
      </c>
      <c r="L95">
        <v>0</v>
      </c>
      <c r="M95">
        <v>0</v>
      </c>
      <c r="N95">
        <v>1100</v>
      </c>
    </row>
    <row r="96" spans="1:14" x14ac:dyDescent="0.25">
      <c r="A96">
        <v>5.9904070000000003</v>
      </c>
      <c r="B96" s="1">
        <f>DATE(2010,5,6) + TIME(23,46,11)</f>
        <v>40304.990405092591</v>
      </c>
      <c r="C96">
        <v>80</v>
      </c>
      <c r="D96">
        <v>78.188224792</v>
      </c>
      <c r="E96">
        <v>50</v>
      </c>
      <c r="F96">
        <v>14.99783802</v>
      </c>
      <c r="G96">
        <v>1365.6375731999999</v>
      </c>
      <c r="H96">
        <v>1358.1437988</v>
      </c>
      <c r="I96">
        <v>1296.1461182</v>
      </c>
      <c r="J96">
        <v>1278.0286865</v>
      </c>
      <c r="K96">
        <v>1100</v>
      </c>
      <c r="L96">
        <v>0</v>
      </c>
      <c r="M96">
        <v>0</v>
      </c>
      <c r="N96">
        <v>1100</v>
      </c>
    </row>
    <row r="97" spans="1:14" x14ac:dyDescent="0.25">
      <c r="A97">
        <v>6.1568149999999999</v>
      </c>
      <c r="B97" s="1">
        <f>DATE(2010,5,7) + TIME(3,45,48)</f>
        <v>40305.156805555554</v>
      </c>
      <c r="C97">
        <v>80</v>
      </c>
      <c r="D97">
        <v>78.350952148000005</v>
      </c>
      <c r="E97">
        <v>50</v>
      </c>
      <c r="F97">
        <v>14.997851372</v>
      </c>
      <c r="G97">
        <v>1365.5769043</v>
      </c>
      <c r="H97">
        <v>1358.0872803</v>
      </c>
      <c r="I97">
        <v>1296.1481934000001</v>
      </c>
      <c r="J97">
        <v>1278.0303954999999</v>
      </c>
      <c r="K97">
        <v>1100</v>
      </c>
      <c r="L97">
        <v>0</v>
      </c>
      <c r="M97">
        <v>0</v>
      </c>
      <c r="N97">
        <v>1100</v>
      </c>
    </row>
    <row r="98" spans="1:14" x14ac:dyDescent="0.25">
      <c r="A98">
        <v>6.3282150000000001</v>
      </c>
      <c r="B98" s="1">
        <f>DATE(2010,5,7) + TIME(7,52,37)</f>
        <v>40305.328206018516</v>
      </c>
      <c r="C98">
        <v>80</v>
      </c>
      <c r="D98">
        <v>78.500831603999998</v>
      </c>
      <c r="E98">
        <v>50</v>
      </c>
      <c r="F98">
        <v>14.997864722999999</v>
      </c>
      <c r="G98">
        <v>1365.5152588000001</v>
      </c>
      <c r="H98">
        <v>1358.0291748</v>
      </c>
      <c r="I98">
        <v>1296.1503906</v>
      </c>
      <c r="J98">
        <v>1278.0321045000001</v>
      </c>
      <c r="K98">
        <v>1100</v>
      </c>
      <c r="L98">
        <v>0</v>
      </c>
      <c r="M98">
        <v>0</v>
      </c>
      <c r="N98">
        <v>1100</v>
      </c>
    </row>
    <row r="99" spans="1:14" x14ac:dyDescent="0.25">
      <c r="A99">
        <v>6.5050629999999998</v>
      </c>
      <c r="B99" s="1">
        <f>DATE(2010,5,7) + TIME(12,7,17)</f>
        <v>40305.505057870374</v>
      </c>
      <c r="C99">
        <v>80</v>
      </c>
      <c r="D99">
        <v>78.638648986999996</v>
      </c>
      <c r="E99">
        <v>50</v>
      </c>
      <c r="F99">
        <v>14.997878074999999</v>
      </c>
      <c r="G99">
        <v>1365.4526367000001</v>
      </c>
      <c r="H99">
        <v>1357.9697266000001</v>
      </c>
      <c r="I99">
        <v>1296.1527100000001</v>
      </c>
      <c r="J99">
        <v>1278.0339355000001</v>
      </c>
      <c r="K99">
        <v>1100</v>
      </c>
      <c r="L99">
        <v>0</v>
      </c>
      <c r="M99">
        <v>0</v>
      </c>
      <c r="N99">
        <v>1100</v>
      </c>
    </row>
    <row r="100" spans="1:14" x14ac:dyDescent="0.25">
      <c r="A100">
        <v>6.6877000000000004</v>
      </c>
      <c r="B100" s="1">
        <f>DATE(2010,5,7) + TIME(16,30,17)</f>
        <v>40305.687696759262</v>
      </c>
      <c r="C100">
        <v>80</v>
      </c>
      <c r="D100">
        <v>78.765037536999998</v>
      </c>
      <c r="E100">
        <v>50</v>
      </c>
      <c r="F100">
        <v>14.997891426000001</v>
      </c>
      <c r="G100">
        <v>1365.3891602000001</v>
      </c>
      <c r="H100">
        <v>1357.9088135</v>
      </c>
      <c r="I100">
        <v>1296.1549072</v>
      </c>
      <c r="J100">
        <v>1278.0357666</v>
      </c>
      <c r="K100">
        <v>1100</v>
      </c>
      <c r="L100">
        <v>0</v>
      </c>
      <c r="M100">
        <v>0</v>
      </c>
      <c r="N100">
        <v>1100</v>
      </c>
    </row>
    <row r="101" spans="1:14" x14ac:dyDescent="0.25">
      <c r="A101">
        <v>6.8761890000000001</v>
      </c>
      <c r="B101" s="1">
        <f>DATE(2010,5,7) + TIME(21,1,42)</f>
        <v>40305.876180555555</v>
      </c>
      <c r="C101">
        <v>80</v>
      </c>
      <c r="D101">
        <v>78.880462645999998</v>
      </c>
      <c r="E101">
        <v>50</v>
      </c>
      <c r="F101">
        <v>14.997904778000001</v>
      </c>
      <c r="G101">
        <v>1365.3245850000001</v>
      </c>
      <c r="H101">
        <v>1357.8464355000001</v>
      </c>
      <c r="I101">
        <v>1296.1572266000001</v>
      </c>
      <c r="J101">
        <v>1278.0375977000001</v>
      </c>
      <c r="K101">
        <v>1100</v>
      </c>
      <c r="L101">
        <v>0</v>
      </c>
      <c r="M101">
        <v>0</v>
      </c>
      <c r="N101">
        <v>1100</v>
      </c>
    </row>
    <row r="102" spans="1:14" x14ac:dyDescent="0.25">
      <c r="A102">
        <v>7.0710639999999998</v>
      </c>
      <c r="B102" s="1">
        <f>DATE(2010,5,8) + TIME(1,42,19)</f>
        <v>40306.071053240739</v>
      </c>
      <c r="C102">
        <v>80</v>
      </c>
      <c r="D102">
        <v>78.985664368000002</v>
      </c>
      <c r="E102">
        <v>50</v>
      </c>
      <c r="F102">
        <v>14.997918129</v>
      </c>
      <c r="G102">
        <v>1365.2590332</v>
      </c>
      <c r="H102">
        <v>1357.7825928</v>
      </c>
      <c r="I102">
        <v>1296.159668</v>
      </c>
      <c r="J102">
        <v>1278.0395507999999</v>
      </c>
      <c r="K102">
        <v>1100</v>
      </c>
      <c r="L102">
        <v>0</v>
      </c>
      <c r="M102">
        <v>0</v>
      </c>
      <c r="N102">
        <v>1100</v>
      </c>
    </row>
    <row r="103" spans="1:14" x14ac:dyDescent="0.25">
      <c r="A103">
        <v>7.2729039999999996</v>
      </c>
      <c r="B103" s="1">
        <f>DATE(2010,5,8) + TIME(6,32,58)</f>
        <v>40306.272893518515</v>
      </c>
      <c r="C103">
        <v>80</v>
      </c>
      <c r="D103">
        <v>79.081321716000005</v>
      </c>
      <c r="E103">
        <v>50</v>
      </c>
      <c r="F103">
        <v>14.99793148</v>
      </c>
      <c r="G103">
        <v>1365.1923827999999</v>
      </c>
      <c r="H103">
        <v>1357.7174072</v>
      </c>
      <c r="I103">
        <v>1296.1621094</v>
      </c>
      <c r="J103">
        <v>1278.0415039</v>
      </c>
      <c r="K103">
        <v>1100</v>
      </c>
      <c r="L103">
        <v>0</v>
      </c>
      <c r="M103">
        <v>0</v>
      </c>
      <c r="N103">
        <v>1100</v>
      </c>
    </row>
    <row r="104" spans="1:14" x14ac:dyDescent="0.25">
      <c r="A104">
        <v>7.482361</v>
      </c>
      <c r="B104" s="1">
        <f>DATE(2010,5,8) + TIME(11,34,35)</f>
        <v>40306.482349537036</v>
      </c>
      <c r="C104">
        <v>80</v>
      </c>
      <c r="D104">
        <v>79.168106078999998</v>
      </c>
      <c r="E104">
        <v>50</v>
      </c>
      <c r="F104">
        <v>14.997944832</v>
      </c>
      <c r="G104">
        <v>1365.1245117000001</v>
      </c>
      <c r="H104">
        <v>1357.6506348</v>
      </c>
      <c r="I104">
        <v>1296.1645507999999</v>
      </c>
      <c r="J104">
        <v>1278.0435791</v>
      </c>
      <c r="K104">
        <v>1100</v>
      </c>
      <c r="L104">
        <v>0</v>
      </c>
      <c r="M104">
        <v>0</v>
      </c>
      <c r="N104">
        <v>1100</v>
      </c>
    </row>
    <row r="105" spans="1:14" x14ac:dyDescent="0.25">
      <c r="A105">
        <v>7.7001689999999998</v>
      </c>
      <c r="B105" s="1">
        <f>DATE(2010,5,8) + TIME(16,48,14)</f>
        <v>40306.700162037036</v>
      </c>
      <c r="C105">
        <v>80</v>
      </c>
      <c r="D105">
        <v>79.246620178000001</v>
      </c>
      <c r="E105">
        <v>50</v>
      </c>
      <c r="F105">
        <v>14.997958183</v>
      </c>
      <c r="G105">
        <v>1365.0552978999999</v>
      </c>
      <c r="H105">
        <v>1357.5822754000001</v>
      </c>
      <c r="I105">
        <v>1296.1671143000001</v>
      </c>
      <c r="J105">
        <v>1278.0457764</v>
      </c>
      <c r="K105">
        <v>1100</v>
      </c>
      <c r="L105">
        <v>0</v>
      </c>
      <c r="M105">
        <v>0</v>
      </c>
      <c r="N105">
        <v>1100</v>
      </c>
    </row>
    <row r="106" spans="1:14" x14ac:dyDescent="0.25">
      <c r="A106">
        <v>7.811782</v>
      </c>
      <c r="B106" s="1">
        <f>DATE(2010,5,8) + TIME(19,28,57)</f>
        <v>40306.81177083333</v>
      </c>
      <c r="C106">
        <v>80</v>
      </c>
      <c r="D106">
        <v>79.284019470000004</v>
      </c>
      <c r="E106">
        <v>50</v>
      </c>
      <c r="F106">
        <v>14.997965813</v>
      </c>
      <c r="G106">
        <v>1364.989624</v>
      </c>
      <c r="H106">
        <v>1357.5124512</v>
      </c>
      <c r="I106">
        <v>1296.1694336</v>
      </c>
      <c r="J106">
        <v>1278.0476074000001</v>
      </c>
      <c r="K106">
        <v>1100</v>
      </c>
      <c r="L106">
        <v>0</v>
      </c>
      <c r="M106">
        <v>0</v>
      </c>
      <c r="N106">
        <v>1100</v>
      </c>
    </row>
    <row r="107" spans="1:14" x14ac:dyDescent="0.25">
      <c r="A107">
        <v>7.923394</v>
      </c>
      <c r="B107" s="1">
        <f>DATE(2010,5,8) + TIME(22,9,41)</f>
        <v>40306.923391203702</v>
      </c>
      <c r="C107">
        <v>80</v>
      </c>
      <c r="D107">
        <v>79.318771362000007</v>
      </c>
      <c r="E107">
        <v>50</v>
      </c>
      <c r="F107">
        <v>14.997972488</v>
      </c>
      <c r="G107">
        <v>1364.9534911999999</v>
      </c>
      <c r="H107">
        <v>1357.4768065999999</v>
      </c>
      <c r="I107">
        <v>1296.1707764</v>
      </c>
      <c r="J107">
        <v>1278.0487060999999</v>
      </c>
      <c r="K107">
        <v>1100</v>
      </c>
      <c r="L107">
        <v>0</v>
      </c>
      <c r="M107">
        <v>0</v>
      </c>
      <c r="N107">
        <v>1100</v>
      </c>
    </row>
    <row r="108" spans="1:14" x14ac:dyDescent="0.25">
      <c r="A108">
        <v>8.0350070000000002</v>
      </c>
      <c r="B108" s="1">
        <f>DATE(2010,5,9) + TIME(0,50,24)</f>
        <v>40307.035000000003</v>
      </c>
      <c r="C108">
        <v>80</v>
      </c>
      <c r="D108">
        <v>79.351058960000003</v>
      </c>
      <c r="E108">
        <v>50</v>
      </c>
      <c r="F108">
        <v>14.997979164</v>
      </c>
      <c r="G108">
        <v>1364.9180908000001</v>
      </c>
      <c r="H108">
        <v>1357.4416504000001</v>
      </c>
      <c r="I108">
        <v>1296.1721190999999</v>
      </c>
      <c r="J108">
        <v>1278.0499268000001</v>
      </c>
      <c r="K108">
        <v>1100</v>
      </c>
      <c r="L108">
        <v>0</v>
      </c>
      <c r="M108">
        <v>0</v>
      </c>
      <c r="N108">
        <v>1100</v>
      </c>
    </row>
    <row r="109" spans="1:14" x14ac:dyDescent="0.25">
      <c r="A109">
        <v>8.2582330000000006</v>
      </c>
      <c r="B109" s="1">
        <f>DATE(2010,5,9) + TIME(6,11,51)</f>
        <v>40307.258229166669</v>
      </c>
      <c r="C109">
        <v>80</v>
      </c>
      <c r="D109">
        <v>79.407081603999998</v>
      </c>
      <c r="E109">
        <v>50</v>
      </c>
      <c r="F109">
        <v>14.997992516</v>
      </c>
      <c r="G109">
        <v>1364.8793945</v>
      </c>
      <c r="H109">
        <v>1357.4071045000001</v>
      </c>
      <c r="I109">
        <v>1296.1737060999999</v>
      </c>
      <c r="J109">
        <v>1278.0512695</v>
      </c>
      <c r="K109">
        <v>1100</v>
      </c>
      <c r="L109">
        <v>0</v>
      </c>
      <c r="M109">
        <v>0</v>
      </c>
      <c r="N109">
        <v>1100</v>
      </c>
    </row>
    <row r="110" spans="1:14" x14ac:dyDescent="0.25">
      <c r="A110">
        <v>8.481662</v>
      </c>
      <c r="B110" s="1">
        <f>DATE(2010,5,9) + TIME(11,33,35)</f>
        <v>40307.48165509259</v>
      </c>
      <c r="C110">
        <v>80</v>
      </c>
      <c r="D110">
        <v>79.455787658999995</v>
      </c>
      <c r="E110">
        <v>50</v>
      </c>
      <c r="F110">
        <v>14.998004913000001</v>
      </c>
      <c r="G110">
        <v>1364.8107910000001</v>
      </c>
      <c r="H110">
        <v>1357.3383789</v>
      </c>
      <c r="I110">
        <v>1296.1762695</v>
      </c>
      <c r="J110">
        <v>1278.0534668</v>
      </c>
      <c r="K110">
        <v>1100</v>
      </c>
      <c r="L110">
        <v>0</v>
      </c>
      <c r="M110">
        <v>0</v>
      </c>
      <c r="N110">
        <v>1100</v>
      </c>
    </row>
    <row r="111" spans="1:14" x14ac:dyDescent="0.25">
      <c r="A111">
        <v>8.7058350000000004</v>
      </c>
      <c r="B111" s="1">
        <f>DATE(2010,5,9) + TIME(16,56,24)</f>
        <v>40307.705833333333</v>
      </c>
      <c r="C111">
        <v>80</v>
      </c>
      <c r="D111">
        <v>79.498252868999998</v>
      </c>
      <c r="E111">
        <v>50</v>
      </c>
      <c r="F111">
        <v>14.998017311</v>
      </c>
      <c r="G111">
        <v>1364.7431641000001</v>
      </c>
      <c r="H111">
        <v>1357.2706298999999</v>
      </c>
      <c r="I111">
        <v>1296.1788329999999</v>
      </c>
      <c r="J111">
        <v>1278.0556641000001</v>
      </c>
      <c r="K111">
        <v>1100</v>
      </c>
      <c r="L111">
        <v>0</v>
      </c>
      <c r="M111">
        <v>0</v>
      </c>
      <c r="N111">
        <v>1100</v>
      </c>
    </row>
    <row r="112" spans="1:14" x14ac:dyDescent="0.25">
      <c r="A112">
        <v>8.9311129999999999</v>
      </c>
      <c r="B112" s="1">
        <f>DATE(2010,5,9) + TIME(22,20,48)</f>
        <v>40307.931111111109</v>
      </c>
      <c r="C112">
        <v>80</v>
      </c>
      <c r="D112">
        <v>79.535331725999995</v>
      </c>
      <c r="E112">
        <v>50</v>
      </c>
      <c r="F112">
        <v>14.998029709000001</v>
      </c>
      <c r="G112">
        <v>1364.6765137</v>
      </c>
      <c r="H112">
        <v>1357.2037353999999</v>
      </c>
      <c r="I112">
        <v>1296.1813964999999</v>
      </c>
      <c r="J112">
        <v>1278.0578613</v>
      </c>
      <c r="K112">
        <v>1100</v>
      </c>
      <c r="L112">
        <v>0</v>
      </c>
      <c r="M112">
        <v>0</v>
      </c>
      <c r="N112">
        <v>1100</v>
      </c>
    </row>
    <row r="113" spans="1:14" x14ac:dyDescent="0.25">
      <c r="A113">
        <v>9.157826</v>
      </c>
      <c r="B113" s="1">
        <f>DATE(2010,5,10) + TIME(3,47,16)</f>
        <v>40308.157824074071</v>
      </c>
      <c r="C113">
        <v>80</v>
      </c>
      <c r="D113">
        <v>79.567764281999999</v>
      </c>
      <c r="E113">
        <v>50</v>
      </c>
      <c r="F113">
        <v>14.998041153000001</v>
      </c>
      <c r="G113">
        <v>1364.6108397999999</v>
      </c>
      <c r="H113">
        <v>1357.1378173999999</v>
      </c>
      <c r="I113">
        <v>1296.184082</v>
      </c>
      <c r="J113">
        <v>1278.0600586</v>
      </c>
      <c r="K113">
        <v>1100</v>
      </c>
      <c r="L113">
        <v>0</v>
      </c>
      <c r="M113">
        <v>0</v>
      </c>
      <c r="N113">
        <v>1100</v>
      </c>
    </row>
    <row r="114" spans="1:14" x14ac:dyDescent="0.25">
      <c r="A114">
        <v>9.3862959999999998</v>
      </c>
      <c r="B114" s="1">
        <f>DATE(2010,5,10) + TIME(9,16,15)</f>
        <v>40308.386284722219</v>
      </c>
      <c r="C114">
        <v>80</v>
      </c>
      <c r="D114">
        <v>79.596160889000004</v>
      </c>
      <c r="E114">
        <v>50</v>
      </c>
      <c r="F114">
        <v>14.998053551</v>
      </c>
      <c r="G114">
        <v>1364.5457764</v>
      </c>
      <c r="H114">
        <v>1357.0725098</v>
      </c>
      <c r="I114">
        <v>1296.1866454999999</v>
      </c>
      <c r="J114">
        <v>1278.0623779</v>
      </c>
      <c r="K114">
        <v>1100</v>
      </c>
      <c r="L114">
        <v>0</v>
      </c>
      <c r="M114">
        <v>0</v>
      </c>
      <c r="N114">
        <v>1100</v>
      </c>
    </row>
    <row r="115" spans="1:14" x14ac:dyDescent="0.25">
      <c r="A115">
        <v>9.6168960000000006</v>
      </c>
      <c r="B115" s="1">
        <f>DATE(2010,5,10) + TIME(14,48,19)</f>
        <v>40308.616886574076</v>
      </c>
      <c r="C115">
        <v>80</v>
      </c>
      <c r="D115">
        <v>79.621063231999997</v>
      </c>
      <c r="E115">
        <v>50</v>
      </c>
      <c r="F115">
        <v>14.998064995</v>
      </c>
      <c r="G115">
        <v>1364.4815673999999</v>
      </c>
      <c r="H115">
        <v>1357.0079346</v>
      </c>
      <c r="I115">
        <v>1296.1892089999999</v>
      </c>
      <c r="J115">
        <v>1278.0645752</v>
      </c>
      <c r="K115">
        <v>1100</v>
      </c>
      <c r="L115">
        <v>0</v>
      </c>
      <c r="M115">
        <v>0</v>
      </c>
      <c r="N115">
        <v>1100</v>
      </c>
    </row>
    <row r="116" spans="1:14" x14ac:dyDescent="0.25">
      <c r="A116">
        <v>9.8499660000000002</v>
      </c>
      <c r="B116" s="1">
        <f>DATE(2010,5,10) + TIME(20,23,57)</f>
        <v>40308.849965277775</v>
      </c>
      <c r="C116">
        <v>80</v>
      </c>
      <c r="D116">
        <v>79.642929077000005</v>
      </c>
      <c r="E116">
        <v>50</v>
      </c>
      <c r="F116">
        <v>14.998076439</v>
      </c>
      <c r="G116">
        <v>1364.4178466999999</v>
      </c>
      <c r="H116">
        <v>1356.9439697</v>
      </c>
      <c r="I116">
        <v>1296.1917725000001</v>
      </c>
      <c r="J116">
        <v>1278.0667725000001</v>
      </c>
      <c r="K116">
        <v>1100</v>
      </c>
      <c r="L116">
        <v>0</v>
      </c>
      <c r="M116">
        <v>0</v>
      </c>
      <c r="N116">
        <v>1100</v>
      </c>
    </row>
    <row r="117" spans="1:14" x14ac:dyDescent="0.25">
      <c r="A117">
        <v>10.085853999999999</v>
      </c>
      <c r="B117" s="1">
        <f>DATE(2010,5,11) + TIME(2,3,37)</f>
        <v>40309.085844907408</v>
      </c>
      <c r="C117">
        <v>80</v>
      </c>
      <c r="D117">
        <v>79.662147521999998</v>
      </c>
      <c r="E117">
        <v>50</v>
      </c>
      <c r="F117">
        <v>14.998087883</v>
      </c>
      <c r="G117">
        <v>1364.3546143000001</v>
      </c>
      <c r="H117">
        <v>1356.8806152</v>
      </c>
      <c r="I117">
        <v>1296.1944579999999</v>
      </c>
      <c r="J117">
        <v>1278.0690918</v>
      </c>
      <c r="K117">
        <v>1100</v>
      </c>
      <c r="L117">
        <v>0</v>
      </c>
      <c r="M117">
        <v>0</v>
      </c>
      <c r="N117">
        <v>1100</v>
      </c>
    </row>
    <row r="118" spans="1:14" x14ac:dyDescent="0.25">
      <c r="A118">
        <v>10.324915000000001</v>
      </c>
      <c r="B118" s="1">
        <f>DATE(2010,5,11) + TIME(7,47,52)</f>
        <v>40309.324907407405</v>
      </c>
      <c r="C118">
        <v>80</v>
      </c>
      <c r="D118">
        <v>79.679046631000006</v>
      </c>
      <c r="E118">
        <v>50</v>
      </c>
      <c r="F118">
        <v>14.998099327</v>
      </c>
      <c r="G118">
        <v>1364.2918701000001</v>
      </c>
      <c r="H118">
        <v>1356.8175048999999</v>
      </c>
      <c r="I118">
        <v>1296.1971435999999</v>
      </c>
      <c r="J118">
        <v>1278.0714111</v>
      </c>
      <c r="K118">
        <v>1100</v>
      </c>
      <c r="L118">
        <v>0</v>
      </c>
      <c r="M118">
        <v>0</v>
      </c>
      <c r="N118">
        <v>1100</v>
      </c>
    </row>
    <row r="119" spans="1:14" x14ac:dyDescent="0.25">
      <c r="A119">
        <v>10.567519000000001</v>
      </c>
      <c r="B119" s="1">
        <f>DATE(2010,5,11) + TIME(13,37,13)</f>
        <v>40309.567511574074</v>
      </c>
      <c r="C119">
        <v>80</v>
      </c>
      <c r="D119">
        <v>79.693939209000007</v>
      </c>
      <c r="E119">
        <v>50</v>
      </c>
      <c r="F119">
        <v>14.998110771</v>
      </c>
      <c r="G119">
        <v>1364.2294922000001</v>
      </c>
      <c r="H119">
        <v>1356.7548827999999</v>
      </c>
      <c r="I119">
        <v>1296.1998291</v>
      </c>
      <c r="J119">
        <v>1278.0737305</v>
      </c>
      <c r="K119">
        <v>1100</v>
      </c>
      <c r="L119">
        <v>0</v>
      </c>
      <c r="M119">
        <v>0</v>
      </c>
      <c r="N119">
        <v>1100</v>
      </c>
    </row>
    <row r="120" spans="1:14" x14ac:dyDescent="0.25">
      <c r="A120">
        <v>10.814052</v>
      </c>
      <c r="B120" s="1">
        <f>DATE(2010,5,11) + TIME(19,32,14)</f>
        <v>40309.814050925925</v>
      </c>
      <c r="C120">
        <v>80</v>
      </c>
      <c r="D120">
        <v>79.707061768000003</v>
      </c>
      <c r="E120">
        <v>50</v>
      </c>
      <c r="F120">
        <v>14.998121262</v>
      </c>
      <c r="G120">
        <v>1364.1672363</v>
      </c>
      <c r="H120">
        <v>1356.6925048999999</v>
      </c>
      <c r="I120">
        <v>1296.2025146000001</v>
      </c>
      <c r="J120">
        <v>1278.0761719</v>
      </c>
      <c r="K120">
        <v>1100</v>
      </c>
      <c r="L120">
        <v>0</v>
      </c>
      <c r="M120">
        <v>0</v>
      </c>
      <c r="N120">
        <v>1100</v>
      </c>
    </row>
    <row r="121" spans="1:14" x14ac:dyDescent="0.25">
      <c r="A121">
        <v>11.064920000000001</v>
      </c>
      <c r="B121" s="1">
        <f>DATE(2010,5,12) + TIME(1,33,29)</f>
        <v>40310.064918981479</v>
      </c>
      <c r="C121">
        <v>80</v>
      </c>
      <c r="D121">
        <v>79.718643188000001</v>
      </c>
      <c r="E121">
        <v>50</v>
      </c>
      <c r="F121">
        <v>14.998132706</v>
      </c>
      <c r="G121">
        <v>1364.1052245999999</v>
      </c>
      <c r="H121">
        <v>1356.6303711</v>
      </c>
      <c r="I121">
        <v>1296.2052002</v>
      </c>
      <c r="J121">
        <v>1278.0784911999999</v>
      </c>
      <c r="K121">
        <v>1100</v>
      </c>
      <c r="L121">
        <v>0</v>
      </c>
      <c r="M121">
        <v>0</v>
      </c>
      <c r="N121">
        <v>1100</v>
      </c>
    </row>
    <row r="122" spans="1:14" x14ac:dyDescent="0.25">
      <c r="A122">
        <v>11.320553</v>
      </c>
      <c r="B122" s="1">
        <f>DATE(2010,5,12) + TIME(7,41,35)</f>
        <v>40310.320543981485</v>
      </c>
      <c r="C122">
        <v>80</v>
      </c>
      <c r="D122">
        <v>79.728874207000004</v>
      </c>
      <c r="E122">
        <v>50</v>
      </c>
      <c r="F122">
        <v>14.99814415</v>
      </c>
      <c r="G122">
        <v>1364.0433350000001</v>
      </c>
      <c r="H122">
        <v>1356.5683594</v>
      </c>
      <c r="I122">
        <v>1296.2080077999999</v>
      </c>
      <c r="J122">
        <v>1278.0809326000001</v>
      </c>
      <c r="K122">
        <v>1100</v>
      </c>
      <c r="L122">
        <v>0</v>
      </c>
      <c r="M122">
        <v>0</v>
      </c>
      <c r="N122">
        <v>1100</v>
      </c>
    </row>
    <row r="123" spans="1:14" x14ac:dyDescent="0.25">
      <c r="A123">
        <v>11.581434</v>
      </c>
      <c r="B123" s="1">
        <f>DATE(2010,5,12) + TIME(13,57,15)</f>
        <v>40310.581423611111</v>
      </c>
      <c r="C123">
        <v>80</v>
      </c>
      <c r="D123">
        <v>79.737922667999996</v>
      </c>
      <c r="E123">
        <v>50</v>
      </c>
      <c r="F123">
        <v>14.998155594</v>
      </c>
      <c r="G123">
        <v>1363.9814452999999</v>
      </c>
      <c r="H123">
        <v>1356.5063477000001</v>
      </c>
      <c r="I123">
        <v>1296.2108154</v>
      </c>
      <c r="J123">
        <v>1278.083374</v>
      </c>
      <c r="K123">
        <v>1100</v>
      </c>
      <c r="L123">
        <v>0</v>
      </c>
      <c r="M123">
        <v>0</v>
      </c>
      <c r="N123">
        <v>1100</v>
      </c>
    </row>
    <row r="124" spans="1:14" x14ac:dyDescent="0.25">
      <c r="A124">
        <v>11.848141999999999</v>
      </c>
      <c r="B124" s="1">
        <f>DATE(2010,5,12) + TIME(20,21,19)</f>
        <v>40310.848136574074</v>
      </c>
      <c r="C124">
        <v>80</v>
      </c>
      <c r="D124">
        <v>79.745933532999999</v>
      </c>
      <c r="E124">
        <v>50</v>
      </c>
      <c r="F124">
        <v>14.998166083999999</v>
      </c>
      <c r="G124">
        <v>1363.9194336</v>
      </c>
      <c r="H124">
        <v>1356.4443358999999</v>
      </c>
      <c r="I124">
        <v>1296.2137451000001</v>
      </c>
      <c r="J124">
        <v>1278.0859375</v>
      </c>
      <c r="K124">
        <v>1100</v>
      </c>
      <c r="L124">
        <v>0</v>
      </c>
      <c r="M124">
        <v>0</v>
      </c>
      <c r="N124">
        <v>1100</v>
      </c>
    </row>
    <row r="125" spans="1:14" x14ac:dyDescent="0.25">
      <c r="A125">
        <v>12.120139999999999</v>
      </c>
      <c r="B125" s="1">
        <f>DATE(2010,5,13) + TIME(2,53,0)</f>
        <v>40311.120138888888</v>
      </c>
      <c r="C125">
        <v>80</v>
      </c>
      <c r="D125">
        <v>79.753013611</v>
      </c>
      <c r="E125">
        <v>50</v>
      </c>
      <c r="F125">
        <v>14.998177527999999</v>
      </c>
      <c r="G125">
        <v>1363.8572998</v>
      </c>
      <c r="H125">
        <v>1356.3823242000001</v>
      </c>
      <c r="I125">
        <v>1296.2166748</v>
      </c>
      <c r="J125">
        <v>1278.088501</v>
      </c>
      <c r="K125">
        <v>1100</v>
      </c>
      <c r="L125">
        <v>0</v>
      </c>
      <c r="M125">
        <v>0</v>
      </c>
      <c r="N125">
        <v>1100</v>
      </c>
    </row>
    <row r="126" spans="1:14" x14ac:dyDescent="0.25">
      <c r="A126">
        <v>12.397781999999999</v>
      </c>
      <c r="B126" s="1">
        <f>DATE(2010,5,13) + TIME(9,32,48)</f>
        <v>40311.397777777776</v>
      </c>
      <c r="C126">
        <v>80</v>
      </c>
      <c r="D126">
        <v>79.759284973000007</v>
      </c>
      <c r="E126">
        <v>50</v>
      </c>
      <c r="F126">
        <v>14.998188971999999</v>
      </c>
      <c r="G126">
        <v>1363.7951660000001</v>
      </c>
      <c r="H126">
        <v>1356.3203125</v>
      </c>
      <c r="I126">
        <v>1296.2196045000001</v>
      </c>
      <c r="J126">
        <v>1278.0911865</v>
      </c>
      <c r="K126">
        <v>1100</v>
      </c>
      <c r="L126">
        <v>0</v>
      </c>
      <c r="M126">
        <v>0</v>
      </c>
      <c r="N126">
        <v>1100</v>
      </c>
    </row>
    <row r="127" spans="1:14" x14ac:dyDescent="0.25">
      <c r="A127">
        <v>12.681513000000001</v>
      </c>
      <c r="B127" s="1">
        <f>DATE(2010,5,13) + TIME(16,21,22)</f>
        <v>40311.681504629632</v>
      </c>
      <c r="C127">
        <v>80</v>
      </c>
      <c r="D127">
        <v>79.764839171999995</v>
      </c>
      <c r="E127">
        <v>50</v>
      </c>
      <c r="F127">
        <v>14.998200417</v>
      </c>
      <c r="G127">
        <v>1363.7329102000001</v>
      </c>
      <c r="H127">
        <v>1356.2581786999999</v>
      </c>
      <c r="I127">
        <v>1296.2226562000001</v>
      </c>
      <c r="J127">
        <v>1278.0938721</v>
      </c>
      <c r="K127">
        <v>1100</v>
      </c>
      <c r="L127">
        <v>0</v>
      </c>
      <c r="M127">
        <v>0</v>
      </c>
      <c r="N127">
        <v>1100</v>
      </c>
    </row>
    <row r="128" spans="1:14" x14ac:dyDescent="0.25">
      <c r="A128">
        <v>12.971888</v>
      </c>
      <c r="B128" s="1">
        <f>DATE(2010,5,13) + TIME(23,19,31)</f>
        <v>40311.971886574072</v>
      </c>
      <c r="C128">
        <v>80</v>
      </c>
      <c r="D128">
        <v>79.769767760999997</v>
      </c>
      <c r="E128">
        <v>50</v>
      </c>
      <c r="F128">
        <v>14.998211861</v>
      </c>
      <c r="G128">
        <v>1363.6705322</v>
      </c>
      <c r="H128">
        <v>1356.1961670000001</v>
      </c>
      <c r="I128">
        <v>1296.2258300999999</v>
      </c>
      <c r="J128">
        <v>1278.0965576000001</v>
      </c>
      <c r="K128">
        <v>1100</v>
      </c>
      <c r="L128">
        <v>0</v>
      </c>
      <c r="M128">
        <v>0</v>
      </c>
      <c r="N128">
        <v>1100</v>
      </c>
    </row>
    <row r="129" spans="1:14" x14ac:dyDescent="0.25">
      <c r="A129">
        <v>13.269487</v>
      </c>
      <c r="B129" s="1">
        <f>DATE(2010,5,14) + TIME(6,28,3)</f>
        <v>40312.269479166665</v>
      </c>
      <c r="C129">
        <v>80</v>
      </c>
      <c r="D129">
        <v>79.774154663000004</v>
      </c>
      <c r="E129">
        <v>50</v>
      </c>
      <c r="F129">
        <v>14.998222351000001</v>
      </c>
      <c r="G129">
        <v>1363.6080322</v>
      </c>
      <c r="H129">
        <v>1356.1339111</v>
      </c>
      <c r="I129">
        <v>1296.2290039</v>
      </c>
      <c r="J129">
        <v>1278.0993652</v>
      </c>
      <c r="K129">
        <v>1100</v>
      </c>
      <c r="L129">
        <v>0</v>
      </c>
      <c r="M129">
        <v>0</v>
      </c>
      <c r="N129">
        <v>1100</v>
      </c>
    </row>
    <row r="130" spans="1:14" x14ac:dyDescent="0.25">
      <c r="A130">
        <v>13.574968</v>
      </c>
      <c r="B130" s="1">
        <f>DATE(2010,5,14) + TIME(13,47,57)</f>
        <v>40312.574965277781</v>
      </c>
      <c r="C130">
        <v>80</v>
      </c>
      <c r="D130">
        <v>79.778076171999999</v>
      </c>
      <c r="E130">
        <v>50</v>
      </c>
      <c r="F130">
        <v>14.998233795000001</v>
      </c>
      <c r="G130">
        <v>1363.5451660000001</v>
      </c>
      <c r="H130">
        <v>1356.0714111</v>
      </c>
      <c r="I130">
        <v>1296.2322998</v>
      </c>
      <c r="J130">
        <v>1278.1022949000001</v>
      </c>
      <c r="K130">
        <v>1100</v>
      </c>
      <c r="L130">
        <v>0</v>
      </c>
      <c r="M130">
        <v>0</v>
      </c>
      <c r="N130">
        <v>1100</v>
      </c>
    </row>
    <row r="131" spans="1:14" x14ac:dyDescent="0.25">
      <c r="A131">
        <v>13.889056999999999</v>
      </c>
      <c r="B131" s="1">
        <f>DATE(2010,5,14) + TIME(21,20,14)</f>
        <v>40312.889050925929</v>
      </c>
      <c r="C131">
        <v>80</v>
      </c>
      <c r="D131">
        <v>79.781578064000001</v>
      </c>
      <c r="E131">
        <v>50</v>
      </c>
      <c r="F131">
        <v>14.998245238999999</v>
      </c>
      <c r="G131">
        <v>1363.4819336</v>
      </c>
      <c r="H131">
        <v>1356.0086670000001</v>
      </c>
      <c r="I131">
        <v>1296.2355957</v>
      </c>
      <c r="J131">
        <v>1278.1052245999999</v>
      </c>
      <c r="K131">
        <v>1100</v>
      </c>
      <c r="L131">
        <v>0</v>
      </c>
      <c r="M131">
        <v>0</v>
      </c>
      <c r="N131">
        <v>1100</v>
      </c>
    </row>
    <row r="132" spans="1:14" x14ac:dyDescent="0.25">
      <c r="A132">
        <v>14.212581</v>
      </c>
      <c r="B132" s="1">
        <f>DATE(2010,5,15) + TIME(5,6,6)</f>
        <v>40313.212569444448</v>
      </c>
      <c r="C132">
        <v>80</v>
      </c>
      <c r="D132">
        <v>79.784713745000005</v>
      </c>
      <c r="E132">
        <v>50</v>
      </c>
      <c r="F132">
        <v>14.998257637</v>
      </c>
      <c r="G132">
        <v>1363.4183350000001</v>
      </c>
      <c r="H132">
        <v>1355.9455565999999</v>
      </c>
      <c r="I132">
        <v>1296.2390137</v>
      </c>
      <c r="J132">
        <v>1278.1082764</v>
      </c>
      <c r="K132">
        <v>1100</v>
      </c>
      <c r="L132">
        <v>0</v>
      </c>
      <c r="M132">
        <v>0</v>
      </c>
      <c r="N132">
        <v>1100</v>
      </c>
    </row>
    <row r="133" spans="1:14" x14ac:dyDescent="0.25">
      <c r="A133">
        <v>14.54532</v>
      </c>
      <c r="B133" s="1">
        <f>DATE(2010,5,15) + TIME(13,5,15)</f>
        <v>40313.545312499999</v>
      </c>
      <c r="C133">
        <v>80</v>
      </c>
      <c r="D133">
        <v>79.787528992000006</v>
      </c>
      <c r="E133">
        <v>50</v>
      </c>
      <c r="F133">
        <v>14.998269081</v>
      </c>
      <c r="G133">
        <v>1363.3540039</v>
      </c>
      <c r="H133">
        <v>1355.8819579999999</v>
      </c>
      <c r="I133">
        <v>1296.2425536999999</v>
      </c>
      <c r="J133">
        <v>1278.1114502</v>
      </c>
      <c r="K133">
        <v>1100</v>
      </c>
      <c r="L133">
        <v>0</v>
      </c>
      <c r="M133">
        <v>0</v>
      </c>
      <c r="N133">
        <v>1100</v>
      </c>
    </row>
    <row r="134" spans="1:14" x14ac:dyDescent="0.25">
      <c r="A134">
        <v>14.888071999999999</v>
      </c>
      <c r="B134" s="1">
        <f>DATE(2010,5,15) + TIME(21,18,49)</f>
        <v>40313.888067129628</v>
      </c>
      <c r="C134">
        <v>80</v>
      </c>
      <c r="D134">
        <v>79.790061950999998</v>
      </c>
      <c r="E134">
        <v>50</v>
      </c>
      <c r="F134">
        <v>14.998280525</v>
      </c>
      <c r="G134">
        <v>1363.2893065999999</v>
      </c>
      <c r="H134">
        <v>1355.8179932</v>
      </c>
      <c r="I134">
        <v>1296.2462158000001</v>
      </c>
      <c r="J134">
        <v>1278.114624</v>
      </c>
      <c r="K134">
        <v>1100</v>
      </c>
      <c r="L134">
        <v>0</v>
      </c>
      <c r="M134">
        <v>0</v>
      </c>
      <c r="N134">
        <v>1100</v>
      </c>
    </row>
    <row r="135" spans="1:14" x14ac:dyDescent="0.25">
      <c r="A135">
        <v>15.23274</v>
      </c>
      <c r="B135" s="1">
        <f>DATE(2010,5,16) + TIME(5,35,8)</f>
        <v>40314.232731481483</v>
      </c>
      <c r="C135">
        <v>80</v>
      </c>
      <c r="D135">
        <v>79.792297363000003</v>
      </c>
      <c r="E135">
        <v>50</v>
      </c>
      <c r="F135">
        <v>14.998292922999999</v>
      </c>
      <c r="G135">
        <v>1363.223999</v>
      </c>
      <c r="H135">
        <v>1355.753418</v>
      </c>
      <c r="I135">
        <v>1296.2498779</v>
      </c>
      <c r="J135">
        <v>1278.1179199000001</v>
      </c>
      <c r="K135">
        <v>1100</v>
      </c>
      <c r="L135">
        <v>0</v>
      </c>
      <c r="M135">
        <v>0</v>
      </c>
      <c r="N135">
        <v>1100</v>
      </c>
    </row>
    <row r="136" spans="1:14" x14ac:dyDescent="0.25">
      <c r="A136">
        <v>15.577707999999999</v>
      </c>
      <c r="B136" s="1">
        <f>DATE(2010,5,16) + TIME(13,51,53)</f>
        <v>40314.577696759261</v>
      </c>
      <c r="C136">
        <v>80</v>
      </c>
      <c r="D136">
        <v>79.794265746999997</v>
      </c>
      <c r="E136">
        <v>50</v>
      </c>
      <c r="F136">
        <v>14.998304366999999</v>
      </c>
      <c r="G136">
        <v>1363.1595459</v>
      </c>
      <c r="H136">
        <v>1355.6900635</v>
      </c>
      <c r="I136">
        <v>1296.2536620999999</v>
      </c>
      <c r="J136">
        <v>1278.1212158000001</v>
      </c>
      <c r="K136">
        <v>1100</v>
      </c>
      <c r="L136">
        <v>0</v>
      </c>
      <c r="M136">
        <v>0</v>
      </c>
      <c r="N136">
        <v>1100</v>
      </c>
    </row>
    <row r="137" spans="1:14" x14ac:dyDescent="0.25">
      <c r="A137">
        <v>15.923567</v>
      </c>
      <c r="B137" s="1">
        <f>DATE(2010,5,16) + TIME(22,9,56)</f>
        <v>40314.923564814817</v>
      </c>
      <c r="C137">
        <v>80</v>
      </c>
      <c r="D137">
        <v>79.796012877999999</v>
      </c>
      <c r="E137">
        <v>50</v>
      </c>
      <c r="F137">
        <v>14.998314857</v>
      </c>
      <c r="G137">
        <v>1363.0965576000001</v>
      </c>
      <c r="H137">
        <v>1355.6279297000001</v>
      </c>
      <c r="I137">
        <v>1296.2573242000001</v>
      </c>
      <c r="J137">
        <v>1278.1245117000001</v>
      </c>
      <c r="K137">
        <v>1100</v>
      </c>
      <c r="L137">
        <v>0</v>
      </c>
      <c r="M137">
        <v>0</v>
      </c>
      <c r="N137">
        <v>1100</v>
      </c>
    </row>
    <row r="138" spans="1:14" x14ac:dyDescent="0.25">
      <c r="A138">
        <v>16.270849999999999</v>
      </c>
      <c r="B138" s="1">
        <f>DATE(2010,5,17) + TIME(6,30,1)</f>
        <v>40315.270844907405</v>
      </c>
      <c r="C138">
        <v>80</v>
      </c>
      <c r="D138">
        <v>79.797569275000001</v>
      </c>
      <c r="E138">
        <v>50</v>
      </c>
      <c r="F138">
        <v>14.998326302000001</v>
      </c>
      <c r="G138">
        <v>1363.0345459</v>
      </c>
      <c r="H138">
        <v>1355.5670166</v>
      </c>
      <c r="I138">
        <v>1296.2611084</v>
      </c>
      <c r="J138">
        <v>1278.1278076000001</v>
      </c>
      <c r="K138">
        <v>1100</v>
      </c>
      <c r="L138">
        <v>0</v>
      </c>
      <c r="M138">
        <v>0</v>
      </c>
      <c r="N138">
        <v>1100</v>
      </c>
    </row>
    <row r="139" spans="1:14" x14ac:dyDescent="0.25">
      <c r="A139">
        <v>16.620118000000002</v>
      </c>
      <c r="B139" s="1">
        <f>DATE(2010,5,17) + TIME(14,52,58)</f>
        <v>40315.620115740741</v>
      </c>
      <c r="C139">
        <v>80</v>
      </c>
      <c r="D139">
        <v>79.798965453999998</v>
      </c>
      <c r="E139">
        <v>50</v>
      </c>
      <c r="F139">
        <v>14.998337746000001</v>
      </c>
      <c r="G139">
        <v>1362.9735106999999</v>
      </c>
      <c r="H139">
        <v>1355.5070800999999</v>
      </c>
      <c r="I139">
        <v>1296.2648925999999</v>
      </c>
      <c r="J139">
        <v>1278.1312256000001</v>
      </c>
      <c r="K139">
        <v>1100</v>
      </c>
      <c r="L139">
        <v>0</v>
      </c>
      <c r="M139">
        <v>0</v>
      </c>
      <c r="N139">
        <v>1100</v>
      </c>
    </row>
    <row r="140" spans="1:14" x14ac:dyDescent="0.25">
      <c r="A140">
        <v>16.971959999999999</v>
      </c>
      <c r="B140" s="1">
        <f>DATE(2010,5,17) + TIME(23,19,37)</f>
        <v>40315.971956018519</v>
      </c>
      <c r="C140">
        <v>80</v>
      </c>
      <c r="D140">
        <v>79.800231933999996</v>
      </c>
      <c r="E140">
        <v>50</v>
      </c>
      <c r="F140">
        <v>14.998348236</v>
      </c>
      <c r="G140">
        <v>1362.9133300999999</v>
      </c>
      <c r="H140">
        <v>1355.4481201000001</v>
      </c>
      <c r="I140">
        <v>1296.2686768000001</v>
      </c>
      <c r="J140">
        <v>1278.1345214999999</v>
      </c>
      <c r="K140">
        <v>1100</v>
      </c>
      <c r="L140">
        <v>0</v>
      </c>
      <c r="M140">
        <v>0</v>
      </c>
      <c r="N140">
        <v>1100</v>
      </c>
    </row>
    <row r="141" spans="1:14" x14ac:dyDescent="0.25">
      <c r="A141">
        <v>17.326934000000001</v>
      </c>
      <c r="B141" s="1">
        <f>DATE(2010,5,18) + TIME(7,50,47)</f>
        <v>40316.326932870368</v>
      </c>
      <c r="C141">
        <v>80</v>
      </c>
      <c r="D141">
        <v>79.801368713000002</v>
      </c>
      <c r="E141">
        <v>50</v>
      </c>
      <c r="F141">
        <v>14.99835968</v>
      </c>
      <c r="G141">
        <v>1362.8538818</v>
      </c>
      <c r="H141">
        <v>1355.3898925999999</v>
      </c>
      <c r="I141">
        <v>1296.2724608999999</v>
      </c>
      <c r="J141">
        <v>1278.1379394999999</v>
      </c>
      <c r="K141">
        <v>1100</v>
      </c>
      <c r="L141">
        <v>0</v>
      </c>
      <c r="M141">
        <v>0</v>
      </c>
      <c r="N141">
        <v>1100</v>
      </c>
    </row>
    <row r="142" spans="1:14" x14ac:dyDescent="0.25">
      <c r="A142">
        <v>17.685600000000001</v>
      </c>
      <c r="B142" s="1">
        <f>DATE(2010,5,18) + TIME(16,27,15)</f>
        <v>40316.685590277775</v>
      </c>
      <c r="C142">
        <v>80</v>
      </c>
      <c r="D142">
        <v>79.802406310999999</v>
      </c>
      <c r="E142">
        <v>50</v>
      </c>
      <c r="F142">
        <v>14.998370170999999</v>
      </c>
      <c r="G142">
        <v>1362.7950439000001</v>
      </c>
      <c r="H142">
        <v>1355.3323975000001</v>
      </c>
      <c r="I142">
        <v>1296.2763672000001</v>
      </c>
      <c r="J142">
        <v>1278.1413574000001</v>
      </c>
      <c r="K142">
        <v>1100</v>
      </c>
      <c r="L142">
        <v>0</v>
      </c>
      <c r="M142">
        <v>0</v>
      </c>
      <c r="N142">
        <v>1100</v>
      </c>
    </row>
    <row r="143" spans="1:14" x14ac:dyDescent="0.25">
      <c r="A143">
        <v>18.048532999999999</v>
      </c>
      <c r="B143" s="1">
        <f>DATE(2010,5,19) + TIME(1,9,53)</f>
        <v>40317.048530092594</v>
      </c>
      <c r="C143">
        <v>80</v>
      </c>
      <c r="D143">
        <v>79.803359985</v>
      </c>
      <c r="E143">
        <v>50</v>
      </c>
      <c r="F143">
        <v>14.998380661000001</v>
      </c>
      <c r="G143">
        <v>1362.7368164</v>
      </c>
      <c r="H143">
        <v>1355.2753906</v>
      </c>
      <c r="I143">
        <v>1296.2801514</v>
      </c>
      <c r="J143">
        <v>1278.1447754000001</v>
      </c>
      <c r="K143">
        <v>1100</v>
      </c>
      <c r="L143">
        <v>0</v>
      </c>
      <c r="M143">
        <v>0</v>
      </c>
      <c r="N143">
        <v>1100</v>
      </c>
    </row>
    <row r="144" spans="1:14" x14ac:dyDescent="0.25">
      <c r="A144">
        <v>18.416326999999999</v>
      </c>
      <c r="B144" s="1">
        <f>DATE(2010,5,19) + TIME(9,59,30)</f>
        <v>40317.416319444441</v>
      </c>
      <c r="C144">
        <v>80</v>
      </c>
      <c r="D144">
        <v>79.804229735999996</v>
      </c>
      <c r="E144">
        <v>50</v>
      </c>
      <c r="F144">
        <v>14.998392105000001</v>
      </c>
      <c r="G144">
        <v>1362.6788329999999</v>
      </c>
      <c r="H144">
        <v>1355.2189940999999</v>
      </c>
      <c r="I144">
        <v>1296.2841797000001</v>
      </c>
      <c r="J144">
        <v>1278.1483154</v>
      </c>
      <c r="K144">
        <v>1100</v>
      </c>
      <c r="L144">
        <v>0</v>
      </c>
      <c r="M144">
        <v>0</v>
      </c>
      <c r="N144">
        <v>1100</v>
      </c>
    </row>
    <row r="145" spans="1:14" x14ac:dyDescent="0.25">
      <c r="A145">
        <v>18.789598999999999</v>
      </c>
      <c r="B145" s="1">
        <f>DATE(2010,5,19) + TIME(18,57,1)</f>
        <v>40317.789594907408</v>
      </c>
      <c r="C145">
        <v>80</v>
      </c>
      <c r="D145">
        <v>79.805030822999996</v>
      </c>
      <c r="E145">
        <v>50</v>
      </c>
      <c r="F145">
        <v>14.998402596</v>
      </c>
      <c r="G145">
        <v>1362.6213379000001</v>
      </c>
      <c r="H145">
        <v>1355.1628418</v>
      </c>
      <c r="I145">
        <v>1296.2882079999999</v>
      </c>
      <c r="J145">
        <v>1278.1518555</v>
      </c>
      <c r="K145">
        <v>1100</v>
      </c>
      <c r="L145">
        <v>0</v>
      </c>
      <c r="M145">
        <v>0</v>
      </c>
      <c r="N145">
        <v>1100</v>
      </c>
    </row>
    <row r="146" spans="1:14" x14ac:dyDescent="0.25">
      <c r="A146">
        <v>19.168901999999999</v>
      </c>
      <c r="B146" s="1">
        <f>DATE(2010,5,20) + TIME(4,3,13)</f>
        <v>40318.168900462966</v>
      </c>
      <c r="C146">
        <v>80</v>
      </c>
      <c r="D146">
        <v>79.805770874000004</v>
      </c>
      <c r="E146">
        <v>50</v>
      </c>
      <c r="F146">
        <v>14.998413085999999</v>
      </c>
      <c r="G146">
        <v>1362.5639647999999</v>
      </c>
      <c r="H146">
        <v>1355.1070557</v>
      </c>
      <c r="I146">
        <v>1296.2922363</v>
      </c>
      <c r="J146">
        <v>1278.1555175999999</v>
      </c>
      <c r="K146">
        <v>1100</v>
      </c>
      <c r="L146">
        <v>0</v>
      </c>
      <c r="M146">
        <v>0</v>
      </c>
      <c r="N146">
        <v>1100</v>
      </c>
    </row>
    <row r="147" spans="1:14" x14ac:dyDescent="0.25">
      <c r="A147">
        <v>19.552856999999999</v>
      </c>
      <c r="B147" s="1">
        <f>DATE(2010,5,20) + TIME(13,16,6)</f>
        <v>40318.552847222221</v>
      </c>
      <c r="C147">
        <v>80</v>
      </c>
      <c r="D147">
        <v>79.806449889999996</v>
      </c>
      <c r="E147">
        <v>50</v>
      </c>
      <c r="F147">
        <v>14.998423576</v>
      </c>
      <c r="G147">
        <v>1362.5067139</v>
      </c>
      <c r="H147">
        <v>1355.0515137</v>
      </c>
      <c r="I147">
        <v>1296.2963867000001</v>
      </c>
      <c r="J147">
        <v>1278.1591797000001</v>
      </c>
      <c r="K147">
        <v>1100</v>
      </c>
      <c r="L147">
        <v>0</v>
      </c>
      <c r="M147">
        <v>0</v>
      </c>
      <c r="N147">
        <v>1100</v>
      </c>
    </row>
    <row r="148" spans="1:14" x14ac:dyDescent="0.25">
      <c r="A148">
        <v>19.942072</v>
      </c>
      <c r="B148" s="1">
        <f>DATE(2010,5,20) + TIME(22,36,35)</f>
        <v>40318.942071759258</v>
      </c>
      <c r="C148">
        <v>80</v>
      </c>
      <c r="D148">
        <v>79.807083129999995</v>
      </c>
      <c r="E148">
        <v>50</v>
      </c>
      <c r="F148">
        <v>14.998434067</v>
      </c>
      <c r="G148">
        <v>1362.4498291</v>
      </c>
      <c r="H148">
        <v>1354.9963379000001</v>
      </c>
      <c r="I148">
        <v>1296.3005370999999</v>
      </c>
      <c r="J148">
        <v>1278.1628418</v>
      </c>
      <c r="K148">
        <v>1100</v>
      </c>
      <c r="L148">
        <v>0</v>
      </c>
      <c r="M148">
        <v>0</v>
      </c>
      <c r="N148">
        <v>1100</v>
      </c>
    </row>
    <row r="149" spans="1:14" x14ac:dyDescent="0.25">
      <c r="A149">
        <v>20.337157999999999</v>
      </c>
      <c r="B149" s="1">
        <f>DATE(2010,5,21) + TIME(8,5,30)</f>
        <v>40319.337152777778</v>
      </c>
      <c r="C149">
        <v>80</v>
      </c>
      <c r="D149">
        <v>79.807670592999997</v>
      </c>
      <c r="E149">
        <v>50</v>
      </c>
      <c r="F149">
        <v>14.998444556999999</v>
      </c>
      <c r="G149">
        <v>1362.3933105000001</v>
      </c>
      <c r="H149">
        <v>1354.9415283000001</v>
      </c>
      <c r="I149">
        <v>1296.3048096</v>
      </c>
      <c r="J149">
        <v>1278.166626</v>
      </c>
      <c r="K149">
        <v>1100</v>
      </c>
      <c r="L149">
        <v>0</v>
      </c>
      <c r="M149">
        <v>0</v>
      </c>
      <c r="N149">
        <v>1100</v>
      </c>
    </row>
    <row r="150" spans="1:14" x14ac:dyDescent="0.25">
      <c r="A150">
        <v>20.738795</v>
      </c>
      <c r="B150" s="1">
        <f>DATE(2010,5,21) + TIME(17,43,51)</f>
        <v>40319.73878472222</v>
      </c>
      <c r="C150">
        <v>80</v>
      </c>
      <c r="D150">
        <v>79.808212280000006</v>
      </c>
      <c r="E150">
        <v>50</v>
      </c>
      <c r="F150">
        <v>14.998455048</v>
      </c>
      <c r="G150">
        <v>1362.3369141000001</v>
      </c>
      <c r="H150">
        <v>1354.8870850000001</v>
      </c>
      <c r="I150">
        <v>1296.309082</v>
      </c>
      <c r="J150">
        <v>1278.1704102000001</v>
      </c>
      <c r="K150">
        <v>1100</v>
      </c>
      <c r="L150">
        <v>0</v>
      </c>
      <c r="M150">
        <v>0</v>
      </c>
      <c r="N150">
        <v>1100</v>
      </c>
    </row>
    <row r="151" spans="1:14" x14ac:dyDescent="0.25">
      <c r="A151">
        <v>21.147779</v>
      </c>
      <c r="B151" s="1">
        <f>DATE(2010,5,22) + TIME(3,32,48)</f>
        <v>40320.147777777776</v>
      </c>
      <c r="C151">
        <v>80</v>
      </c>
      <c r="D151">
        <v>79.808715820000003</v>
      </c>
      <c r="E151">
        <v>50</v>
      </c>
      <c r="F151">
        <v>14.998466492</v>
      </c>
      <c r="G151">
        <v>1362.2805175999999</v>
      </c>
      <c r="H151">
        <v>1354.8326416</v>
      </c>
      <c r="I151">
        <v>1296.3134766000001</v>
      </c>
      <c r="J151">
        <v>1278.1743164</v>
      </c>
      <c r="K151">
        <v>1100</v>
      </c>
      <c r="L151">
        <v>0</v>
      </c>
      <c r="M151">
        <v>0</v>
      </c>
      <c r="N151">
        <v>1100</v>
      </c>
    </row>
    <row r="152" spans="1:14" x14ac:dyDescent="0.25">
      <c r="A152">
        <v>21.564710000000002</v>
      </c>
      <c r="B152" s="1">
        <f>DATE(2010,5,22) + TIME(13,33,10)</f>
        <v>40320.564699074072</v>
      </c>
      <c r="C152">
        <v>80</v>
      </c>
      <c r="D152">
        <v>79.809188843000001</v>
      </c>
      <c r="E152">
        <v>50</v>
      </c>
      <c r="F152">
        <v>14.998476982</v>
      </c>
      <c r="G152">
        <v>1362.2242432</v>
      </c>
      <c r="H152">
        <v>1354.7783202999999</v>
      </c>
      <c r="I152">
        <v>1296.3179932</v>
      </c>
      <c r="J152">
        <v>1278.1783447</v>
      </c>
      <c r="K152">
        <v>1100</v>
      </c>
      <c r="L152">
        <v>0</v>
      </c>
      <c r="M152">
        <v>0</v>
      </c>
      <c r="N152">
        <v>1100</v>
      </c>
    </row>
    <row r="153" spans="1:14" x14ac:dyDescent="0.25">
      <c r="A153">
        <v>21.990321999999999</v>
      </c>
      <c r="B153" s="1">
        <f>DATE(2010,5,22) + TIME(23,46,3)</f>
        <v>40320.990312499998</v>
      </c>
      <c r="C153">
        <v>80</v>
      </c>
      <c r="D153">
        <v>79.809631347999996</v>
      </c>
      <c r="E153">
        <v>50</v>
      </c>
      <c r="F153">
        <v>14.998487473000001</v>
      </c>
      <c r="G153">
        <v>1362.1679687999999</v>
      </c>
      <c r="H153">
        <v>1354.7241211</v>
      </c>
      <c r="I153">
        <v>1296.3225098</v>
      </c>
      <c r="J153">
        <v>1278.1823730000001</v>
      </c>
      <c r="K153">
        <v>1100</v>
      </c>
      <c r="L153">
        <v>0</v>
      </c>
      <c r="M153">
        <v>0</v>
      </c>
      <c r="N153">
        <v>1100</v>
      </c>
    </row>
    <row r="154" spans="1:14" x14ac:dyDescent="0.25">
      <c r="A154">
        <v>22.425467999999999</v>
      </c>
      <c r="B154" s="1">
        <f>DATE(2010,5,23) + TIME(10,12,40)</f>
        <v>40321.425462962965</v>
      </c>
      <c r="C154">
        <v>80</v>
      </c>
      <c r="D154">
        <v>79.810050963999998</v>
      </c>
      <c r="E154">
        <v>50</v>
      </c>
      <c r="F154">
        <v>14.998497963</v>
      </c>
      <c r="G154">
        <v>1362.1114502</v>
      </c>
      <c r="H154">
        <v>1354.6697998</v>
      </c>
      <c r="I154">
        <v>1296.3272704999999</v>
      </c>
      <c r="J154">
        <v>1278.1865233999999</v>
      </c>
      <c r="K154">
        <v>1100</v>
      </c>
      <c r="L154">
        <v>0</v>
      </c>
      <c r="M154">
        <v>0</v>
      </c>
      <c r="N154">
        <v>1100</v>
      </c>
    </row>
    <row r="155" spans="1:14" x14ac:dyDescent="0.25">
      <c r="A155">
        <v>22.871103999999999</v>
      </c>
      <c r="B155" s="1">
        <f>DATE(2010,5,23) + TIME(20,54,23)</f>
        <v>40321.871099537035</v>
      </c>
      <c r="C155">
        <v>80</v>
      </c>
      <c r="D155">
        <v>79.810440063000001</v>
      </c>
      <c r="E155">
        <v>50</v>
      </c>
      <c r="F155">
        <v>14.998508452999999</v>
      </c>
      <c r="G155">
        <v>1362.0548096</v>
      </c>
      <c r="H155">
        <v>1354.6152344</v>
      </c>
      <c r="I155">
        <v>1296.3320312000001</v>
      </c>
      <c r="J155">
        <v>1278.1907959</v>
      </c>
      <c r="K155">
        <v>1100</v>
      </c>
      <c r="L155">
        <v>0</v>
      </c>
      <c r="M155">
        <v>0</v>
      </c>
      <c r="N155">
        <v>1100</v>
      </c>
    </row>
    <row r="156" spans="1:14" x14ac:dyDescent="0.25">
      <c r="A156">
        <v>23.327428999999999</v>
      </c>
      <c r="B156" s="1">
        <f>DATE(2010,5,24) + TIME(7,51,29)</f>
        <v>40322.327418981484</v>
      </c>
      <c r="C156">
        <v>80</v>
      </c>
      <c r="D156">
        <v>79.810806274000001</v>
      </c>
      <c r="E156">
        <v>50</v>
      </c>
      <c r="F156">
        <v>14.998519897</v>
      </c>
      <c r="G156">
        <v>1361.9978027</v>
      </c>
      <c r="H156">
        <v>1354.5605469</v>
      </c>
      <c r="I156">
        <v>1296.3369141000001</v>
      </c>
      <c r="J156">
        <v>1278.1951904</v>
      </c>
      <c r="K156">
        <v>1100</v>
      </c>
      <c r="L156">
        <v>0</v>
      </c>
      <c r="M156">
        <v>0</v>
      </c>
      <c r="N156">
        <v>1100</v>
      </c>
    </row>
    <row r="157" spans="1:14" x14ac:dyDescent="0.25">
      <c r="A157">
        <v>23.794329999999999</v>
      </c>
      <c r="B157" s="1">
        <f>DATE(2010,5,24) + TIME(19,3,50)</f>
        <v>40322.794328703705</v>
      </c>
      <c r="C157">
        <v>80</v>
      </c>
      <c r="D157">
        <v>79.811157226999995</v>
      </c>
      <c r="E157">
        <v>50</v>
      </c>
      <c r="F157">
        <v>14.998530388000001</v>
      </c>
      <c r="G157">
        <v>1361.9404297000001</v>
      </c>
      <c r="H157">
        <v>1354.5056152</v>
      </c>
      <c r="I157">
        <v>1296.3420410000001</v>
      </c>
      <c r="J157">
        <v>1278.1995850000001</v>
      </c>
      <c r="K157">
        <v>1100</v>
      </c>
      <c r="L157">
        <v>0</v>
      </c>
      <c r="M157">
        <v>0</v>
      </c>
      <c r="N157">
        <v>1100</v>
      </c>
    </row>
    <row r="158" spans="1:14" x14ac:dyDescent="0.25">
      <c r="A158">
        <v>24.271229000000002</v>
      </c>
      <c r="B158" s="1">
        <f>DATE(2010,5,25) + TIME(6,30,34)</f>
        <v>40323.271226851852</v>
      </c>
      <c r="C158">
        <v>80</v>
      </c>
      <c r="D158">
        <v>79.811485290999997</v>
      </c>
      <c r="E158">
        <v>50</v>
      </c>
      <c r="F158">
        <v>14.998540878</v>
      </c>
      <c r="G158">
        <v>1361.8829346</v>
      </c>
      <c r="H158">
        <v>1354.4505615</v>
      </c>
      <c r="I158">
        <v>1296.347168</v>
      </c>
      <c r="J158">
        <v>1278.2042236</v>
      </c>
      <c r="K158">
        <v>1100</v>
      </c>
      <c r="L158">
        <v>0</v>
      </c>
      <c r="M158">
        <v>0</v>
      </c>
      <c r="N158">
        <v>1100</v>
      </c>
    </row>
    <row r="159" spans="1:14" x14ac:dyDescent="0.25">
      <c r="A159">
        <v>24.749041999999999</v>
      </c>
      <c r="B159" s="1">
        <f>DATE(2010,5,25) + TIME(17,58,37)</f>
        <v>40323.749039351853</v>
      </c>
      <c r="C159">
        <v>80</v>
      </c>
      <c r="D159">
        <v>79.811782836999996</v>
      </c>
      <c r="E159">
        <v>50</v>
      </c>
      <c r="F159">
        <v>14.998552322</v>
      </c>
      <c r="G159">
        <v>1361.8251952999999</v>
      </c>
      <c r="H159">
        <v>1354.3953856999999</v>
      </c>
      <c r="I159">
        <v>1296.3524170000001</v>
      </c>
      <c r="J159">
        <v>1278.2088623</v>
      </c>
      <c r="K159">
        <v>1100</v>
      </c>
      <c r="L159">
        <v>0</v>
      </c>
      <c r="M159">
        <v>0</v>
      </c>
      <c r="N159">
        <v>1100</v>
      </c>
    </row>
    <row r="160" spans="1:14" x14ac:dyDescent="0.25">
      <c r="A160">
        <v>25.228487000000001</v>
      </c>
      <c r="B160" s="1">
        <f>DATE(2010,5,26) + TIME(5,29,1)</f>
        <v>40324.228483796294</v>
      </c>
      <c r="C160">
        <v>80</v>
      </c>
      <c r="D160">
        <v>79.812065125000004</v>
      </c>
      <c r="E160">
        <v>50</v>
      </c>
      <c r="F160">
        <v>14.998562812999999</v>
      </c>
      <c r="G160">
        <v>1361.7683105000001</v>
      </c>
      <c r="H160">
        <v>1354.3411865</v>
      </c>
      <c r="I160">
        <v>1296.3576660000001</v>
      </c>
      <c r="J160">
        <v>1278.2136230000001</v>
      </c>
      <c r="K160">
        <v>1100</v>
      </c>
      <c r="L160">
        <v>0</v>
      </c>
      <c r="M160">
        <v>0</v>
      </c>
      <c r="N160">
        <v>1100</v>
      </c>
    </row>
    <row r="161" spans="1:14" x14ac:dyDescent="0.25">
      <c r="A161">
        <v>25.710473</v>
      </c>
      <c r="B161" s="1">
        <f>DATE(2010,5,26) + TIME(17,3,4)</f>
        <v>40324.710462962961</v>
      </c>
      <c r="C161">
        <v>80</v>
      </c>
      <c r="D161">
        <v>79.812324524000005</v>
      </c>
      <c r="E161">
        <v>50</v>
      </c>
      <c r="F161">
        <v>14.998573303000001</v>
      </c>
      <c r="G161">
        <v>1361.7124022999999</v>
      </c>
      <c r="H161">
        <v>1354.2878418</v>
      </c>
      <c r="I161">
        <v>1296.3630370999999</v>
      </c>
      <c r="J161">
        <v>1278.2182617000001</v>
      </c>
      <c r="K161">
        <v>1100</v>
      </c>
      <c r="L161">
        <v>0</v>
      </c>
      <c r="M161">
        <v>0</v>
      </c>
      <c r="N161">
        <v>1100</v>
      </c>
    </row>
    <row r="162" spans="1:14" x14ac:dyDescent="0.25">
      <c r="A162">
        <v>26.195810000000002</v>
      </c>
      <c r="B162" s="1">
        <f>DATE(2010,5,27) + TIME(4,41,58)</f>
        <v>40325.195810185185</v>
      </c>
      <c r="C162">
        <v>80</v>
      </c>
      <c r="D162">
        <v>79.812576293999996</v>
      </c>
      <c r="E162">
        <v>50</v>
      </c>
      <c r="F162">
        <v>14.998583794</v>
      </c>
      <c r="G162">
        <v>1361.6571045000001</v>
      </c>
      <c r="H162">
        <v>1354.2352295000001</v>
      </c>
      <c r="I162">
        <v>1296.3684082</v>
      </c>
      <c r="J162">
        <v>1278.2230225000001</v>
      </c>
      <c r="K162">
        <v>1100</v>
      </c>
      <c r="L162">
        <v>0</v>
      </c>
      <c r="M162">
        <v>0</v>
      </c>
      <c r="N162">
        <v>1100</v>
      </c>
    </row>
    <row r="163" spans="1:14" x14ac:dyDescent="0.25">
      <c r="A163">
        <v>26.685307999999999</v>
      </c>
      <c r="B163" s="1">
        <f>DATE(2010,5,27) + TIME(16,26,50)</f>
        <v>40325.685300925928</v>
      </c>
      <c r="C163">
        <v>80</v>
      </c>
      <c r="D163">
        <v>79.812805175999998</v>
      </c>
      <c r="E163">
        <v>50</v>
      </c>
      <c r="F163">
        <v>14.998594283999999</v>
      </c>
      <c r="G163">
        <v>1361.6024170000001</v>
      </c>
      <c r="H163">
        <v>1354.1832274999999</v>
      </c>
      <c r="I163">
        <v>1296.3737793</v>
      </c>
      <c r="J163">
        <v>1278.2277832</v>
      </c>
      <c r="K163">
        <v>1100</v>
      </c>
      <c r="L163">
        <v>0</v>
      </c>
      <c r="M163">
        <v>0</v>
      </c>
      <c r="N163">
        <v>1100</v>
      </c>
    </row>
    <row r="164" spans="1:14" x14ac:dyDescent="0.25">
      <c r="A164">
        <v>27.179789</v>
      </c>
      <c r="B164" s="1">
        <f>DATE(2010,5,28) + TIME(4,18,53)</f>
        <v>40326.179780092592</v>
      </c>
      <c r="C164">
        <v>80</v>
      </c>
      <c r="D164">
        <v>79.813026428000001</v>
      </c>
      <c r="E164">
        <v>50</v>
      </c>
      <c r="F164">
        <v>14.998604774</v>
      </c>
      <c r="G164">
        <v>1361.5482178</v>
      </c>
      <c r="H164">
        <v>1354.1317139</v>
      </c>
      <c r="I164">
        <v>1296.3792725000001</v>
      </c>
      <c r="J164">
        <v>1278.2326660000001</v>
      </c>
      <c r="K164">
        <v>1100</v>
      </c>
      <c r="L164">
        <v>0</v>
      </c>
      <c r="M164">
        <v>0</v>
      </c>
      <c r="N164">
        <v>1100</v>
      </c>
    </row>
    <row r="165" spans="1:14" x14ac:dyDescent="0.25">
      <c r="A165">
        <v>27.680098999999998</v>
      </c>
      <c r="B165" s="1">
        <f>DATE(2010,5,28) + TIME(16,19,20)</f>
        <v>40326.680092592593</v>
      </c>
      <c r="C165">
        <v>80</v>
      </c>
      <c r="D165">
        <v>79.813232421999999</v>
      </c>
      <c r="E165">
        <v>50</v>
      </c>
      <c r="F165">
        <v>14.998615265</v>
      </c>
      <c r="G165">
        <v>1361.4943848</v>
      </c>
      <c r="H165">
        <v>1354.0806885</v>
      </c>
      <c r="I165">
        <v>1296.3848877</v>
      </c>
      <c r="J165">
        <v>1278.2375488</v>
      </c>
      <c r="K165">
        <v>1100</v>
      </c>
      <c r="L165">
        <v>0</v>
      </c>
      <c r="M165">
        <v>0</v>
      </c>
      <c r="N165">
        <v>1100</v>
      </c>
    </row>
    <row r="166" spans="1:14" x14ac:dyDescent="0.25">
      <c r="A166">
        <v>28.186260000000001</v>
      </c>
      <c r="B166" s="1">
        <f>DATE(2010,5,29) + TIME(4,28,12)</f>
        <v>40327.186249999999</v>
      </c>
      <c r="C166">
        <v>80</v>
      </c>
      <c r="D166">
        <v>79.813430785999998</v>
      </c>
      <c r="E166">
        <v>50</v>
      </c>
      <c r="F166">
        <v>14.998625755000001</v>
      </c>
      <c r="G166">
        <v>1361.4407959</v>
      </c>
      <c r="H166">
        <v>1354.0299072</v>
      </c>
      <c r="I166">
        <v>1296.3905029</v>
      </c>
      <c r="J166">
        <v>1278.2425536999999</v>
      </c>
      <c r="K166">
        <v>1100</v>
      </c>
      <c r="L166">
        <v>0</v>
      </c>
      <c r="M166">
        <v>0</v>
      </c>
      <c r="N166">
        <v>1100</v>
      </c>
    </row>
    <row r="167" spans="1:14" x14ac:dyDescent="0.25">
      <c r="A167">
        <v>28.696339999999999</v>
      </c>
      <c r="B167" s="1">
        <f>DATE(2010,5,29) + TIME(16,42,43)</f>
        <v>40327.696331018517</v>
      </c>
      <c r="C167">
        <v>80</v>
      </c>
      <c r="D167">
        <v>79.813613892000006</v>
      </c>
      <c r="E167">
        <v>50</v>
      </c>
      <c r="F167">
        <v>14.998635291999999</v>
      </c>
      <c r="G167">
        <v>1361.3875731999999</v>
      </c>
      <c r="H167">
        <v>1353.9796143000001</v>
      </c>
      <c r="I167">
        <v>1296.3961182</v>
      </c>
      <c r="J167">
        <v>1278.2475586</v>
      </c>
      <c r="K167">
        <v>1100</v>
      </c>
      <c r="L167">
        <v>0</v>
      </c>
      <c r="M167">
        <v>0</v>
      </c>
      <c r="N167">
        <v>1100</v>
      </c>
    </row>
    <row r="168" spans="1:14" x14ac:dyDescent="0.25">
      <c r="A168">
        <v>29.211122</v>
      </c>
      <c r="B168" s="1">
        <f>DATE(2010,5,30) + TIME(5,4,0)</f>
        <v>40328.211111111108</v>
      </c>
      <c r="C168">
        <v>80</v>
      </c>
      <c r="D168">
        <v>79.813796996999997</v>
      </c>
      <c r="E168">
        <v>50</v>
      </c>
      <c r="F168">
        <v>14.998645782000001</v>
      </c>
      <c r="G168">
        <v>1361.3348389</v>
      </c>
      <c r="H168">
        <v>1353.9296875</v>
      </c>
      <c r="I168">
        <v>1296.4018555</v>
      </c>
      <c r="J168">
        <v>1278.2526855000001</v>
      </c>
      <c r="K168">
        <v>1100</v>
      </c>
      <c r="L168">
        <v>0</v>
      </c>
      <c r="M168">
        <v>0</v>
      </c>
      <c r="N168">
        <v>1100</v>
      </c>
    </row>
    <row r="169" spans="1:14" x14ac:dyDescent="0.25">
      <c r="A169">
        <v>29.731382</v>
      </c>
      <c r="B169" s="1">
        <f>DATE(2010,5,30) + TIME(17,33,11)</f>
        <v>40328.731377314813</v>
      </c>
      <c r="C169">
        <v>80</v>
      </c>
      <c r="D169">
        <v>79.813972473000007</v>
      </c>
      <c r="E169">
        <v>50</v>
      </c>
      <c r="F169">
        <v>14.998656273</v>
      </c>
      <c r="G169">
        <v>1361.2824707</v>
      </c>
      <c r="H169">
        <v>1353.880249</v>
      </c>
      <c r="I169">
        <v>1296.4077147999999</v>
      </c>
      <c r="J169">
        <v>1278.2578125</v>
      </c>
      <c r="K169">
        <v>1100</v>
      </c>
      <c r="L169">
        <v>0</v>
      </c>
      <c r="M169">
        <v>0</v>
      </c>
      <c r="N169">
        <v>1100</v>
      </c>
    </row>
    <row r="170" spans="1:14" x14ac:dyDescent="0.25">
      <c r="A170">
        <v>30.257921</v>
      </c>
      <c r="B170" s="1">
        <f>DATE(2010,5,31) + TIME(6,11,24)</f>
        <v>40329.257916666669</v>
      </c>
      <c r="C170">
        <v>80</v>
      </c>
      <c r="D170">
        <v>79.814132689999994</v>
      </c>
      <c r="E170">
        <v>50</v>
      </c>
      <c r="F170">
        <v>14.99866581</v>
      </c>
      <c r="G170">
        <v>1361.2303466999999</v>
      </c>
      <c r="H170">
        <v>1353.8311768000001</v>
      </c>
      <c r="I170">
        <v>1296.4135742000001</v>
      </c>
      <c r="J170">
        <v>1278.2629394999999</v>
      </c>
      <c r="K170">
        <v>1100</v>
      </c>
      <c r="L170">
        <v>0</v>
      </c>
      <c r="M170">
        <v>0</v>
      </c>
      <c r="N170">
        <v>1100</v>
      </c>
    </row>
    <row r="171" spans="1:14" x14ac:dyDescent="0.25">
      <c r="A171">
        <v>30.791567000000001</v>
      </c>
      <c r="B171" s="1">
        <f>DATE(2010,5,31) + TIME(18,59,51)</f>
        <v>40329.791562500002</v>
      </c>
      <c r="C171">
        <v>80</v>
      </c>
      <c r="D171">
        <v>79.814292907999999</v>
      </c>
      <c r="E171">
        <v>50</v>
      </c>
      <c r="F171">
        <v>14.9986763</v>
      </c>
      <c r="G171">
        <v>1361.1784668</v>
      </c>
      <c r="H171">
        <v>1353.7823486</v>
      </c>
      <c r="I171">
        <v>1296.4195557</v>
      </c>
      <c r="J171">
        <v>1278.2681885</v>
      </c>
      <c r="K171">
        <v>1100</v>
      </c>
      <c r="L171">
        <v>0</v>
      </c>
      <c r="M171">
        <v>0</v>
      </c>
      <c r="N171">
        <v>1100</v>
      </c>
    </row>
    <row r="172" spans="1:14" x14ac:dyDescent="0.25">
      <c r="A172">
        <v>31</v>
      </c>
      <c r="B172" s="1">
        <f>DATE(2010,6,1) + TIME(0,0,0)</f>
        <v>40330</v>
      </c>
      <c r="C172">
        <v>80</v>
      </c>
      <c r="D172">
        <v>79.814346313000001</v>
      </c>
      <c r="E172">
        <v>50</v>
      </c>
      <c r="F172">
        <v>14.998681068</v>
      </c>
      <c r="G172">
        <v>1361.1263428</v>
      </c>
      <c r="H172">
        <v>1353.7332764</v>
      </c>
      <c r="I172">
        <v>1296.4251709</v>
      </c>
      <c r="J172">
        <v>1278.2731934000001</v>
      </c>
      <c r="K172">
        <v>1100</v>
      </c>
      <c r="L172">
        <v>0</v>
      </c>
      <c r="M172">
        <v>0</v>
      </c>
      <c r="N172">
        <v>1100</v>
      </c>
    </row>
    <row r="173" spans="1:14" x14ac:dyDescent="0.25">
      <c r="A173">
        <v>31.541623000000001</v>
      </c>
      <c r="B173" s="1">
        <f>DATE(2010,6,1) + TIME(12,59,56)</f>
        <v>40330.541620370372</v>
      </c>
      <c r="C173">
        <v>80</v>
      </c>
      <c r="D173">
        <v>79.814506531000006</v>
      </c>
      <c r="E173">
        <v>50</v>
      </c>
      <c r="F173">
        <v>14.998690605</v>
      </c>
      <c r="G173">
        <v>1361.1066894999999</v>
      </c>
      <c r="H173">
        <v>1353.7147216999999</v>
      </c>
      <c r="I173">
        <v>1296.4279785000001</v>
      </c>
      <c r="J173">
        <v>1278.2757568</v>
      </c>
      <c r="K173">
        <v>1100</v>
      </c>
      <c r="L173">
        <v>0</v>
      </c>
      <c r="M173">
        <v>0</v>
      </c>
      <c r="N173">
        <v>1100</v>
      </c>
    </row>
    <row r="174" spans="1:14" x14ac:dyDescent="0.25">
      <c r="A174">
        <v>32.096145</v>
      </c>
      <c r="B174" s="1">
        <f>DATE(2010,6,2) + TIME(2,18,26)</f>
        <v>40331.096134259256</v>
      </c>
      <c r="C174">
        <v>80</v>
      </c>
      <c r="D174">
        <v>79.814659118999998</v>
      </c>
      <c r="E174">
        <v>50</v>
      </c>
      <c r="F174">
        <v>14.998700142000001</v>
      </c>
      <c r="G174">
        <v>1361.0555420000001</v>
      </c>
      <c r="H174">
        <v>1353.6667480000001</v>
      </c>
      <c r="I174">
        <v>1296.4342041</v>
      </c>
      <c r="J174">
        <v>1278.2811279</v>
      </c>
      <c r="K174">
        <v>1100</v>
      </c>
      <c r="L174">
        <v>0</v>
      </c>
      <c r="M174">
        <v>0</v>
      </c>
      <c r="N174">
        <v>1100</v>
      </c>
    </row>
    <row r="175" spans="1:14" x14ac:dyDescent="0.25">
      <c r="A175">
        <v>32.660777000000003</v>
      </c>
      <c r="B175" s="1">
        <f>DATE(2010,6,2) + TIME(15,51,31)</f>
        <v>40331.660775462966</v>
      </c>
      <c r="C175">
        <v>80</v>
      </c>
      <c r="D175">
        <v>79.814811707000004</v>
      </c>
      <c r="E175">
        <v>50</v>
      </c>
      <c r="F175">
        <v>14.998710632</v>
      </c>
      <c r="G175">
        <v>1361.0039062000001</v>
      </c>
      <c r="H175">
        <v>1353.6182861</v>
      </c>
      <c r="I175">
        <v>1296.4405518000001</v>
      </c>
      <c r="J175">
        <v>1278.2867432</v>
      </c>
      <c r="K175">
        <v>1100</v>
      </c>
      <c r="L175">
        <v>0</v>
      </c>
      <c r="M175">
        <v>0</v>
      </c>
      <c r="N175">
        <v>1100</v>
      </c>
    </row>
    <row r="176" spans="1:14" x14ac:dyDescent="0.25">
      <c r="A176">
        <v>33.236646999999998</v>
      </c>
      <c r="B176" s="1">
        <f>DATE(2010,6,3) + TIME(5,40,46)</f>
        <v>40332.236643518518</v>
      </c>
      <c r="C176">
        <v>80</v>
      </c>
      <c r="D176">
        <v>79.814956664999997</v>
      </c>
      <c r="E176">
        <v>50</v>
      </c>
      <c r="F176">
        <v>14.998721122999999</v>
      </c>
      <c r="G176">
        <v>1360.9521483999999</v>
      </c>
      <c r="H176">
        <v>1353.5698242000001</v>
      </c>
      <c r="I176">
        <v>1296.4470214999999</v>
      </c>
      <c r="J176">
        <v>1278.2924805</v>
      </c>
      <c r="K176">
        <v>1100</v>
      </c>
      <c r="L176">
        <v>0</v>
      </c>
      <c r="M176">
        <v>0</v>
      </c>
      <c r="N176">
        <v>1100</v>
      </c>
    </row>
    <row r="177" spans="1:14" x14ac:dyDescent="0.25">
      <c r="A177">
        <v>33.825018</v>
      </c>
      <c r="B177" s="1">
        <f>DATE(2010,6,3) + TIME(19,48,1)</f>
        <v>40332.825011574074</v>
      </c>
      <c r="C177">
        <v>80</v>
      </c>
      <c r="D177">
        <v>79.815101623999993</v>
      </c>
      <c r="E177">
        <v>50</v>
      </c>
      <c r="F177">
        <v>14.998730659</v>
      </c>
      <c r="G177">
        <v>1360.9002685999999</v>
      </c>
      <c r="H177">
        <v>1353.5212402</v>
      </c>
      <c r="I177">
        <v>1296.4536132999999</v>
      </c>
      <c r="J177">
        <v>1278.2983397999999</v>
      </c>
      <c r="K177">
        <v>1100</v>
      </c>
      <c r="L177">
        <v>0</v>
      </c>
      <c r="M177">
        <v>0</v>
      </c>
      <c r="N177">
        <v>1100</v>
      </c>
    </row>
    <row r="178" spans="1:14" x14ac:dyDescent="0.25">
      <c r="A178">
        <v>34.426039000000003</v>
      </c>
      <c r="B178" s="1">
        <f>DATE(2010,6,4) + TIME(10,13,29)</f>
        <v>40333.426030092596</v>
      </c>
      <c r="C178">
        <v>80</v>
      </c>
      <c r="D178">
        <v>79.815246582</v>
      </c>
      <c r="E178">
        <v>50</v>
      </c>
      <c r="F178">
        <v>14.998741150000001</v>
      </c>
      <c r="G178">
        <v>1360.8480225000001</v>
      </c>
      <c r="H178">
        <v>1353.4725341999999</v>
      </c>
      <c r="I178">
        <v>1296.4604492000001</v>
      </c>
      <c r="J178">
        <v>1278.3043213000001</v>
      </c>
      <c r="K178">
        <v>1100</v>
      </c>
      <c r="L178">
        <v>0</v>
      </c>
      <c r="M178">
        <v>0</v>
      </c>
      <c r="N178">
        <v>1100</v>
      </c>
    </row>
    <row r="179" spans="1:14" x14ac:dyDescent="0.25">
      <c r="A179">
        <v>35.034911999999998</v>
      </c>
      <c r="B179" s="1">
        <f>DATE(2010,6,5) + TIME(0,50,16)</f>
        <v>40334.034907407404</v>
      </c>
      <c r="C179">
        <v>80</v>
      </c>
      <c r="D179">
        <v>79.815383910999998</v>
      </c>
      <c r="E179">
        <v>50</v>
      </c>
      <c r="F179">
        <v>14.99875164</v>
      </c>
      <c r="G179">
        <v>1360.7955322</v>
      </c>
      <c r="H179">
        <v>1353.4234618999999</v>
      </c>
      <c r="I179">
        <v>1296.4674072</v>
      </c>
      <c r="J179">
        <v>1278.3104248</v>
      </c>
      <c r="K179">
        <v>1100</v>
      </c>
      <c r="L179">
        <v>0</v>
      </c>
      <c r="M179">
        <v>0</v>
      </c>
      <c r="N179">
        <v>1100</v>
      </c>
    </row>
    <row r="180" spans="1:14" x14ac:dyDescent="0.25">
      <c r="A180">
        <v>35.645898000000003</v>
      </c>
      <c r="B180" s="1">
        <f>DATE(2010,6,5) + TIME(15,30,5)</f>
        <v>40334.645891203705</v>
      </c>
      <c r="C180">
        <v>80</v>
      </c>
      <c r="D180">
        <v>79.815528869999994</v>
      </c>
      <c r="E180">
        <v>50</v>
      </c>
      <c r="F180">
        <v>14.998761177</v>
      </c>
      <c r="G180">
        <v>1360.7432861</v>
      </c>
      <c r="H180">
        <v>1353.3747559000001</v>
      </c>
      <c r="I180">
        <v>1296.4744873</v>
      </c>
      <c r="J180">
        <v>1278.3166504000001</v>
      </c>
      <c r="K180">
        <v>1100</v>
      </c>
      <c r="L180">
        <v>0</v>
      </c>
      <c r="M180">
        <v>0</v>
      </c>
      <c r="N180">
        <v>1100</v>
      </c>
    </row>
    <row r="181" spans="1:14" x14ac:dyDescent="0.25">
      <c r="A181">
        <v>36.260176999999999</v>
      </c>
      <c r="B181" s="1">
        <f>DATE(2010,6,6) + TIME(6,14,39)</f>
        <v>40335.26017361111</v>
      </c>
      <c r="C181">
        <v>80</v>
      </c>
      <c r="D181">
        <v>79.815658568999993</v>
      </c>
      <c r="E181">
        <v>50</v>
      </c>
      <c r="F181">
        <v>14.998771667</v>
      </c>
      <c r="G181">
        <v>1360.6916504000001</v>
      </c>
      <c r="H181">
        <v>1353.3266602000001</v>
      </c>
      <c r="I181">
        <v>1296.4816894999999</v>
      </c>
      <c r="J181">
        <v>1278.3229980000001</v>
      </c>
      <c r="K181">
        <v>1100</v>
      </c>
      <c r="L181">
        <v>0</v>
      </c>
      <c r="M181">
        <v>0</v>
      </c>
      <c r="N181">
        <v>1100</v>
      </c>
    </row>
    <row r="182" spans="1:14" x14ac:dyDescent="0.25">
      <c r="A182">
        <v>36.878832000000003</v>
      </c>
      <c r="B182" s="1">
        <f>DATE(2010,6,6) + TIME(21,5,31)</f>
        <v>40335.878831018519</v>
      </c>
      <c r="C182">
        <v>80</v>
      </c>
      <c r="D182">
        <v>79.815795898000005</v>
      </c>
      <c r="E182">
        <v>50</v>
      </c>
      <c r="F182">
        <v>14.998782157999999</v>
      </c>
      <c r="G182">
        <v>1360.6405029</v>
      </c>
      <c r="H182">
        <v>1353.2790527</v>
      </c>
      <c r="I182">
        <v>1296.4888916</v>
      </c>
      <c r="J182">
        <v>1278.3293457</v>
      </c>
      <c r="K182">
        <v>1100</v>
      </c>
      <c r="L182">
        <v>0</v>
      </c>
      <c r="M182">
        <v>0</v>
      </c>
      <c r="N182">
        <v>1100</v>
      </c>
    </row>
    <row r="183" spans="1:14" x14ac:dyDescent="0.25">
      <c r="A183">
        <v>37.502943999999999</v>
      </c>
      <c r="B183" s="1">
        <f>DATE(2010,6,7) + TIME(12,4,14)</f>
        <v>40336.502939814818</v>
      </c>
      <c r="C183">
        <v>80</v>
      </c>
      <c r="D183">
        <v>79.815925598000007</v>
      </c>
      <c r="E183">
        <v>50</v>
      </c>
      <c r="F183">
        <v>14.998791695</v>
      </c>
      <c r="G183">
        <v>1360.5899658000001</v>
      </c>
      <c r="H183">
        <v>1353.2320557</v>
      </c>
      <c r="I183">
        <v>1296.4960937999999</v>
      </c>
      <c r="J183">
        <v>1278.3356934000001</v>
      </c>
      <c r="K183">
        <v>1100</v>
      </c>
      <c r="L183">
        <v>0</v>
      </c>
      <c r="M183">
        <v>0</v>
      </c>
      <c r="N183">
        <v>1100</v>
      </c>
    </row>
    <row r="184" spans="1:14" x14ac:dyDescent="0.25">
      <c r="A184">
        <v>38.133628000000002</v>
      </c>
      <c r="B184" s="1">
        <f>DATE(2010,6,8) + TIME(3,12,25)</f>
        <v>40337.133622685185</v>
      </c>
      <c r="C184">
        <v>80</v>
      </c>
      <c r="D184">
        <v>79.816062927000004</v>
      </c>
      <c r="E184">
        <v>50</v>
      </c>
      <c r="F184">
        <v>14.998802185000001</v>
      </c>
      <c r="G184">
        <v>1360.5396728999999</v>
      </c>
      <c r="H184">
        <v>1353.1853027</v>
      </c>
      <c r="I184">
        <v>1296.5035399999999</v>
      </c>
      <c r="J184">
        <v>1278.3421631000001</v>
      </c>
      <c r="K184">
        <v>1100</v>
      </c>
      <c r="L184">
        <v>0</v>
      </c>
      <c r="M184">
        <v>0</v>
      </c>
      <c r="N184">
        <v>1100</v>
      </c>
    </row>
    <row r="185" spans="1:14" x14ac:dyDescent="0.25">
      <c r="A185">
        <v>38.766607999999998</v>
      </c>
      <c r="B185" s="1">
        <f>DATE(2010,6,8) + TIME(18,23,54)</f>
        <v>40337.766597222224</v>
      </c>
      <c r="C185">
        <v>80</v>
      </c>
      <c r="D185">
        <v>79.816192627000007</v>
      </c>
      <c r="E185">
        <v>50</v>
      </c>
      <c r="F185">
        <v>14.998811721999999</v>
      </c>
      <c r="G185">
        <v>1360.489624</v>
      </c>
      <c r="H185">
        <v>1353.1389160000001</v>
      </c>
      <c r="I185">
        <v>1296.5109863</v>
      </c>
      <c r="J185">
        <v>1278.3487548999999</v>
      </c>
      <c r="K185">
        <v>1100</v>
      </c>
      <c r="L185">
        <v>0</v>
      </c>
      <c r="M185">
        <v>0</v>
      </c>
      <c r="N185">
        <v>1100</v>
      </c>
    </row>
    <row r="186" spans="1:14" x14ac:dyDescent="0.25">
      <c r="A186">
        <v>39.402810000000002</v>
      </c>
      <c r="B186" s="1">
        <f>DATE(2010,6,9) + TIME(9,40,2)</f>
        <v>40338.402800925927</v>
      </c>
      <c r="C186">
        <v>80</v>
      </c>
      <c r="D186">
        <v>79.816322326999995</v>
      </c>
      <c r="E186">
        <v>50</v>
      </c>
      <c r="F186">
        <v>14.998822212</v>
      </c>
      <c r="G186">
        <v>1360.4400635</v>
      </c>
      <c r="H186">
        <v>1353.0931396000001</v>
      </c>
      <c r="I186">
        <v>1296.5185547000001</v>
      </c>
      <c r="J186">
        <v>1278.3553466999999</v>
      </c>
      <c r="K186">
        <v>1100</v>
      </c>
      <c r="L186">
        <v>0</v>
      </c>
      <c r="M186">
        <v>0</v>
      </c>
      <c r="N186">
        <v>1100</v>
      </c>
    </row>
    <row r="187" spans="1:14" x14ac:dyDescent="0.25">
      <c r="A187">
        <v>40.043197999999997</v>
      </c>
      <c r="B187" s="1">
        <f>DATE(2010,6,10) + TIME(1,2,12)</f>
        <v>40339.043194444443</v>
      </c>
      <c r="C187">
        <v>80</v>
      </c>
      <c r="D187">
        <v>79.816452025999993</v>
      </c>
      <c r="E187">
        <v>50</v>
      </c>
      <c r="F187">
        <v>14.998831749000001</v>
      </c>
      <c r="G187">
        <v>1360.3911132999999</v>
      </c>
      <c r="H187">
        <v>1353.0478516000001</v>
      </c>
      <c r="I187">
        <v>1296.5261230000001</v>
      </c>
      <c r="J187">
        <v>1278.3620605000001</v>
      </c>
      <c r="K187">
        <v>1100</v>
      </c>
      <c r="L187">
        <v>0</v>
      </c>
      <c r="M187">
        <v>0</v>
      </c>
      <c r="N187">
        <v>1100</v>
      </c>
    </row>
    <row r="188" spans="1:14" x14ac:dyDescent="0.25">
      <c r="A188">
        <v>40.688738999999998</v>
      </c>
      <c r="B188" s="1">
        <f>DATE(2010,6,10) + TIME(16,31,47)</f>
        <v>40339.688738425924</v>
      </c>
      <c r="C188">
        <v>80</v>
      </c>
      <c r="D188">
        <v>79.816574097</v>
      </c>
      <c r="E188">
        <v>50</v>
      </c>
      <c r="F188">
        <v>14.998841285999999</v>
      </c>
      <c r="G188">
        <v>1360.3426514</v>
      </c>
      <c r="H188">
        <v>1353.0029297000001</v>
      </c>
      <c r="I188">
        <v>1296.5339355000001</v>
      </c>
      <c r="J188">
        <v>1278.3687743999999</v>
      </c>
      <c r="K188">
        <v>1100</v>
      </c>
      <c r="L188">
        <v>0</v>
      </c>
      <c r="M188">
        <v>0</v>
      </c>
      <c r="N188">
        <v>1100</v>
      </c>
    </row>
    <row r="189" spans="1:14" x14ac:dyDescent="0.25">
      <c r="A189">
        <v>41.340415999999998</v>
      </c>
      <c r="B189" s="1">
        <f>DATE(2010,6,11) + TIME(8,10,11)</f>
        <v>40340.340405092589</v>
      </c>
      <c r="C189">
        <v>80</v>
      </c>
      <c r="D189">
        <v>79.816703795999999</v>
      </c>
      <c r="E189">
        <v>50</v>
      </c>
      <c r="F189">
        <v>14.998850822</v>
      </c>
      <c r="G189">
        <v>1360.2944336</v>
      </c>
      <c r="H189">
        <v>1352.958374</v>
      </c>
      <c r="I189">
        <v>1296.5417480000001</v>
      </c>
      <c r="J189">
        <v>1278.3756103999999</v>
      </c>
      <c r="K189">
        <v>1100</v>
      </c>
      <c r="L189">
        <v>0</v>
      </c>
      <c r="M189">
        <v>0</v>
      </c>
      <c r="N189">
        <v>1100</v>
      </c>
    </row>
    <row r="190" spans="1:14" x14ac:dyDescent="0.25">
      <c r="A190">
        <v>41.999243</v>
      </c>
      <c r="B190" s="1">
        <f>DATE(2010,6,11) + TIME(23,58,54)</f>
        <v>40340.999236111114</v>
      </c>
      <c r="C190">
        <v>80</v>
      </c>
      <c r="D190">
        <v>79.816833496000001</v>
      </c>
      <c r="E190">
        <v>50</v>
      </c>
      <c r="F190">
        <v>14.998861313000001</v>
      </c>
      <c r="G190">
        <v>1360.2464600000001</v>
      </c>
      <c r="H190">
        <v>1352.9141846</v>
      </c>
      <c r="I190">
        <v>1296.5495605000001</v>
      </c>
      <c r="J190">
        <v>1278.3825684000001</v>
      </c>
      <c r="K190">
        <v>1100</v>
      </c>
      <c r="L190">
        <v>0</v>
      </c>
      <c r="M190">
        <v>0</v>
      </c>
      <c r="N190">
        <v>1100</v>
      </c>
    </row>
    <row r="191" spans="1:14" x14ac:dyDescent="0.25">
      <c r="A191">
        <v>42.666269</v>
      </c>
      <c r="B191" s="1">
        <f>DATE(2010,6,12) + TIME(15,59,25)</f>
        <v>40341.666261574072</v>
      </c>
      <c r="C191">
        <v>80</v>
      </c>
      <c r="D191">
        <v>79.816963196000003</v>
      </c>
      <c r="E191">
        <v>50</v>
      </c>
      <c r="F191">
        <v>14.998870849999999</v>
      </c>
      <c r="G191">
        <v>1360.1987305</v>
      </c>
      <c r="H191">
        <v>1352.8702393000001</v>
      </c>
      <c r="I191">
        <v>1296.5576172000001</v>
      </c>
      <c r="J191">
        <v>1278.3896483999999</v>
      </c>
      <c r="K191">
        <v>1100</v>
      </c>
      <c r="L191">
        <v>0</v>
      </c>
      <c r="M191">
        <v>0</v>
      </c>
      <c r="N191">
        <v>1100</v>
      </c>
    </row>
    <row r="192" spans="1:14" x14ac:dyDescent="0.25">
      <c r="A192">
        <v>43.342692999999997</v>
      </c>
      <c r="B192" s="1">
        <f>DATE(2010,6,13) + TIME(8,13,28)</f>
        <v>40342.342685185184</v>
      </c>
      <c r="C192">
        <v>80</v>
      </c>
      <c r="D192">
        <v>79.817092896000005</v>
      </c>
      <c r="E192">
        <v>50</v>
      </c>
      <c r="F192">
        <v>14.998880386</v>
      </c>
      <c r="G192">
        <v>1360.1511230000001</v>
      </c>
      <c r="H192">
        <v>1352.8262939000001</v>
      </c>
      <c r="I192">
        <v>1296.565918</v>
      </c>
      <c r="J192">
        <v>1278.3967285000001</v>
      </c>
      <c r="K192">
        <v>1100</v>
      </c>
      <c r="L192">
        <v>0</v>
      </c>
      <c r="M192">
        <v>0</v>
      </c>
      <c r="N192">
        <v>1100</v>
      </c>
    </row>
    <row r="193" spans="1:14" x14ac:dyDescent="0.25">
      <c r="A193">
        <v>44.029783999999999</v>
      </c>
      <c r="B193" s="1">
        <f>DATE(2010,6,14) + TIME(0,42,53)</f>
        <v>40343.029780092591</v>
      </c>
      <c r="C193">
        <v>80</v>
      </c>
      <c r="D193">
        <v>79.817230225000003</v>
      </c>
      <c r="E193">
        <v>50</v>
      </c>
      <c r="F193">
        <v>14.998889923</v>
      </c>
      <c r="G193">
        <v>1360.1035156</v>
      </c>
      <c r="H193">
        <v>1352.7824707</v>
      </c>
      <c r="I193">
        <v>1296.5742187999999</v>
      </c>
      <c r="J193">
        <v>1278.4040527</v>
      </c>
      <c r="K193">
        <v>1100</v>
      </c>
      <c r="L193">
        <v>0</v>
      </c>
      <c r="M193">
        <v>0</v>
      </c>
      <c r="N193">
        <v>1100</v>
      </c>
    </row>
    <row r="194" spans="1:14" x14ac:dyDescent="0.25">
      <c r="A194">
        <v>44.728490000000001</v>
      </c>
      <c r="B194" s="1">
        <f>DATE(2010,6,14) + TIME(17,29,1)</f>
        <v>40343.728483796294</v>
      </c>
      <c r="C194">
        <v>80</v>
      </c>
      <c r="D194">
        <v>79.817359924000002</v>
      </c>
      <c r="E194">
        <v>50</v>
      </c>
      <c r="F194">
        <v>14.998900414</v>
      </c>
      <c r="G194">
        <v>1360.0557861</v>
      </c>
      <c r="H194">
        <v>1352.7386475000001</v>
      </c>
      <c r="I194">
        <v>1296.5827637</v>
      </c>
      <c r="J194">
        <v>1278.411499</v>
      </c>
      <c r="K194">
        <v>1100</v>
      </c>
      <c r="L194">
        <v>0</v>
      </c>
      <c r="M194">
        <v>0</v>
      </c>
      <c r="N194">
        <v>1100</v>
      </c>
    </row>
    <row r="195" spans="1:14" x14ac:dyDescent="0.25">
      <c r="A195">
        <v>45.44003</v>
      </c>
      <c r="B195" s="1">
        <f>DATE(2010,6,15) + TIME(10,33,38)</f>
        <v>40344.440023148149</v>
      </c>
      <c r="C195">
        <v>80</v>
      </c>
      <c r="D195">
        <v>79.817497252999999</v>
      </c>
      <c r="E195">
        <v>50</v>
      </c>
      <c r="F195">
        <v>14.99890995</v>
      </c>
      <c r="G195">
        <v>1360.0080565999999</v>
      </c>
      <c r="H195">
        <v>1352.6948242000001</v>
      </c>
      <c r="I195">
        <v>1296.5914307</v>
      </c>
      <c r="J195">
        <v>1278.4191894999999</v>
      </c>
      <c r="K195">
        <v>1100</v>
      </c>
      <c r="L195">
        <v>0</v>
      </c>
      <c r="M195">
        <v>0</v>
      </c>
      <c r="N195">
        <v>1100</v>
      </c>
    </row>
    <row r="196" spans="1:14" x14ac:dyDescent="0.25">
      <c r="A196">
        <v>46.165900000000001</v>
      </c>
      <c r="B196" s="1">
        <f>DATE(2010,6,16) + TIME(3,58,53)</f>
        <v>40345.165891203702</v>
      </c>
      <c r="C196">
        <v>80</v>
      </c>
      <c r="D196">
        <v>79.817634583</v>
      </c>
      <c r="E196">
        <v>50</v>
      </c>
      <c r="F196">
        <v>14.998919487</v>
      </c>
      <c r="G196">
        <v>1359.9600829999999</v>
      </c>
      <c r="H196">
        <v>1352.6508789</v>
      </c>
      <c r="I196">
        <v>1296.6003418</v>
      </c>
      <c r="J196">
        <v>1278.4268798999999</v>
      </c>
      <c r="K196">
        <v>1100</v>
      </c>
      <c r="L196">
        <v>0</v>
      </c>
      <c r="M196">
        <v>0</v>
      </c>
      <c r="N196">
        <v>1100</v>
      </c>
    </row>
    <row r="197" spans="1:14" x14ac:dyDescent="0.25">
      <c r="A197">
        <v>46.906613</v>
      </c>
      <c r="B197" s="1">
        <f>DATE(2010,6,16) + TIME(21,45,31)</f>
        <v>40345.906608796293</v>
      </c>
      <c r="C197">
        <v>80</v>
      </c>
      <c r="D197">
        <v>79.817779540999993</v>
      </c>
      <c r="E197">
        <v>50</v>
      </c>
      <c r="F197">
        <v>14.998929977</v>
      </c>
      <c r="G197">
        <v>1359.9119873</v>
      </c>
      <c r="H197">
        <v>1352.6066894999999</v>
      </c>
      <c r="I197">
        <v>1296.6094971</v>
      </c>
      <c r="J197">
        <v>1278.4349365</v>
      </c>
      <c r="K197">
        <v>1100</v>
      </c>
      <c r="L197">
        <v>0</v>
      </c>
      <c r="M197">
        <v>0</v>
      </c>
      <c r="N197">
        <v>1100</v>
      </c>
    </row>
    <row r="198" spans="1:14" x14ac:dyDescent="0.25">
      <c r="A198">
        <v>47.659354999999998</v>
      </c>
      <c r="B198" s="1">
        <f>DATE(2010,6,17) + TIME(15,49,28)</f>
        <v>40346.659351851849</v>
      </c>
      <c r="C198">
        <v>80</v>
      </c>
      <c r="D198">
        <v>79.817924500000004</v>
      </c>
      <c r="E198">
        <v>50</v>
      </c>
      <c r="F198">
        <v>14.998939514</v>
      </c>
      <c r="G198">
        <v>1359.8634033000001</v>
      </c>
      <c r="H198">
        <v>1352.5622559000001</v>
      </c>
      <c r="I198">
        <v>1296.6188964999999</v>
      </c>
      <c r="J198">
        <v>1278.4431152</v>
      </c>
      <c r="K198">
        <v>1100</v>
      </c>
      <c r="L198">
        <v>0</v>
      </c>
      <c r="M198">
        <v>0</v>
      </c>
      <c r="N198">
        <v>1100</v>
      </c>
    </row>
    <row r="199" spans="1:14" x14ac:dyDescent="0.25">
      <c r="A199">
        <v>48.416549000000003</v>
      </c>
      <c r="B199" s="1">
        <f>DATE(2010,6,18) + TIME(9,59,49)</f>
        <v>40347.416539351849</v>
      </c>
      <c r="C199">
        <v>80</v>
      </c>
      <c r="D199">
        <v>79.818061829000001</v>
      </c>
      <c r="E199">
        <v>50</v>
      </c>
      <c r="F199">
        <v>14.998950004999999</v>
      </c>
      <c r="G199">
        <v>1359.8149414</v>
      </c>
      <c r="H199">
        <v>1352.5178223</v>
      </c>
      <c r="I199">
        <v>1296.6285399999999</v>
      </c>
      <c r="J199">
        <v>1278.4514160000001</v>
      </c>
      <c r="K199">
        <v>1100</v>
      </c>
      <c r="L199">
        <v>0</v>
      </c>
      <c r="M199">
        <v>0</v>
      </c>
      <c r="N199">
        <v>1100</v>
      </c>
    </row>
    <row r="200" spans="1:14" x14ac:dyDescent="0.25">
      <c r="A200">
        <v>49.179639000000002</v>
      </c>
      <c r="B200" s="1">
        <f>DATE(2010,6,19) + TIME(4,18,40)</f>
        <v>40348.179629629631</v>
      </c>
      <c r="C200">
        <v>80</v>
      </c>
      <c r="D200">
        <v>79.818206786999994</v>
      </c>
      <c r="E200">
        <v>50</v>
      </c>
      <c r="F200">
        <v>14.998960495</v>
      </c>
      <c r="G200">
        <v>1359.7667236</v>
      </c>
      <c r="H200">
        <v>1352.4738769999999</v>
      </c>
      <c r="I200">
        <v>1296.6381836</v>
      </c>
      <c r="J200">
        <v>1278.4599608999999</v>
      </c>
      <c r="K200">
        <v>1100</v>
      </c>
      <c r="L200">
        <v>0</v>
      </c>
      <c r="M200">
        <v>0</v>
      </c>
      <c r="N200">
        <v>1100</v>
      </c>
    </row>
    <row r="201" spans="1:14" x14ac:dyDescent="0.25">
      <c r="A201">
        <v>49.943199999999997</v>
      </c>
      <c r="B201" s="1">
        <f>DATE(2010,6,19) + TIME(22,38,12)</f>
        <v>40348.943194444444</v>
      </c>
      <c r="C201">
        <v>80</v>
      </c>
      <c r="D201">
        <v>79.818351746000005</v>
      </c>
      <c r="E201">
        <v>50</v>
      </c>
      <c r="F201">
        <v>14.998970032000001</v>
      </c>
      <c r="G201">
        <v>1359.7189940999999</v>
      </c>
      <c r="H201">
        <v>1352.4301757999999</v>
      </c>
      <c r="I201">
        <v>1296.6480713000001</v>
      </c>
      <c r="J201">
        <v>1278.4685059000001</v>
      </c>
      <c r="K201">
        <v>1100</v>
      </c>
      <c r="L201">
        <v>0</v>
      </c>
      <c r="M201">
        <v>0</v>
      </c>
      <c r="N201">
        <v>1100</v>
      </c>
    </row>
    <row r="202" spans="1:14" x14ac:dyDescent="0.25">
      <c r="A202">
        <v>50.707785999999999</v>
      </c>
      <c r="B202" s="1">
        <f>DATE(2010,6,20) + TIME(16,59,12)</f>
        <v>40349.707777777781</v>
      </c>
      <c r="C202">
        <v>80</v>
      </c>
      <c r="D202">
        <v>79.818496703999998</v>
      </c>
      <c r="E202">
        <v>50</v>
      </c>
      <c r="F202">
        <v>14.998980522</v>
      </c>
      <c r="G202">
        <v>1359.6717529</v>
      </c>
      <c r="H202">
        <v>1352.3870850000001</v>
      </c>
      <c r="I202">
        <v>1296.6579589999999</v>
      </c>
      <c r="J202">
        <v>1278.4770507999999</v>
      </c>
      <c r="K202">
        <v>1100</v>
      </c>
      <c r="L202">
        <v>0</v>
      </c>
      <c r="M202">
        <v>0</v>
      </c>
      <c r="N202">
        <v>1100</v>
      </c>
    </row>
    <row r="203" spans="1:14" x14ac:dyDescent="0.25">
      <c r="A203">
        <v>51.474612</v>
      </c>
      <c r="B203" s="1">
        <f>DATE(2010,6,21) + TIME(11,23,26)</f>
        <v>40350.474606481483</v>
      </c>
      <c r="C203">
        <v>80</v>
      </c>
      <c r="D203">
        <v>79.818641662999994</v>
      </c>
      <c r="E203">
        <v>50</v>
      </c>
      <c r="F203">
        <v>14.998991012999999</v>
      </c>
      <c r="G203">
        <v>1359.6252440999999</v>
      </c>
      <c r="H203">
        <v>1352.3446045000001</v>
      </c>
      <c r="I203">
        <v>1296.6679687999999</v>
      </c>
      <c r="J203">
        <v>1278.4857178</v>
      </c>
      <c r="K203">
        <v>1100</v>
      </c>
      <c r="L203">
        <v>0</v>
      </c>
      <c r="M203">
        <v>0</v>
      </c>
      <c r="N203">
        <v>1100</v>
      </c>
    </row>
    <row r="204" spans="1:14" x14ac:dyDescent="0.25">
      <c r="A204">
        <v>52.244858000000001</v>
      </c>
      <c r="B204" s="1">
        <f>DATE(2010,6,22) + TIME(5,52,35)</f>
        <v>40351.244849537034</v>
      </c>
      <c r="C204">
        <v>80</v>
      </c>
      <c r="D204">
        <v>79.818786621000001</v>
      </c>
      <c r="E204">
        <v>50</v>
      </c>
      <c r="F204">
        <v>14.999000549</v>
      </c>
      <c r="G204">
        <v>1359.5791016000001</v>
      </c>
      <c r="H204">
        <v>1352.3027344</v>
      </c>
      <c r="I204">
        <v>1296.6781006000001</v>
      </c>
      <c r="J204">
        <v>1278.4945068</v>
      </c>
      <c r="K204">
        <v>1100</v>
      </c>
      <c r="L204">
        <v>0</v>
      </c>
      <c r="M204">
        <v>0</v>
      </c>
      <c r="N204">
        <v>1100</v>
      </c>
    </row>
    <row r="205" spans="1:14" x14ac:dyDescent="0.25">
      <c r="A205">
        <v>53.019705999999999</v>
      </c>
      <c r="B205" s="1">
        <f>DATE(2010,6,23) + TIME(0,28,22)</f>
        <v>40352.019699074073</v>
      </c>
      <c r="C205">
        <v>80</v>
      </c>
      <c r="D205">
        <v>79.818931579999997</v>
      </c>
      <c r="E205">
        <v>50</v>
      </c>
      <c r="F205">
        <v>14.999011039999999</v>
      </c>
      <c r="G205">
        <v>1359.5334473</v>
      </c>
      <c r="H205">
        <v>1352.2611084</v>
      </c>
      <c r="I205">
        <v>1296.6882324000001</v>
      </c>
      <c r="J205">
        <v>1278.503418</v>
      </c>
      <c r="K205">
        <v>1100</v>
      </c>
      <c r="L205">
        <v>0</v>
      </c>
      <c r="M205">
        <v>0</v>
      </c>
      <c r="N205">
        <v>1100</v>
      </c>
    </row>
    <row r="206" spans="1:14" x14ac:dyDescent="0.25">
      <c r="A206">
        <v>53.800348999999997</v>
      </c>
      <c r="B206" s="1">
        <f>DATE(2010,6,23) + TIME(19,12,30)</f>
        <v>40352.800347222219</v>
      </c>
      <c r="C206">
        <v>80</v>
      </c>
      <c r="D206">
        <v>79.819076538000004</v>
      </c>
      <c r="E206">
        <v>50</v>
      </c>
      <c r="F206">
        <v>14.99902153</v>
      </c>
      <c r="G206">
        <v>1359.4881591999999</v>
      </c>
      <c r="H206">
        <v>1352.2199707</v>
      </c>
      <c r="I206">
        <v>1296.6986084</v>
      </c>
      <c r="J206">
        <v>1278.5123291</v>
      </c>
      <c r="K206">
        <v>1100</v>
      </c>
      <c r="L206">
        <v>0</v>
      </c>
      <c r="M206">
        <v>0</v>
      </c>
      <c r="N206">
        <v>1100</v>
      </c>
    </row>
    <row r="207" spans="1:14" x14ac:dyDescent="0.25">
      <c r="A207">
        <v>54.587999000000003</v>
      </c>
      <c r="B207" s="1">
        <f>DATE(2010,6,24) + TIME(14,6,43)</f>
        <v>40353.587997685187</v>
      </c>
      <c r="C207">
        <v>80</v>
      </c>
      <c r="D207">
        <v>79.819221497000001</v>
      </c>
      <c r="E207">
        <v>50</v>
      </c>
      <c r="F207">
        <v>14.999032021</v>
      </c>
      <c r="G207">
        <v>1359.4431152</v>
      </c>
      <c r="H207">
        <v>1352.1790771000001</v>
      </c>
      <c r="I207">
        <v>1296.7091064000001</v>
      </c>
      <c r="J207">
        <v>1278.5213623</v>
      </c>
      <c r="K207">
        <v>1100</v>
      </c>
      <c r="L207">
        <v>0</v>
      </c>
      <c r="M207">
        <v>0</v>
      </c>
      <c r="N207">
        <v>1100</v>
      </c>
    </row>
    <row r="208" spans="1:14" x14ac:dyDescent="0.25">
      <c r="A208">
        <v>55.383896999999997</v>
      </c>
      <c r="B208" s="1">
        <f>DATE(2010,6,25) + TIME(9,12,48)</f>
        <v>40354.383888888886</v>
      </c>
      <c r="C208">
        <v>80</v>
      </c>
      <c r="D208">
        <v>79.819374084000003</v>
      </c>
      <c r="E208">
        <v>50</v>
      </c>
      <c r="F208">
        <v>14.999042511000001</v>
      </c>
      <c r="G208">
        <v>1359.3983154</v>
      </c>
      <c r="H208">
        <v>1352.1383057</v>
      </c>
      <c r="I208">
        <v>1296.7197266000001</v>
      </c>
      <c r="J208">
        <v>1278.5306396000001</v>
      </c>
      <c r="K208">
        <v>1100</v>
      </c>
      <c r="L208">
        <v>0</v>
      </c>
      <c r="M208">
        <v>0</v>
      </c>
      <c r="N208">
        <v>1100</v>
      </c>
    </row>
    <row r="209" spans="1:14" x14ac:dyDescent="0.25">
      <c r="A209">
        <v>56.189328000000003</v>
      </c>
      <c r="B209" s="1">
        <f>DATE(2010,6,26) + TIME(4,32,37)</f>
        <v>40355.189317129632</v>
      </c>
      <c r="C209">
        <v>80</v>
      </c>
      <c r="D209">
        <v>79.819526671999995</v>
      </c>
      <c r="E209">
        <v>50</v>
      </c>
      <c r="F209">
        <v>14.999053001</v>
      </c>
      <c r="G209">
        <v>1359.3536377</v>
      </c>
      <c r="H209">
        <v>1352.0977783000001</v>
      </c>
      <c r="I209">
        <v>1296.7305908000001</v>
      </c>
      <c r="J209">
        <v>1278.5400391000001</v>
      </c>
      <c r="K209">
        <v>1100</v>
      </c>
      <c r="L209">
        <v>0</v>
      </c>
      <c r="M209">
        <v>0</v>
      </c>
      <c r="N209">
        <v>1100</v>
      </c>
    </row>
    <row r="210" spans="1:14" x14ac:dyDescent="0.25">
      <c r="A210">
        <v>57.005786000000001</v>
      </c>
      <c r="B210" s="1">
        <f>DATE(2010,6,27) + TIME(0,8,19)</f>
        <v>40356.00577546296</v>
      </c>
      <c r="C210">
        <v>80</v>
      </c>
      <c r="D210">
        <v>79.819679260000001</v>
      </c>
      <c r="E210">
        <v>50</v>
      </c>
      <c r="F210">
        <v>14.999064445</v>
      </c>
      <c r="G210">
        <v>1359.3089600000001</v>
      </c>
      <c r="H210">
        <v>1352.057251</v>
      </c>
      <c r="I210">
        <v>1296.7415771000001</v>
      </c>
      <c r="J210">
        <v>1278.5495605000001</v>
      </c>
      <c r="K210">
        <v>1100</v>
      </c>
      <c r="L210">
        <v>0</v>
      </c>
      <c r="M210">
        <v>0</v>
      </c>
      <c r="N210">
        <v>1100</v>
      </c>
    </row>
    <row r="211" spans="1:14" x14ac:dyDescent="0.25">
      <c r="A211">
        <v>57.834764</v>
      </c>
      <c r="B211" s="1">
        <f>DATE(2010,6,27) + TIME(20,2,3)</f>
        <v>40356.834756944445</v>
      </c>
      <c r="C211">
        <v>80</v>
      </c>
      <c r="D211">
        <v>79.819831848000007</v>
      </c>
      <c r="E211">
        <v>50</v>
      </c>
      <c r="F211">
        <v>14.99907589</v>
      </c>
      <c r="G211">
        <v>1359.2642822</v>
      </c>
      <c r="H211">
        <v>1352.0168457</v>
      </c>
      <c r="I211">
        <v>1296.7529297000001</v>
      </c>
      <c r="J211">
        <v>1278.5593262</v>
      </c>
      <c r="K211">
        <v>1100</v>
      </c>
      <c r="L211">
        <v>0</v>
      </c>
      <c r="M211">
        <v>0</v>
      </c>
      <c r="N211">
        <v>1100</v>
      </c>
    </row>
    <row r="212" spans="1:14" x14ac:dyDescent="0.25">
      <c r="A212">
        <v>58.677362000000002</v>
      </c>
      <c r="B212" s="1">
        <f>DATE(2010,6,28) + TIME(16,15,24)</f>
        <v>40357.677361111113</v>
      </c>
      <c r="C212">
        <v>80</v>
      </c>
      <c r="D212">
        <v>79.819992064999994</v>
      </c>
      <c r="E212">
        <v>50</v>
      </c>
      <c r="F212">
        <v>14.999088286999999</v>
      </c>
      <c r="G212">
        <v>1359.2194824000001</v>
      </c>
      <c r="H212">
        <v>1351.9763184000001</v>
      </c>
      <c r="I212">
        <v>1296.7644043</v>
      </c>
      <c r="J212">
        <v>1278.5693358999999</v>
      </c>
      <c r="K212">
        <v>1100</v>
      </c>
      <c r="L212">
        <v>0</v>
      </c>
      <c r="M212">
        <v>0</v>
      </c>
      <c r="N212">
        <v>1100</v>
      </c>
    </row>
    <row r="213" spans="1:14" x14ac:dyDescent="0.25">
      <c r="A213">
        <v>59.535136000000001</v>
      </c>
      <c r="B213" s="1">
        <f>DATE(2010,6,29) + TIME(12,50,35)</f>
        <v>40358.535127314812</v>
      </c>
      <c r="C213">
        <v>80</v>
      </c>
      <c r="D213">
        <v>79.820152282999999</v>
      </c>
      <c r="E213">
        <v>50</v>
      </c>
      <c r="F213">
        <v>14.999101638999999</v>
      </c>
      <c r="G213">
        <v>1359.1745605000001</v>
      </c>
      <c r="H213">
        <v>1351.9356689000001</v>
      </c>
      <c r="I213">
        <v>1296.7762451000001</v>
      </c>
      <c r="J213">
        <v>1278.5794678</v>
      </c>
      <c r="K213">
        <v>1100</v>
      </c>
      <c r="L213">
        <v>0</v>
      </c>
      <c r="M213">
        <v>0</v>
      </c>
      <c r="N213">
        <v>1100</v>
      </c>
    </row>
    <row r="214" spans="1:14" x14ac:dyDescent="0.25">
      <c r="A214">
        <v>60.408116</v>
      </c>
      <c r="B214" s="1">
        <f>DATE(2010,6,30) + TIME(9,47,41)</f>
        <v>40359.408113425925</v>
      </c>
      <c r="C214">
        <v>80</v>
      </c>
      <c r="D214">
        <v>79.820320128999995</v>
      </c>
      <c r="E214">
        <v>50</v>
      </c>
      <c r="F214">
        <v>14.999114990000001</v>
      </c>
      <c r="G214">
        <v>1359.1293945</v>
      </c>
      <c r="H214">
        <v>1351.8948975000001</v>
      </c>
      <c r="I214">
        <v>1296.7884521000001</v>
      </c>
      <c r="J214">
        <v>1278.5899658000001</v>
      </c>
      <c r="K214">
        <v>1100</v>
      </c>
      <c r="L214">
        <v>0</v>
      </c>
      <c r="M214">
        <v>0</v>
      </c>
      <c r="N214">
        <v>1100</v>
      </c>
    </row>
    <row r="215" spans="1:14" x14ac:dyDescent="0.25">
      <c r="A215">
        <v>61</v>
      </c>
      <c r="B215" s="1">
        <f>DATE(2010,7,1) + TIME(0,0,0)</f>
        <v>40360</v>
      </c>
      <c r="C215">
        <v>80</v>
      </c>
      <c r="D215">
        <v>79.820419311999999</v>
      </c>
      <c r="E215">
        <v>50</v>
      </c>
      <c r="F215">
        <v>14.999126434000001</v>
      </c>
      <c r="G215">
        <v>1359.0838623</v>
      </c>
      <c r="H215">
        <v>1351.8536377</v>
      </c>
      <c r="I215">
        <v>1296.8006591999999</v>
      </c>
      <c r="J215">
        <v>1278.6004639</v>
      </c>
      <c r="K215">
        <v>1100</v>
      </c>
      <c r="L215">
        <v>0</v>
      </c>
      <c r="M215">
        <v>0</v>
      </c>
      <c r="N215">
        <v>1100</v>
      </c>
    </row>
    <row r="216" spans="1:14" x14ac:dyDescent="0.25">
      <c r="A216">
        <v>61.884962999999999</v>
      </c>
      <c r="B216" s="1">
        <f>DATE(2010,7,1) + TIME(21,14,20)</f>
        <v>40360.884953703702</v>
      </c>
      <c r="C216">
        <v>80</v>
      </c>
      <c r="D216">
        <v>79.820587157999995</v>
      </c>
      <c r="E216">
        <v>50</v>
      </c>
      <c r="F216">
        <v>14.999140739</v>
      </c>
      <c r="G216">
        <v>1359.0535889</v>
      </c>
      <c r="H216">
        <v>1351.8264160000001</v>
      </c>
      <c r="I216">
        <v>1296.8093262</v>
      </c>
      <c r="J216">
        <v>1278.6079102000001</v>
      </c>
      <c r="K216">
        <v>1100</v>
      </c>
      <c r="L216">
        <v>0</v>
      </c>
      <c r="M216">
        <v>0</v>
      </c>
      <c r="N216">
        <v>1100</v>
      </c>
    </row>
    <row r="217" spans="1:14" x14ac:dyDescent="0.25">
      <c r="A217">
        <v>62.334426000000001</v>
      </c>
      <c r="B217" s="1">
        <f>DATE(2010,7,2) + TIME(8,1,34)</f>
        <v>40361.334421296298</v>
      </c>
      <c r="C217">
        <v>80</v>
      </c>
      <c r="D217">
        <v>79.820663452000005</v>
      </c>
      <c r="E217">
        <v>50</v>
      </c>
      <c r="F217">
        <v>14.999150276</v>
      </c>
      <c r="G217">
        <v>1359.0083007999999</v>
      </c>
      <c r="H217">
        <v>1351.7854004000001</v>
      </c>
      <c r="I217">
        <v>1296.8218993999999</v>
      </c>
      <c r="J217">
        <v>1278.6186522999999</v>
      </c>
      <c r="K217">
        <v>1100</v>
      </c>
      <c r="L217">
        <v>0</v>
      </c>
      <c r="M217">
        <v>0</v>
      </c>
      <c r="N217">
        <v>1100</v>
      </c>
    </row>
    <row r="218" spans="1:14" x14ac:dyDescent="0.25">
      <c r="A218">
        <v>62.78389</v>
      </c>
      <c r="B218" s="1">
        <f>DATE(2010,7,2) + TIME(18,48,48)</f>
        <v>40361.783888888887</v>
      </c>
      <c r="C218">
        <v>80</v>
      </c>
      <c r="D218">
        <v>79.820739746000001</v>
      </c>
      <c r="E218">
        <v>50</v>
      </c>
      <c r="F218">
        <v>14.999160766999999</v>
      </c>
      <c r="G218">
        <v>1358.9853516000001</v>
      </c>
      <c r="H218">
        <v>1351.7647704999999</v>
      </c>
      <c r="I218">
        <v>1296.8284911999999</v>
      </c>
      <c r="J218">
        <v>1278.6243896000001</v>
      </c>
      <c r="K218">
        <v>1100</v>
      </c>
      <c r="L218">
        <v>0</v>
      </c>
      <c r="M218">
        <v>0</v>
      </c>
      <c r="N218">
        <v>1100</v>
      </c>
    </row>
    <row r="219" spans="1:14" x14ac:dyDescent="0.25">
      <c r="A219">
        <v>63.233353000000001</v>
      </c>
      <c r="B219" s="1">
        <f>DATE(2010,7,3) + TIME(5,36,1)</f>
        <v>40362.233344907407</v>
      </c>
      <c r="C219">
        <v>80</v>
      </c>
      <c r="D219">
        <v>79.820816039999997</v>
      </c>
      <c r="E219">
        <v>50</v>
      </c>
      <c r="F219">
        <v>14.999170303</v>
      </c>
      <c r="G219">
        <v>1358.9628906</v>
      </c>
      <c r="H219">
        <v>1351.7443848</v>
      </c>
      <c r="I219">
        <v>1296.8350829999999</v>
      </c>
      <c r="J219">
        <v>1278.6300048999999</v>
      </c>
      <c r="K219">
        <v>1100</v>
      </c>
      <c r="L219">
        <v>0</v>
      </c>
      <c r="M219">
        <v>0</v>
      </c>
      <c r="N219">
        <v>1100</v>
      </c>
    </row>
    <row r="220" spans="1:14" x14ac:dyDescent="0.25">
      <c r="A220">
        <v>63.682816000000003</v>
      </c>
      <c r="B220" s="1">
        <f>DATE(2010,7,3) + TIME(16,23,15)</f>
        <v>40362.682812500003</v>
      </c>
      <c r="C220">
        <v>80</v>
      </c>
      <c r="D220">
        <v>79.820892334000007</v>
      </c>
      <c r="E220">
        <v>50</v>
      </c>
      <c r="F220">
        <v>14.999180794000001</v>
      </c>
      <c r="G220">
        <v>1358.9405518000001</v>
      </c>
      <c r="H220">
        <v>1351.7242432</v>
      </c>
      <c r="I220">
        <v>1296.8416748</v>
      </c>
      <c r="J220">
        <v>1278.6356201000001</v>
      </c>
      <c r="K220">
        <v>1100</v>
      </c>
      <c r="L220">
        <v>0</v>
      </c>
      <c r="M220">
        <v>0</v>
      </c>
      <c r="N220">
        <v>1100</v>
      </c>
    </row>
    <row r="221" spans="1:14" x14ac:dyDescent="0.25">
      <c r="A221">
        <v>64.132278999999997</v>
      </c>
      <c r="B221" s="1">
        <f>DATE(2010,7,4) + TIME(3,10,28)</f>
        <v>40363.132268518515</v>
      </c>
      <c r="C221">
        <v>80</v>
      </c>
      <c r="D221">
        <v>79.820976256999998</v>
      </c>
      <c r="E221">
        <v>50</v>
      </c>
      <c r="F221">
        <v>14.999191284</v>
      </c>
      <c r="G221">
        <v>1358.9183350000001</v>
      </c>
      <c r="H221">
        <v>1351.7042236</v>
      </c>
      <c r="I221">
        <v>1296.8483887</v>
      </c>
      <c r="J221">
        <v>1278.6413574000001</v>
      </c>
      <c r="K221">
        <v>1100</v>
      </c>
      <c r="L221">
        <v>0</v>
      </c>
      <c r="M221">
        <v>0</v>
      </c>
      <c r="N221">
        <v>1100</v>
      </c>
    </row>
    <row r="222" spans="1:14" x14ac:dyDescent="0.25">
      <c r="A222">
        <v>65.031205999999997</v>
      </c>
      <c r="B222" s="1">
        <f>DATE(2010,7,5) + TIME(0,44,56)</f>
        <v>40364.0312037037</v>
      </c>
      <c r="C222">
        <v>80</v>
      </c>
      <c r="D222">
        <v>79.821166992000002</v>
      </c>
      <c r="E222">
        <v>50</v>
      </c>
      <c r="F222">
        <v>14.999209404</v>
      </c>
      <c r="G222">
        <v>1358.8968506000001</v>
      </c>
      <c r="H222">
        <v>1351.6849365</v>
      </c>
      <c r="I222">
        <v>1296.8552245999999</v>
      </c>
      <c r="J222">
        <v>1278.6473389</v>
      </c>
      <c r="K222">
        <v>1100</v>
      </c>
      <c r="L222">
        <v>0</v>
      </c>
      <c r="M222">
        <v>0</v>
      </c>
      <c r="N222">
        <v>1100</v>
      </c>
    </row>
    <row r="223" spans="1:14" x14ac:dyDescent="0.25">
      <c r="A223">
        <v>65.930522999999994</v>
      </c>
      <c r="B223" s="1">
        <f>DATE(2010,7,5) + TIME(22,19,57)</f>
        <v>40364.930520833332</v>
      </c>
      <c r="C223">
        <v>80</v>
      </c>
      <c r="D223">
        <v>79.821342467999997</v>
      </c>
      <c r="E223">
        <v>50</v>
      </c>
      <c r="F223">
        <v>14.999230385000001</v>
      </c>
      <c r="G223">
        <v>1358.8532714999999</v>
      </c>
      <c r="H223">
        <v>1351.6456298999999</v>
      </c>
      <c r="I223">
        <v>1296.8686522999999</v>
      </c>
      <c r="J223">
        <v>1278.6588135</v>
      </c>
      <c r="K223">
        <v>1100</v>
      </c>
      <c r="L223">
        <v>0</v>
      </c>
      <c r="M223">
        <v>0</v>
      </c>
      <c r="N223">
        <v>1100</v>
      </c>
    </row>
    <row r="224" spans="1:14" x14ac:dyDescent="0.25">
      <c r="A224">
        <v>66.834282999999999</v>
      </c>
      <c r="B224" s="1">
        <f>DATE(2010,7,6) + TIME(20,1,22)</f>
        <v>40365.834282407406</v>
      </c>
      <c r="C224">
        <v>80</v>
      </c>
      <c r="D224">
        <v>79.821517943999993</v>
      </c>
      <c r="E224">
        <v>50</v>
      </c>
      <c r="F224">
        <v>14.99925518</v>
      </c>
      <c r="G224">
        <v>1358.8100586</v>
      </c>
      <c r="H224">
        <v>1351.6068115</v>
      </c>
      <c r="I224">
        <v>1296.8822021000001</v>
      </c>
      <c r="J224">
        <v>1278.6704102000001</v>
      </c>
      <c r="K224">
        <v>1100</v>
      </c>
      <c r="L224">
        <v>0</v>
      </c>
      <c r="M224">
        <v>0</v>
      </c>
      <c r="N224">
        <v>1100</v>
      </c>
    </row>
    <row r="225" spans="1:14" x14ac:dyDescent="0.25">
      <c r="A225">
        <v>67.743846000000005</v>
      </c>
      <c r="B225" s="1">
        <f>DATE(2010,7,7) + TIME(17,51,8)</f>
        <v>40366.743842592594</v>
      </c>
      <c r="C225">
        <v>80</v>
      </c>
      <c r="D225">
        <v>79.821693420000003</v>
      </c>
      <c r="E225">
        <v>50</v>
      </c>
      <c r="F225">
        <v>14.999281883</v>
      </c>
      <c r="G225">
        <v>1358.7670897999999</v>
      </c>
      <c r="H225">
        <v>1351.5682373</v>
      </c>
      <c r="I225">
        <v>1296.895874</v>
      </c>
      <c r="J225">
        <v>1278.6821289</v>
      </c>
      <c r="K225">
        <v>1100</v>
      </c>
      <c r="L225">
        <v>0</v>
      </c>
      <c r="M225">
        <v>0</v>
      </c>
      <c r="N225">
        <v>1100</v>
      </c>
    </row>
    <row r="226" spans="1:14" x14ac:dyDescent="0.25">
      <c r="A226">
        <v>68.660619999999994</v>
      </c>
      <c r="B226" s="1">
        <f>DATE(2010,7,8) + TIME(15,51,17)</f>
        <v>40367.660613425927</v>
      </c>
      <c r="C226">
        <v>80</v>
      </c>
      <c r="D226">
        <v>79.821868895999998</v>
      </c>
      <c r="E226">
        <v>50</v>
      </c>
      <c r="F226">
        <v>14.999313354</v>
      </c>
      <c r="G226">
        <v>1358.7244873</v>
      </c>
      <c r="H226">
        <v>1351.5299072</v>
      </c>
      <c r="I226">
        <v>1296.9097899999999</v>
      </c>
      <c r="J226">
        <v>1278.6940918</v>
      </c>
      <c r="K226">
        <v>1100</v>
      </c>
      <c r="L226">
        <v>0</v>
      </c>
      <c r="M226">
        <v>0</v>
      </c>
      <c r="N226">
        <v>1100</v>
      </c>
    </row>
    <row r="227" spans="1:14" x14ac:dyDescent="0.25">
      <c r="A227">
        <v>69.586031000000006</v>
      </c>
      <c r="B227" s="1">
        <f>DATE(2010,7,9) + TIME(14,3,53)</f>
        <v>40368.586030092592</v>
      </c>
      <c r="C227">
        <v>80</v>
      </c>
      <c r="D227">
        <v>79.822052002000007</v>
      </c>
      <c r="E227">
        <v>50</v>
      </c>
      <c r="F227">
        <v>14.999349594</v>
      </c>
      <c r="G227">
        <v>1358.6820068</v>
      </c>
      <c r="H227">
        <v>1351.4916992000001</v>
      </c>
      <c r="I227">
        <v>1296.9239502</v>
      </c>
      <c r="J227">
        <v>1278.7061768000001</v>
      </c>
      <c r="K227">
        <v>1100</v>
      </c>
      <c r="L227">
        <v>0</v>
      </c>
      <c r="M227">
        <v>0</v>
      </c>
      <c r="N227">
        <v>1100</v>
      </c>
    </row>
    <row r="228" spans="1:14" x14ac:dyDescent="0.25">
      <c r="A228">
        <v>70.521557999999999</v>
      </c>
      <c r="B228" s="1">
        <f>DATE(2010,7,10) + TIME(12,31,2)</f>
        <v>40369.521550925929</v>
      </c>
      <c r="C228">
        <v>80</v>
      </c>
      <c r="D228">
        <v>79.822227478000002</v>
      </c>
      <c r="E228">
        <v>50</v>
      </c>
      <c r="F228">
        <v>14.999391556000001</v>
      </c>
      <c r="G228">
        <v>1358.6396483999999</v>
      </c>
      <c r="H228">
        <v>1351.4537353999999</v>
      </c>
      <c r="I228">
        <v>1296.9384766000001</v>
      </c>
      <c r="J228">
        <v>1278.7185059000001</v>
      </c>
      <c r="K228">
        <v>1100</v>
      </c>
      <c r="L228">
        <v>0</v>
      </c>
      <c r="M228">
        <v>0</v>
      </c>
      <c r="N228">
        <v>1100</v>
      </c>
    </row>
    <row r="229" spans="1:14" x14ac:dyDescent="0.25">
      <c r="A229">
        <v>71.468727999999999</v>
      </c>
      <c r="B229" s="1">
        <f>DATE(2010,7,11) + TIME(11,14,58)</f>
        <v>40370.468726851854</v>
      </c>
      <c r="C229">
        <v>80</v>
      </c>
      <c r="D229">
        <v>79.822402953999998</v>
      </c>
      <c r="E229">
        <v>50</v>
      </c>
      <c r="F229">
        <v>14.999439239999999</v>
      </c>
      <c r="G229">
        <v>1358.5972899999999</v>
      </c>
      <c r="H229">
        <v>1351.4156493999999</v>
      </c>
      <c r="I229">
        <v>1296.9532471</v>
      </c>
      <c r="J229">
        <v>1278.7310791</v>
      </c>
      <c r="K229">
        <v>1100</v>
      </c>
      <c r="L229">
        <v>0</v>
      </c>
      <c r="M229">
        <v>0</v>
      </c>
      <c r="N229">
        <v>1100</v>
      </c>
    </row>
    <row r="230" spans="1:14" x14ac:dyDescent="0.25">
      <c r="A230">
        <v>72.429491999999996</v>
      </c>
      <c r="B230" s="1">
        <f>DATE(2010,7,12) + TIME(10,18,28)</f>
        <v>40371.429490740738</v>
      </c>
      <c r="C230">
        <v>80</v>
      </c>
      <c r="D230">
        <v>79.822586060000006</v>
      </c>
      <c r="E230">
        <v>50</v>
      </c>
      <c r="F230">
        <v>14.999494553</v>
      </c>
      <c r="G230">
        <v>1358.5549315999999</v>
      </c>
      <c r="H230">
        <v>1351.3776855000001</v>
      </c>
      <c r="I230">
        <v>1296.9682617000001</v>
      </c>
      <c r="J230">
        <v>1278.7438964999999</v>
      </c>
      <c r="K230">
        <v>1100</v>
      </c>
      <c r="L230">
        <v>0</v>
      </c>
      <c r="M230">
        <v>0</v>
      </c>
      <c r="N230">
        <v>1100</v>
      </c>
    </row>
    <row r="231" spans="1:14" x14ac:dyDescent="0.25">
      <c r="A231">
        <v>73.399827999999999</v>
      </c>
      <c r="B231" s="1">
        <f>DATE(2010,7,13) + TIME(9,35,45)</f>
        <v>40372.399826388886</v>
      </c>
      <c r="C231">
        <v>80</v>
      </c>
      <c r="D231">
        <v>79.822776794000006</v>
      </c>
      <c r="E231">
        <v>50</v>
      </c>
      <c r="F231">
        <v>14.999559401999999</v>
      </c>
      <c r="G231">
        <v>1358.5124512</v>
      </c>
      <c r="H231">
        <v>1351.3395995999999</v>
      </c>
      <c r="I231">
        <v>1296.9837646000001</v>
      </c>
      <c r="J231">
        <v>1278.7570800999999</v>
      </c>
      <c r="K231">
        <v>1100</v>
      </c>
      <c r="L231">
        <v>0</v>
      </c>
      <c r="M231">
        <v>0</v>
      </c>
      <c r="N231">
        <v>1100</v>
      </c>
    </row>
    <row r="232" spans="1:14" x14ac:dyDescent="0.25">
      <c r="A232">
        <v>74.380122</v>
      </c>
      <c r="B232" s="1">
        <f>DATE(2010,7,14) + TIME(9,7,22)</f>
        <v>40373.380115740743</v>
      </c>
      <c r="C232">
        <v>80</v>
      </c>
      <c r="D232">
        <v>79.822959900000001</v>
      </c>
      <c r="E232">
        <v>50</v>
      </c>
      <c r="F232">
        <v>14.999635696</v>
      </c>
      <c r="G232">
        <v>1358.4699707</v>
      </c>
      <c r="H232">
        <v>1351.3016356999999</v>
      </c>
      <c r="I232">
        <v>1296.9996338000001</v>
      </c>
      <c r="J232">
        <v>1278.7703856999999</v>
      </c>
      <c r="K232">
        <v>1100</v>
      </c>
      <c r="L232">
        <v>0</v>
      </c>
      <c r="M232">
        <v>0</v>
      </c>
      <c r="N232">
        <v>1100</v>
      </c>
    </row>
    <row r="233" spans="1:14" x14ac:dyDescent="0.25">
      <c r="A233">
        <v>75.371934999999993</v>
      </c>
      <c r="B233" s="1">
        <f>DATE(2010,7,15) + TIME(8,55,35)</f>
        <v>40374.371932870374</v>
      </c>
      <c r="C233">
        <v>80</v>
      </c>
      <c r="D233">
        <v>79.823150635000005</v>
      </c>
      <c r="E233">
        <v>50</v>
      </c>
      <c r="F233">
        <v>14.999724388000001</v>
      </c>
      <c r="G233">
        <v>1358.4276123</v>
      </c>
      <c r="H233">
        <v>1351.2636719</v>
      </c>
      <c r="I233">
        <v>1297.0157471</v>
      </c>
      <c r="J233">
        <v>1278.7841797000001</v>
      </c>
      <c r="K233">
        <v>1100</v>
      </c>
      <c r="L233">
        <v>0</v>
      </c>
      <c r="M233">
        <v>0</v>
      </c>
      <c r="N233">
        <v>1100</v>
      </c>
    </row>
    <row r="234" spans="1:14" x14ac:dyDescent="0.25">
      <c r="A234">
        <v>76.376945000000006</v>
      </c>
      <c r="B234" s="1">
        <f>DATE(2010,7,16) + TIME(9,2,48)</f>
        <v>40375.376944444448</v>
      </c>
      <c r="C234">
        <v>80</v>
      </c>
      <c r="D234">
        <v>79.823341369999994</v>
      </c>
      <c r="E234">
        <v>50</v>
      </c>
      <c r="F234">
        <v>14.999828339</v>
      </c>
      <c r="G234">
        <v>1358.3852539</v>
      </c>
      <c r="H234">
        <v>1351.2258300999999</v>
      </c>
      <c r="I234">
        <v>1297.0322266000001</v>
      </c>
      <c r="J234">
        <v>1278.7980957</v>
      </c>
      <c r="K234">
        <v>1100</v>
      </c>
      <c r="L234">
        <v>0</v>
      </c>
      <c r="M234">
        <v>0</v>
      </c>
      <c r="N234">
        <v>1100</v>
      </c>
    </row>
    <row r="235" spans="1:14" x14ac:dyDescent="0.25">
      <c r="A235">
        <v>77.397070999999997</v>
      </c>
      <c r="B235" s="1">
        <f>DATE(2010,7,17) + TIME(9,31,46)</f>
        <v>40376.397060185183</v>
      </c>
      <c r="C235">
        <v>80</v>
      </c>
      <c r="D235">
        <v>79.823532103999995</v>
      </c>
      <c r="E235">
        <v>50</v>
      </c>
      <c r="F235">
        <v>14.999950409</v>
      </c>
      <c r="G235">
        <v>1358.3427733999999</v>
      </c>
      <c r="H235">
        <v>1351.1877440999999</v>
      </c>
      <c r="I235">
        <v>1297.0491943</v>
      </c>
      <c r="J235">
        <v>1278.8125</v>
      </c>
      <c r="K235">
        <v>1100</v>
      </c>
      <c r="L235">
        <v>0</v>
      </c>
      <c r="M235">
        <v>0</v>
      </c>
      <c r="N235">
        <v>1100</v>
      </c>
    </row>
    <row r="236" spans="1:14" x14ac:dyDescent="0.25">
      <c r="A236">
        <v>77.912576999999999</v>
      </c>
      <c r="B236" s="1">
        <f>DATE(2010,7,17) + TIME(21,54,6)</f>
        <v>40376.912569444445</v>
      </c>
      <c r="C236">
        <v>80</v>
      </c>
      <c r="D236">
        <v>79.823616028000004</v>
      </c>
      <c r="E236">
        <v>50</v>
      </c>
      <c r="F236">
        <v>15.000039101</v>
      </c>
      <c r="G236">
        <v>1358.2998047000001</v>
      </c>
      <c r="H236">
        <v>1351.1492920000001</v>
      </c>
      <c r="I236">
        <v>1297.0662841999999</v>
      </c>
      <c r="J236">
        <v>1278.8269043</v>
      </c>
      <c r="K236">
        <v>1100</v>
      </c>
      <c r="L236">
        <v>0</v>
      </c>
      <c r="M236">
        <v>0</v>
      </c>
      <c r="N236">
        <v>1100</v>
      </c>
    </row>
    <row r="237" spans="1:14" x14ac:dyDescent="0.25">
      <c r="A237">
        <v>78.428083999999998</v>
      </c>
      <c r="B237" s="1">
        <f>DATE(2010,7,18) + TIME(10,16,26)</f>
        <v>40377.428078703706</v>
      </c>
      <c r="C237">
        <v>80</v>
      </c>
      <c r="D237">
        <v>79.823699950999995</v>
      </c>
      <c r="E237">
        <v>50</v>
      </c>
      <c r="F237">
        <v>15.000130652999999</v>
      </c>
      <c r="G237">
        <v>1358.2781981999999</v>
      </c>
      <c r="H237">
        <v>1351.1298827999999</v>
      </c>
      <c r="I237">
        <v>1297.0753173999999</v>
      </c>
      <c r="J237">
        <v>1278.8344727000001</v>
      </c>
      <c r="K237">
        <v>1100</v>
      </c>
      <c r="L237">
        <v>0</v>
      </c>
      <c r="M237">
        <v>0</v>
      </c>
      <c r="N237">
        <v>1100</v>
      </c>
    </row>
    <row r="238" spans="1:14" x14ac:dyDescent="0.25">
      <c r="A238">
        <v>78.94359</v>
      </c>
      <c r="B238" s="1">
        <f>DATE(2010,7,18) + TIME(22,38,46)</f>
        <v>40377.94358796296</v>
      </c>
      <c r="C238">
        <v>80</v>
      </c>
      <c r="D238">
        <v>79.823791503999999</v>
      </c>
      <c r="E238">
        <v>50</v>
      </c>
      <c r="F238">
        <v>15.000226974</v>
      </c>
      <c r="G238">
        <v>1358.2569579999999</v>
      </c>
      <c r="H238">
        <v>1351.1109618999999</v>
      </c>
      <c r="I238">
        <v>1297.0842285000001</v>
      </c>
      <c r="J238">
        <v>1278.8420410000001</v>
      </c>
      <c r="K238">
        <v>1100</v>
      </c>
      <c r="L238">
        <v>0</v>
      </c>
      <c r="M238">
        <v>0</v>
      </c>
      <c r="N238">
        <v>1100</v>
      </c>
    </row>
    <row r="239" spans="1:14" x14ac:dyDescent="0.25">
      <c r="A239">
        <v>79.459097</v>
      </c>
      <c r="B239" s="1">
        <f>DATE(2010,7,19) + TIME(11,1,5)</f>
        <v>40378.459085648145</v>
      </c>
      <c r="C239">
        <v>80</v>
      </c>
      <c r="D239">
        <v>79.823883057000003</v>
      </c>
      <c r="E239">
        <v>50</v>
      </c>
      <c r="F239">
        <v>15.000329970999999</v>
      </c>
      <c r="G239">
        <v>1358.2358397999999</v>
      </c>
      <c r="H239">
        <v>1351.0920410000001</v>
      </c>
      <c r="I239">
        <v>1297.0932617000001</v>
      </c>
      <c r="J239">
        <v>1278.8496094</v>
      </c>
      <c r="K239">
        <v>1100</v>
      </c>
      <c r="L239">
        <v>0</v>
      </c>
      <c r="M239">
        <v>0</v>
      </c>
      <c r="N239">
        <v>1100</v>
      </c>
    </row>
    <row r="240" spans="1:14" x14ac:dyDescent="0.25">
      <c r="A240">
        <v>79.974603000000002</v>
      </c>
      <c r="B240" s="1">
        <f>DATE(2010,7,19) + TIME(23,23,25)</f>
        <v>40378.974594907406</v>
      </c>
      <c r="C240">
        <v>80</v>
      </c>
      <c r="D240">
        <v>79.823982239000003</v>
      </c>
      <c r="E240">
        <v>50</v>
      </c>
      <c r="F240">
        <v>15.000439644</v>
      </c>
      <c r="G240">
        <v>1358.2148437999999</v>
      </c>
      <c r="H240">
        <v>1351.0732422000001</v>
      </c>
      <c r="I240">
        <v>1297.1024170000001</v>
      </c>
      <c r="J240">
        <v>1278.8572998</v>
      </c>
      <c r="K240">
        <v>1100</v>
      </c>
      <c r="L240">
        <v>0</v>
      </c>
      <c r="M240">
        <v>0</v>
      </c>
      <c r="N240">
        <v>1100</v>
      </c>
    </row>
    <row r="241" spans="1:14" x14ac:dyDescent="0.25">
      <c r="A241">
        <v>80.490110000000001</v>
      </c>
      <c r="B241" s="1">
        <f>DATE(2010,7,20) + TIME(11,45,45)</f>
        <v>40379.490104166667</v>
      </c>
      <c r="C241">
        <v>80</v>
      </c>
      <c r="D241">
        <v>79.824073791999993</v>
      </c>
      <c r="E241">
        <v>50</v>
      </c>
      <c r="F241">
        <v>15.000556946</v>
      </c>
      <c r="G241">
        <v>1358.1939697</v>
      </c>
      <c r="H241">
        <v>1351.0545654</v>
      </c>
      <c r="I241">
        <v>1297.1114502</v>
      </c>
      <c r="J241">
        <v>1278.8649902</v>
      </c>
      <c r="K241">
        <v>1100</v>
      </c>
      <c r="L241">
        <v>0</v>
      </c>
      <c r="M241">
        <v>0</v>
      </c>
      <c r="N241">
        <v>1100</v>
      </c>
    </row>
    <row r="242" spans="1:14" x14ac:dyDescent="0.25">
      <c r="A242">
        <v>81.521123000000003</v>
      </c>
      <c r="B242" s="1">
        <f>DATE(2010,7,21) + TIME(12,30,25)</f>
        <v>40380.521122685182</v>
      </c>
      <c r="C242">
        <v>80</v>
      </c>
      <c r="D242">
        <v>79.824295043999996</v>
      </c>
      <c r="E242">
        <v>50</v>
      </c>
      <c r="F242">
        <v>15.000764846999999</v>
      </c>
      <c r="G242">
        <v>1358.1737060999999</v>
      </c>
      <c r="H242">
        <v>1351.0363769999999</v>
      </c>
      <c r="I242">
        <v>1297.1209716999999</v>
      </c>
      <c r="J242">
        <v>1278.8730469</v>
      </c>
      <c r="K242">
        <v>1100</v>
      </c>
      <c r="L242">
        <v>0</v>
      </c>
      <c r="M242">
        <v>0</v>
      </c>
      <c r="N242">
        <v>1100</v>
      </c>
    </row>
    <row r="243" spans="1:14" x14ac:dyDescent="0.25">
      <c r="A243">
        <v>82.552666000000002</v>
      </c>
      <c r="B243" s="1">
        <f>DATE(2010,7,22) + TIME(13,15,50)</f>
        <v>40381.552662037036</v>
      </c>
      <c r="C243">
        <v>80</v>
      </c>
      <c r="D243">
        <v>79.824501037999994</v>
      </c>
      <c r="E243">
        <v>50</v>
      </c>
      <c r="F243">
        <v>15.001019478</v>
      </c>
      <c r="G243">
        <v>1358.1325684000001</v>
      </c>
      <c r="H243">
        <v>1350.9997559000001</v>
      </c>
      <c r="I243">
        <v>1297.1394043</v>
      </c>
      <c r="J243">
        <v>1278.8885498</v>
      </c>
      <c r="K243">
        <v>1100</v>
      </c>
      <c r="L243">
        <v>0</v>
      </c>
      <c r="M243">
        <v>0</v>
      </c>
      <c r="N243">
        <v>1100</v>
      </c>
    </row>
    <row r="244" spans="1:14" x14ac:dyDescent="0.25">
      <c r="A244">
        <v>83.590019999999996</v>
      </c>
      <c r="B244" s="1">
        <f>DATE(2010,7,23) + TIME(14,9,37)</f>
        <v>40382.590011574073</v>
      </c>
      <c r="C244">
        <v>80</v>
      </c>
      <c r="D244">
        <v>79.824707031000003</v>
      </c>
      <c r="E244">
        <v>50</v>
      </c>
      <c r="F244">
        <v>15.001324653999999</v>
      </c>
      <c r="G244">
        <v>1358.0917969</v>
      </c>
      <c r="H244">
        <v>1350.9633789</v>
      </c>
      <c r="I244">
        <v>1297.1580810999999</v>
      </c>
      <c r="J244">
        <v>1278.9042969</v>
      </c>
      <c r="K244">
        <v>1100</v>
      </c>
      <c r="L244">
        <v>0</v>
      </c>
      <c r="M244">
        <v>0</v>
      </c>
      <c r="N244">
        <v>1100</v>
      </c>
    </row>
    <row r="245" spans="1:14" x14ac:dyDescent="0.25">
      <c r="A245">
        <v>84.632075999999998</v>
      </c>
      <c r="B245" s="1">
        <f>DATE(2010,7,24) + TIME(15,10,11)</f>
        <v>40383.632071759261</v>
      </c>
      <c r="C245">
        <v>80</v>
      </c>
      <c r="D245">
        <v>79.824905396000005</v>
      </c>
      <c r="E245">
        <v>50</v>
      </c>
      <c r="F245">
        <v>15.001685143</v>
      </c>
      <c r="G245">
        <v>1358.0511475000001</v>
      </c>
      <c r="H245">
        <v>1350.927124</v>
      </c>
      <c r="I245">
        <v>1297.1772461</v>
      </c>
      <c r="J245">
        <v>1278.9202881000001</v>
      </c>
      <c r="K245">
        <v>1100</v>
      </c>
      <c r="L245">
        <v>0</v>
      </c>
      <c r="M245">
        <v>0</v>
      </c>
      <c r="N245">
        <v>1100</v>
      </c>
    </row>
    <row r="246" spans="1:14" x14ac:dyDescent="0.25">
      <c r="A246">
        <v>85.67868</v>
      </c>
      <c r="B246" s="1">
        <f>DATE(2010,7,25) + TIME(16,17,17)</f>
        <v>40384.678668981483</v>
      </c>
      <c r="C246">
        <v>80</v>
      </c>
      <c r="D246">
        <v>79.825111389</v>
      </c>
      <c r="E246">
        <v>50</v>
      </c>
      <c r="F246">
        <v>15.002106667</v>
      </c>
      <c r="G246">
        <v>1358.0107422000001</v>
      </c>
      <c r="H246">
        <v>1350.8911132999999</v>
      </c>
      <c r="I246">
        <v>1297.1967772999999</v>
      </c>
      <c r="J246">
        <v>1278.9366454999999</v>
      </c>
      <c r="K246">
        <v>1100</v>
      </c>
      <c r="L246">
        <v>0</v>
      </c>
      <c r="M246">
        <v>0</v>
      </c>
      <c r="N246">
        <v>1100</v>
      </c>
    </row>
    <row r="247" spans="1:14" x14ac:dyDescent="0.25">
      <c r="A247">
        <v>86.731549999999999</v>
      </c>
      <c r="B247" s="1">
        <f>DATE(2010,7,26) + TIME(17,33,25)</f>
        <v>40385.731539351851</v>
      </c>
      <c r="C247">
        <v>80</v>
      </c>
      <c r="D247">
        <v>79.825309752999999</v>
      </c>
      <c r="E247">
        <v>50</v>
      </c>
      <c r="F247">
        <v>15.002599716000001</v>
      </c>
      <c r="G247">
        <v>1357.9707031</v>
      </c>
      <c r="H247">
        <v>1350.8552245999999</v>
      </c>
      <c r="I247">
        <v>1297.2165527</v>
      </c>
      <c r="J247">
        <v>1278.9532471</v>
      </c>
      <c r="K247">
        <v>1100</v>
      </c>
      <c r="L247">
        <v>0</v>
      </c>
      <c r="M247">
        <v>0</v>
      </c>
      <c r="N247">
        <v>1100</v>
      </c>
    </row>
    <row r="248" spans="1:14" x14ac:dyDescent="0.25">
      <c r="A248">
        <v>87.792388000000003</v>
      </c>
      <c r="B248" s="1">
        <f>DATE(2010,7,27) + TIME(19,1,2)</f>
        <v>40386.792384259257</v>
      </c>
      <c r="C248">
        <v>80</v>
      </c>
      <c r="D248">
        <v>79.825515746999997</v>
      </c>
      <c r="E248">
        <v>50</v>
      </c>
      <c r="F248">
        <v>15.003173828</v>
      </c>
      <c r="G248">
        <v>1357.9306641000001</v>
      </c>
      <c r="H248">
        <v>1350.8195800999999</v>
      </c>
      <c r="I248">
        <v>1297.2368164</v>
      </c>
      <c r="J248">
        <v>1278.9702147999999</v>
      </c>
      <c r="K248">
        <v>1100</v>
      </c>
      <c r="L248">
        <v>0</v>
      </c>
      <c r="M248">
        <v>0</v>
      </c>
      <c r="N248">
        <v>1100</v>
      </c>
    </row>
    <row r="249" spans="1:14" x14ac:dyDescent="0.25">
      <c r="A249">
        <v>88.862855999999994</v>
      </c>
      <c r="B249" s="1">
        <f>DATE(2010,7,28) + TIME(20,42,30)</f>
        <v>40387.862847222219</v>
      </c>
      <c r="C249">
        <v>80</v>
      </c>
      <c r="D249">
        <v>79.825714110999996</v>
      </c>
      <c r="E249">
        <v>50</v>
      </c>
      <c r="F249">
        <v>15.003842354</v>
      </c>
      <c r="G249">
        <v>1357.8907471</v>
      </c>
      <c r="H249">
        <v>1350.7840576000001</v>
      </c>
      <c r="I249">
        <v>1297.2574463000001</v>
      </c>
      <c r="J249">
        <v>1278.9875488</v>
      </c>
      <c r="K249">
        <v>1100</v>
      </c>
      <c r="L249">
        <v>0</v>
      </c>
      <c r="M249">
        <v>0</v>
      </c>
      <c r="N249">
        <v>1100</v>
      </c>
    </row>
    <row r="250" spans="1:14" x14ac:dyDescent="0.25">
      <c r="A250">
        <v>89.944678999999994</v>
      </c>
      <c r="B250" s="1">
        <f>DATE(2010,7,29) + TIME(22,40,20)</f>
        <v>40388.944675925923</v>
      </c>
      <c r="C250">
        <v>80</v>
      </c>
      <c r="D250">
        <v>79.825927734000004</v>
      </c>
      <c r="E250">
        <v>50</v>
      </c>
      <c r="F250">
        <v>15.004620552</v>
      </c>
      <c r="G250">
        <v>1357.8509521000001</v>
      </c>
      <c r="H250">
        <v>1350.7485352000001</v>
      </c>
      <c r="I250">
        <v>1297.2786865</v>
      </c>
      <c r="J250">
        <v>1279.0053711</v>
      </c>
      <c r="K250">
        <v>1100</v>
      </c>
      <c r="L250">
        <v>0</v>
      </c>
      <c r="M250">
        <v>0</v>
      </c>
      <c r="N250">
        <v>1100</v>
      </c>
    </row>
    <row r="251" spans="1:14" x14ac:dyDescent="0.25">
      <c r="A251">
        <v>91.039653000000001</v>
      </c>
      <c r="B251" s="1">
        <f>DATE(2010,7,31) + TIME(0,57,6)</f>
        <v>40390.039652777778</v>
      </c>
      <c r="C251">
        <v>80</v>
      </c>
      <c r="D251">
        <v>79.826133728000002</v>
      </c>
      <c r="E251">
        <v>50</v>
      </c>
      <c r="F251">
        <v>15.005526543</v>
      </c>
      <c r="G251">
        <v>1357.8110352000001</v>
      </c>
      <c r="H251">
        <v>1350.7130127</v>
      </c>
      <c r="I251">
        <v>1297.3005370999999</v>
      </c>
      <c r="J251">
        <v>1279.0235596</v>
      </c>
      <c r="K251">
        <v>1100</v>
      </c>
      <c r="L251">
        <v>0</v>
      </c>
      <c r="M251">
        <v>0</v>
      </c>
      <c r="N251">
        <v>1100</v>
      </c>
    </row>
    <row r="252" spans="1:14" x14ac:dyDescent="0.25">
      <c r="A252">
        <v>92</v>
      </c>
      <c r="B252" s="1">
        <f>DATE(2010,8,1) + TIME(0,0,0)</f>
        <v>40391</v>
      </c>
      <c r="C252">
        <v>80</v>
      </c>
      <c r="D252">
        <v>79.826309203999998</v>
      </c>
      <c r="E252">
        <v>50</v>
      </c>
      <c r="F252">
        <v>15.006487846000001</v>
      </c>
      <c r="G252">
        <v>1357.7709961</v>
      </c>
      <c r="H252">
        <v>1350.6772461</v>
      </c>
      <c r="I252">
        <v>1297.322876</v>
      </c>
      <c r="J252">
        <v>1279.0422363</v>
      </c>
      <c r="K252">
        <v>1100</v>
      </c>
      <c r="L252">
        <v>0</v>
      </c>
      <c r="M252">
        <v>0</v>
      </c>
      <c r="N252">
        <v>1100</v>
      </c>
    </row>
    <row r="253" spans="1:14" x14ac:dyDescent="0.25">
      <c r="A253">
        <v>93.110033999999999</v>
      </c>
      <c r="B253" s="1">
        <f>DATE(2010,8,2) + TIME(2,38,26)</f>
        <v>40392.110023148147</v>
      </c>
      <c r="C253">
        <v>80</v>
      </c>
      <c r="D253">
        <v>79.826522827000005</v>
      </c>
      <c r="E253">
        <v>50</v>
      </c>
      <c r="F253">
        <v>15.007669449</v>
      </c>
      <c r="G253">
        <v>1357.7363281</v>
      </c>
      <c r="H253">
        <v>1350.6463623</v>
      </c>
      <c r="I253">
        <v>1297.3428954999999</v>
      </c>
      <c r="J253">
        <v>1279.0589600000001</v>
      </c>
      <c r="K253">
        <v>1100</v>
      </c>
      <c r="L253">
        <v>0</v>
      </c>
      <c r="M253">
        <v>0</v>
      </c>
      <c r="N253">
        <v>1100</v>
      </c>
    </row>
    <row r="254" spans="1:14" x14ac:dyDescent="0.25">
      <c r="A254">
        <v>93.669355999999993</v>
      </c>
      <c r="B254" s="1">
        <f>DATE(2010,8,2) + TIME(16,3,52)</f>
        <v>40392.669351851851</v>
      </c>
      <c r="C254">
        <v>80</v>
      </c>
      <c r="D254">
        <v>79.826614379999995</v>
      </c>
      <c r="E254">
        <v>50</v>
      </c>
      <c r="F254">
        <v>15.008514404</v>
      </c>
      <c r="G254">
        <v>1357.6961670000001</v>
      </c>
      <c r="H254">
        <v>1350.6104736</v>
      </c>
      <c r="I254">
        <v>1297.3662108999999</v>
      </c>
      <c r="J254">
        <v>1279.0782471</v>
      </c>
      <c r="K254">
        <v>1100</v>
      </c>
      <c r="L254">
        <v>0</v>
      </c>
      <c r="M254">
        <v>0</v>
      </c>
      <c r="N254">
        <v>1100</v>
      </c>
    </row>
    <row r="255" spans="1:14" x14ac:dyDescent="0.25">
      <c r="A255">
        <v>94.228678000000002</v>
      </c>
      <c r="B255" s="1">
        <f>DATE(2010,8,3) + TIME(5,29,17)</f>
        <v>40393.228668981479</v>
      </c>
      <c r="C255">
        <v>80</v>
      </c>
      <c r="D255">
        <v>79.826713561999995</v>
      </c>
      <c r="E255">
        <v>50</v>
      </c>
      <c r="F255">
        <v>15.009388924</v>
      </c>
      <c r="G255">
        <v>1357.6760254000001</v>
      </c>
      <c r="H255">
        <v>1350.5925293</v>
      </c>
      <c r="I255">
        <v>1297.3782959</v>
      </c>
      <c r="J255">
        <v>1279.0883789</v>
      </c>
      <c r="K255">
        <v>1100</v>
      </c>
      <c r="L255">
        <v>0</v>
      </c>
      <c r="M255">
        <v>0</v>
      </c>
      <c r="N255">
        <v>1100</v>
      </c>
    </row>
    <row r="256" spans="1:14" x14ac:dyDescent="0.25">
      <c r="A256">
        <v>94.787999999999997</v>
      </c>
      <c r="B256" s="1">
        <f>DATE(2010,8,3) + TIME(18,54,43)</f>
        <v>40393.787997685184</v>
      </c>
      <c r="C256">
        <v>80</v>
      </c>
      <c r="D256">
        <v>79.826812743999994</v>
      </c>
      <c r="E256">
        <v>50</v>
      </c>
      <c r="F256">
        <v>15.010302544</v>
      </c>
      <c r="G256">
        <v>1357.6561279</v>
      </c>
      <c r="H256">
        <v>1350.5748291</v>
      </c>
      <c r="I256">
        <v>1297.3905029</v>
      </c>
      <c r="J256">
        <v>1279.0985106999999</v>
      </c>
      <c r="K256">
        <v>1100</v>
      </c>
      <c r="L256">
        <v>0</v>
      </c>
      <c r="M256">
        <v>0</v>
      </c>
      <c r="N256">
        <v>1100</v>
      </c>
    </row>
    <row r="257" spans="1:14" x14ac:dyDescent="0.25">
      <c r="A257">
        <v>95.347322000000005</v>
      </c>
      <c r="B257" s="1">
        <f>DATE(2010,8,4) + TIME(8,20,8)</f>
        <v>40394.347314814811</v>
      </c>
      <c r="C257">
        <v>80</v>
      </c>
      <c r="D257">
        <v>79.826919556000007</v>
      </c>
      <c r="E257">
        <v>50</v>
      </c>
      <c r="F257">
        <v>15.011262894</v>
      </c>
      <c r="G257">
        <v>1357.6363524999999</v>
      </c>
      <c r="H257">
        <v>1350.5571289</v>
      </c>
      <c r="I257">
        <v>1297.4027100000001</v>
      </c>
      <c r="J257">
        <v>1279.1087646000001</v>
      </c>
      <c r="K257">
        <v>1100</v>
      </c>
      <c r="L257">
        <v>0</v>
      </c>
      <c r="M257">
        <v>0</v>
      </c>
      <c r="N257">
        <v>1100</v>
      </c>
    </row>
    <row r="258" spans="1:14" x14ac:dyDescent="0.25">
      <c r="A258">
        <v>95.906644</v>
      </c>
      <c r="B258" s="1">
        <f>DATE(2010,8,4) + TIME(21,45,34)</f>
        <v>40394.906643518516</v>
      </c>
      <c r="C258">
        <v>80</v>
      </c>
      <c r="D258">
        <v>79.827018738000007</v>
      </c>
      <c r="E258">
        <v>50</v>
      </c>
      <c r="F258">
        <v>15.012278557</v>
      </c>
      <c r="G258">
        <v>1357.6166992000001</v>
      </c>
      <c r="H258">
        <v>1350.5395507999999</v>
      </c>
      <c r="I258">
        <v>1297.4150391000001</v>
      </c>
      <c r="J258">
        <v>1279.1191406</v>
      </c>
      <c r="K258">
        <v>1100</v>
      </c>
      <c r="L258">
        <v>0</v>
      </c>
      <c r="M258">
        <v>0</v>
      </c>
      <c r="N258">
        <v>1100</v>
      </c>
    </row>
    <row r="259" spans="1:14" x14ac:dyDescent="0.25">
      <c r="A259">
        <v>96.465965999999995</v>
      </c>
      <c r="B259" s="1">
        <f>DATE(2010,8,5) + TIME(11,10,59)</f>
        <v>40395.465960648151</v>
      </c>
      <c r="C259">
        <v>80</v>
      </c>
      <c r="D259">
        <v>79.827125549000002</v>
      </c>
      <c r="E259">
        <v>50</v>
      </c>
      <c r="F259">
        <v>15.013355255</v>
      </c>
      <c r="G259">
        <v>1357.597168</v>
      </c>
      <c r="H259">
        <v>1350.5220947</v>
      </c>
      <c r="I259">
        <v>1297.4274902</v>
      </c>
      <c r="J259">
        <v>1279.1296387</v>
      </c>
      <c r="K259">
        <v>1100</v>
      </c>
      <c r="L259">
        <v>0</v>
      </c>
      <c r="M259">
        <v>0</v>
      </c>
      <c r="N259">
        <v>1100</v>
      </c>
    </row>
    <row r="260" spans="1:14" x14ac:dyDescent="0.25">
      <c r="A260">
        <v>97.025288000000003</v>
      </c>
      <c r="B260" s="1">
        <f>DATE(2010,8,6) + TIME(0,36,24)</f>
        <v>40396.025277777779</v>
      </c>
      <c r="C260">
        <v>80</v>
      </c>
      <c r="D260">
        <v>79.827232361</v>
      </c>
      <c r="E260">
        <v>50</v>
      </c>
      <c r="F260">
        <v>15.014498711</v>
      </c>
      <c r="G260">
        <v>1357.5776367000001</v>
      </c>
      <c r="H260">
        <v>1350.5047606999999</v>
      </c>
      <c r="I260">
        <v>1297.4400635</v>
      </c>
      <c r="J260">
        <v>1279.1401367000001</v>
      </c>
      <c r="K260">
        <v>1100</v>
      </c>
      <c r="L260">
        <v>0</v>
      </c>
      <c r="M260">
        <v>0</v>
      </c>
      <c r="N260">
        <v>1100</v>
      </c>
    </row>
    <row r="261" spans="1:14" x14ac:dyDescent="0.25">
      <c r="A261">
        <v>97.584609999999998</v>
      </c>
      <c r="B261" s="1">
        <f>DATE(2010,8,6) + TIME(14,1,50)</f>
        <v>40396.584606481483</v>
      </c>
      <c r="C261">
        <v>80</v>
      </c>
      <c r="D261">
        <v>79.827339171999995</v>
      </c>
      <c r="E261">
        <v>50</v>
      </c>
      <c r="F261">
        <v>15.015715599</v>
      </c>
      <c r="G261">
        <v>1357.5582274999999</v>
      </c>
      <c r="H261">
        <v>1350.4874268000001</v>
      </c>
      <c r="I261">
        <v>1297.4528809000001</v>
      </c>
      <c r="J261">
        <v>1279.1507568</v>
      </c>
      <c r="K261">
        <v>1100</v>
      </c>
      <c r="L261">
        <v>0</v>
      </c>
      <c r="M261">
        <v>0</v>
      </c>
      <c r="N261">
        <v>1100</v>
      </c>
    </row>
    <row r="262" spans="1:14" x14ac:dyDescent="0.25">
      <c r="A262">
        <v>98.143932000000007</v>
      </c>
      <c r="B262" s="1">
        <f>DATE(2010,8,7) + TIME(3,27,15)</f>
        <v>40397.143923611111</v>
      </c>
      <c r="C262">
        <v>80</v>
      </c>
      <c r="D262">
        <v>79.827445983999993</v>
      </c>
      <c r="E262">
        <v>50</v>
      </c>
      <c r="F262">
        <v>15.017012596000001</v>
      </c>
      <c r="G262">
        <v>1357.5389404</v>
      </c>
      <c r="H262">
        <v>1350.4702147999999</v>
      </c>
      <c r="I262">
        <v>1297.4656981999999</v>
      </c>
      <c r="J262">
        <v>1279.1616211</v>
      </c>
      <c r="K262">
        <v>1100</v>
      </c>
      <c r="L262">
        <v>0</v>
      </c>
      <c r="M262">
        <v>0</v>
      </c>
      <c r="N262">
        <v>1100</v>
      </c>
    </row>
    <row r="263" spans="1:14" x14ac:dyDescent="0.25">
      <c r="A263">
        <v>98.703254000000001</v>
      </c>
      <c r="B263" s="1">
        <f>DATE(2010,8,7) + TIME(16,52,41)</f>
        <v>40397.703252314815</v>
      </c>
      <c r="C263">
        <v>80</v>
      </c>
      <c r="D263">
        <v>79.827545165999993</v>
      </c>
      <c r="E263">
        <v>50</v>
      </c>
      <c r="F263">
        <v>15.018395423999999</v>
      </c>
      <c r="G263">
        <v>1357.5196533000001</v>
      </c>
      <c r="H263">
        <v>1350.4530029</v>
      </c>
      <c r="I263">
        <v>1297.4786377</v>
      </c>
      <c r="J263">
        <v>1279.1724853999999</v>
      </c>
      <c r="K263">
        <v>1100</v>
      </c>
      <c r="L263">
        <v>0</v>
      </c>
      <c r="M263">
        <v>0</v>
      </c>
      <c r="N263">
        <v>1100</v>
      </c>
    </row>
    <row r="264" spans="1:14" x14ac:dyDescent="0.25">
      <c r="A264">
        <v>99.262575999999996</v>
      </c>
      <c r="B264" s="1">
        <f>DATE(2010,8,8) + TIME(6,18,6)</f>
        <v>40398.262569444443</v>
      </c>
      <c r="C264">
        <v>80</v>
      </c>
      <c r="D264">
        <v>79.827651978000006</v>
      </c>
      <c r="E264">
        <v>50</v>
      </c>
      <c r="F264">
        <v>15.019868851</v>
      </c>
      <c r="G264">
        <v>1357.5004882999999</v>
      </c>
      <c r="H264">
        <v>1350.4359131000001</v>
      </c>
      <c r="I264">
        <v>1297.4916992000001</v>
      </c>
      <c r="J264">
        <v>1279.1834716999999</v>
      </c>
      <c r="K264">
        <v>1100</v>
      </c>
      <c r="L264">
        <v>0</v>
      </c>
      <c r="M264">
        <v>0</v>
      </c>
      <c r="N264">
        <v>1100</v>
      </c>
    </row>
    <row r="265" spans="1:14" x14ac:dyDescent="0.25">
      <c r="A265">
        <v>99.821898000000004</v>
      </c>
      <c r="B265" s="1">
        <f>DATE(2010,8,8) + TIME(19,43,32)</f>
        <v>40398.821898148148</v>
      </c>
      <c r="C265">
        <v>80</v>
      </c>
      <c r="D265">
        <v>79.827766417999996</v>
      </c>
      <c r="E265">
        <v>50</v>
      </c>
      <c r="F265">
        <v>15.021440505999999</v>
      </c>
      <c r="G265">
        <v>1357.4814452999999</v>
      </c>
      <c r="H265">
        <v>1350.4189452999999</v>
      </c>
      <c r="I265">
        <v>1297.5048827999999</v>
      </c>
      <c r="J265">
        <v>1279.1945800999999</v>
      </c>
      <c r="K265">
        <v>1100</v>
      </c>
      <c r="L265">
        <v>0</v>
      </c>
      <c r="M265">
        <v>0</v>
      </c>
      <c r="N265">
        <v>1100</v>
      </c>
    </row>
    <row r="266" spans="1:14" x14ac:dyDescent="0.25">
      <c r="A266">
        <v>100.38122</v>
      </c>
      <c r="B266" s="1">
        <f>DATE(2010,8,9) + TIME(9,8,57)</f>
        <v>40399.381215277775</v>
      </c>
      <c r="C266">
        <v>80</v>
      </c>
      <c r="D266">
        <v>79.827873229999994</v>
      </c>
      <c r="E266">
        <v>50</v>
      </c>
      <c r="F266">
        <v>15.023116112</v>
      </c>
      <c r="G266">
        <v>1357.4624022999999</v>
      </c>
      <c r="H266">
        <v>1350.4019774999999</v>
      </c>
      <c r="I266">
        <v>1297.5183105000001</v>
      </c>
      <c r="J266">
        <v>1279.2058105000001</v>
      </c>
      <c r="K266">
        <v>1100</v>
      </c>
      <c r="L266">
        <v>0</v>
      </c>
      <c r="M266">
        <v>0</v>
      </c>
      <c r="N266">
        <v>1100</v>
      </c>
    </row>
    <row r="267" spans="1:14" x14ac:dyDescent="0.25">
      <c r="A267">
        <v>100.94054199999999</v>
      </c>
      <c r="B267" s="1">
        <f>DATE(2010,8,9) + TIME(22,34,22)</f>
        <v>40399.940532407411</v>
      </c>
      <c r="C267">
        <v>80</v>
      </c>
      <c r="D267">
        <v>79.827980041999993</v>
      </c>
      <c r="E267">
        <v>50</v>
      </c>
      <c r="F267">
        <v>15.024902343999999</v>
      </c>
      <c r="G267">
        <v>1357.4434814000001</v>
      </c>
      <c r="H267">
        <v>1350.3850098</v>
      </c>
      <c r="I267">
        <v>1297.5317382999999</v>
      </c>
      <c r="J267">
        <v>1279.2170410000001</v>
      </c>
      <c r="K267">
        <v>1100</v>
      </c>
      <c r="L267">
        <v>0</v>
      </c>
      <c r="M267">
        <v>0</v>
      </c>
      <c r="N267">
        <v>1100</v>
      </c>
    </row>
    <row r="268" spans="1:14" x14ac:dyDescent="0.25">
      <c r="A268">
        <v>102.05918699999999</v>
      </c>
      <c r="B268" s="1">
        <f>DATE(2010,8,11) + TIME(1,25,13)</f>
        <v>40401.059178240743</v>
      </c>
      <c r="C268">
        <v>80</v>
      </c>
      <c r="D268">
        <v>79.828216553000004</v>
      </c>
      <c r="E268">
        <v>50</v>
      </c>
      <c r="F268">
        <v>15.028001785000001</v>
      </c>
      <c r="G268">
        <v>1357.4250488</v>
      </c>
      <c r="H268">
        <v>1350.3686522999999</v>
      </c>
      <c r="I268">
        <v>1297.5452881000001</v>
      </c>
      <c r="J268">
        <v>1279.2290039</v>
      </c>
      <c r="K268">
        <v>1100</v>
      </c>
      <c r="L268">
        <v>0</v>
      </c>
      <c r="M268">
        <v>0</v>
      </c>
      <c r="N268">
        <v>1100</v>
      </c>
    </row>
    <row r="269" spans="1:14" x14ac:dyDescent="0.25">
      <c r="A269">
        <v>103.179727</v>
      </c>
      <c r="B269" s="1">
        <f>DATE(2010,8,12) + TIME(4,18,48)</f>
        <v>40402.179722222223</v>
      </c>
      <c r="C269">
        <v>80</v>
      </c>
      <c r="D269">
        <v>79.828437804999993</v>
      </c>
      <c r="E269">
        <v>50</v>
      </c>
      <c r="F269">
        <v>15.03177166</v>
      </c>
      <c r="G269">
        <v>1357.3878173999999</v>
      </c>
      <c r="H269">
        <v>1350.3354492000001</v>
      </c>
      <c r="I269">
        <v>1297.5727539</v>
      </c>
      <c r="J269">
        <v>1279.2520752</v>
      </c>
      <c r="K269">
        <v>1100</v>
      </c>
      <c r="L269">
        <v>0</v>
      </c>
      <c r="M269">
        <v>0</v>
      </c>
      <c r="N269">
        <v>1100</v>
      </c>
    </row>
    <row r="270" spans="1:14" x14ac:dyDescent="0.25">
      <c r="A270">
        <v>104.312281</v>
      </c>
      <c r="B270" s="1">
        <f>DATE(2010,8,13) + TIME(7,29,41)</f>
        <v>40403.312280092592</v>
      </c>
      <c r="C270">
        <v>80</v>
      </c>
      <c r="D270">
        <v>79.828666686999995</v>
      </c>
      <c r="E270">
        <v>50</v>
      </c>
      <c r="F270">
        <v>15.036222457999999</v>
      </c>
      <c r="G270">
        <v>1357.3505858999999</v>
      </c>
      <c r="H270">
        <v>1350.3022461</v>
      </c>
      <c r="I270">
        <v>1297.6009521000001</v>
      </c>
      <c r="J270">
        <v>1279.2757568</v>
      </c>
      <c r="K270">
        <v>1100</v>
      </c>
      <c r="L270">
        <v>0</v>
      </c>
      <c r="M270">
        <v>0</v>
      </c>
      <c r="N270">
        <v>1100</v>
      </c>
    </row>
    <row r="271" spans="1:14" x14ac:dyDescent="0.25">
      <c r="A271">
        <v>105.45859400000001</v>
      </c>
      <c r="B271" s="1">
        <f>DATE(2010,8,14) + TIME(11,0,22)</f>
        <v>40404.458587962959</v>
      </c>
      <c r="C271">
        <v>80</v>
      </c>
      <c r="D271">
        <v>79.828887938999998</v>
      </c>
      <c r="E271">
        <v>50</v>
      </c>
      <c r="F271">
        <v>15.041399002</v>
      </c>
      <c r="G271">
        <v>1357.3133545000001</v>
      </c>
      <c r="H271">
        <v>1350.269043</v>
      </c>
      <c r="I271">
        <v>1297.6298827999999</v>
      </c>
      <c r="J271">
        <v>1279.300293</v>
      </c>
      <c r="K271">
        <v>1100</v>
      </c>
      <c r="L271">
        <v>0</v>
      </c>
      <c r="M271">
        <v>0</v>
      </c>
      <c r="N271">
        <v>1100</v>
      </c>
    </row>
    <row r="272" spans="1:14" x14ac:dyDescent="0.25">
      <c r="A272">
        <v>106.620543</v>
      </c>
      <c r="B272" s="1">
        <f>DATE(2010,8,15) + TIME(14,53,34)</f>
        <v>40405.620532407411</v>
      </c>
      <c r="C272">
        <v>80</v>
      </c>
      <c r="D272">
        <v>79.829109192000004</v>
      </c>
      <c r="E272">
        <v>50</v>
      </c>
      <c r="F272">
        <v>15.047371864</v>
      </c>
      <c r="G272">
        <v>1357.2758789</v>
      </c>
      <c r="H272">
        <v>1350.2355957</v>
      </c>
      <c r="I272">
        <v>1297.6599120999999</v>
      </c>
      <c r="J272">
        <v>1279.3258057</v>
      </c>
      <c r="K272">
        <v>1100</v>
      </c>
      <c r="L272">
        <v>0</v>
      </c>
      <c r="M272">
        <v>0</v>
      </c>
      <c r="N272">
        <v>1100</v>
      </c>
    </row>
    <row r="273" spans="1:14" x14ac:dyDescent="0.25">
      <c r="A273">
        <v>107.800254</v>
      </c>
      <c r="B273" s="1">
        <f>DATE(2010,8,16) + TIME(19,12,21)</f>
        <v>40406.800243055557</v>
      </c>
      <c r="C273">
        <v>80</v>
      </c>
      <c r="D273">
        <v>79.829338074000006</v>
      </c>
      <c r="E273">
        <v>50</v>
      </c>
      <c r="F273">
        <v>15.054239273</v>
      </c>
      <c r="G273">
        <v>1357.2381591999999</v>
      </c>
      <c r="H273">
        <v>1350.2020264</v>
      </c>
      <c r="I273">
        <v>1297.690918</v>
      </c>
      <c r="J273">
        <v>1279.3522949000001</v>
      </c>
      <c r="K273">
        <v>1100</v>
      </c>
      <c r="L273">
        <v>0</v>
      </c>
      <c r="M273">
        <v>0</v>
      </c>
      <c r="N273">
        <v>1100</v>
      </c>
    </row>
    <row r="274" spans="1:14" x14ac:dyDescent="0.25">
      <c r="A274">
        <v>108.39321200000001</v>
      </c>
      <c r="B274" s="1">
        <f>DATE(2010,8,17) + TIME(9,26,13)</f>
        <v>40407.393206018518</v>
      </c>
      <c r="C274">
        <v>80</v>
      </c>
      <c r="D274">
        <v>79.829437256000006</v>
      </c>
      <c r="E274">
        <v>50</v>
      </c>
      <c r="F274">
        <v>15.059090614</v>
      </c>
      <c r="G274">
        <v>1357.1999512</v>
      </c>
      <c r="H274">
        <v>1350.1678466999999</v>
      </c>
      <c r="I274">
        <v>1297.7235106999999</v>
      </c>
      <c r="J274">
        <v>1279.3792725000001</v>
      </c>
      <c r="K274">
        <v>1100</v>
      </c>
      <c r="L274">
        <v>0</v>
      </c>
      <c r="M274">
        <v>0</v>
      </c>
      <c r="N274">
        <v>1100</v>
      </c>
    </row>
    <row r="275" spans="1:14" x14ac:dyDescent="0.25">
      <c r="A275">
        <v>108.986171</v>
      </c>
      <c r="B275" s="1">
        <f>DATE(2010,8,17) + TIME(23,40,5)</f>
        <v>40407.986168981479</v>
      </c>
      <c r="C275">
        <v>80</v>
      </c>
      <c r="D275">
        <v>79.829536438000005</v>
      </c>
      <c r="E275">
        <v>50</v>
      </c>
      <c r="F275">
        <v>15.064039230000001</v>
      </c>
      <c r="G275">
        <v>1357.1806641000001</v>
      </c>
      <c r="H275">
        <v>1350.1507568</v>
      </c>
      <c r="I275">
        <v>1297.7401123</v>
      </c>
      <c r="J275">
        <v>1279.3937988</v>
      </c>
      <c r="K275">
        <v>1100</v>
      </c>
      <c r="L275">
        <v>0</v>
      </c>
      <c r="M275">
        <v>0</v>
      </c>
      <c r="N275">
        <v>1100</v>
      </c>
    </row>
    <row r="276" spans="1:14" x14ac:dyDescent="0.25">
      <c r="A276">
        <v>109.57912899999999</v>
      </c>
      <c r="B276" s="1">
        <f>DATE(2010,8,18) + TIME(13,53,56)</f>
        <v>40408.57912037037</v>
      </c>
      <c r="C276">
        <v>80</v>
      </c>
      <c r="D276">
        <v>79.829643250000004</v>
      </c>
      <c r="E276">
        <v>50</v>
      </c>
      <c r="F276">
        <v>15.069139481000001</v>
      </c>
      <c r="G276">
        <v>1357.1617432</v>
      </c>
      <c r="H276">
        <v>1350.1337891000001</v>
      </c>
      <c r="I276">
        <v>1297.7568358999999</v>
      </c>
      <c r="J276">
        <v>1279.4083252</v>
      </c>
      <c r="K276">
        <v>1100</v>
      </c>
      <c r="L276">
        <v>0</v>
      </c>
      <c r="M276">
        <v>0</v>
      </c>
      <c r="N276">
        <v>1100</v>
      </c>
    </row>
    <row r="277" spans="1:14" x14ac:dyDescent="0.25">
      <c r="A277">
        <v>110.172088</v>
      </c>
      <c r="B277" s="1">
        <f>DATE(2010,8,19) + TIME(4,7,48)</f>
        <v>40409.172083333331</v>
      </c>
      <c r="C277">
        <v>80</v>
      </c>
      <c r="D277">
        <v>79.829757689999994</v>
      </c>
      <c r="E277">
        <v>50</v>
      </c>
      <c r="F277">
        <v>15.074438095</v>
      </c>
      <c r="G277">
        <v>1357.1429443</v>
      </c>
      <c r="H277">
        <v>1350.1169434000001</v>
      </c>
      <c r="I277">
        <v>1297.7738036999999</v>
      </c>
      <c r="J277">
        <v>1279.4232178</v>
      </c>
      <c r="K277">
        <v>1100</v>
      </c>
      <c r="L277">
        <v>0</v>
      </c>
      <c r="M277">
        <v>0</v>
      </c>
      <c r="N277">
        <v>1100</v>
      </c>
    </row>
    <row r="278" spans="1:14" x14ac:dyDescent="0.25">
      <c r="A278">
        <v>110.765046</v>
      </c>
      <c r="B278" s="1">
        <f>DATE(2010,8,19) + TIME(18,21,40)</f>
        <v>40409.765046296299</v>
      </c>
      <c r="C278">
        <v>80</v>
      </c>
      <c r="D278">
        <v>79.829864502000007</v>
      </c>
      <c r="E278">
        <v>50</v>
      </c>
      <c r="F278">
        <v>15.079972267</v>
      </c>
      <c r="G278">
        <v>1357.1241454999999</v>
      </c>
      <c r="H278">
        <v>1350.1000977000001</v>
      </c>
      <c r="I278">
        <v>1297.7910156</v>
      </c>
      <c r="J278">
        <v>1279.4382324000001</v>
      </c>
      <c r="K278">
        <v>1100</v>
      </c>
      <c r="L278">
        <v>0</v>
      </c>
      <c r="M278">
        <v>0</v>
      </c>
      <c r="N278">
        <v>1100</v>
      </c>
    </row>
    <row r="279" spans="1:14" x14ac:dyDescent="0.25">
      <c r="A279">
        <v>111.35800500000001</v>
      </c>
      <c r="B279" s="1">
        <f>DATE(2010,8,20) + TIME(8,35,31)</f>
        <v>40410.357997685183</v>
      </c>
      <c r="C279">
        <v>80</v>
      </c>
      <c r="D279">
        <v>79.829978943</v>
      </c>
      <c r="E279">
        <v>50</v>
      </c>
      <c r="F279">
        <v>15.085775375000001</v>
      </c>
      <c r="G279">
        <v>1357.1054687999999</v>
      </c>
      <c r="H279">
        <v>1350.083374</v>
      </c>
      <c r="I279">
        <v>1297.8083495999999</v>
      </c>
      <c r="J279">
        <v>1279.4533690999999</v>
      </c>
      <c r="K279">
        <v>1100</v>
      </c>
      <c r="L279">
        <v>0</v>
      </c>
      <c r="M279">
        <v>0</v>
      </c>
      <c r="N279">
        <v>1100</v>
      </c>
    </row>
    <row r="280" spans="1:14" x14ac:dyDescent="0.25">
      <c r="A280">
        <v>111.950963</v>
      </c>
      <c r="B280" s="1">
        <f>DATE(2010,8,20) + TIME(22,49,23)</f>
        <v>40410.950960648152</v>
      </c>
      <c r="C280">
        <v>80</v>
      </c>
      <c r="D280">
        <v>79.830085753999995</v>
      </c>
      <c r="E280">
        <v>50</v>
      </c>
      <c r="F280">
        <v>15.091878891</v>
      </c>
      <c r="G280">
        <v>1357.0867920000001</v>
      </c>
      <c r="H280">
        <v>1350.0666504000001</v>
      </c>
      <c r="I280">
        <v>1297.8260498</v>
      </c>
      <c r="J280">
        <v>1279.4688721</v>
      </c>
      <c r="K280">
        <v>1100</v>
      </c>
      <c r="L280">
        <v>0</v>
      </c>
      <c r="M280">
        <v>0</v>
      </c>
      <c r="N280">
        <v>1100</v>
      </c>
    </row>
    <row r="281" spans="1:14" x14ac:dyDescent="0.25">
      <c r="A281">
        <v>112.54392199999999</v>
      </c>
      <c r="B281" s="1">
        <f>DATE(2010,8,21) + TIME(13,3,14)</f>
        <v>40411.543912037036</v>
      </c>
      <c r="C281">
        <v>80</v>
      </c>
      <c r="D281">
        <v>79.830200195000003</v>
      </c>
      <c r="E281">
        <v>50</v>
      </c>
      <c r="F281">
        <v>15.098308563</v>
      </c>
      <c r="G281">
        <v>1357.0681152</v>
      </c>
      <c r="H281">
        <v>1350.0500488</v>
      </c>
      <c r="I281">
        <v>1297.8438721</v>
      </c>
      <c r="J281">
        <v>1279.4846190999999</v>
      </c>
      <c r="K281">
        <v>1100</v>
      </c>
      <c r="L281">
        <v>0</v>
      </c>
      <c r="M281">
        <v>0</v>
      </c>
      <c r="N281">
        <v>1100</v>
      </c>
    </row>
    <row r="282" spans="1:14" x14ac:dyDescent="0.25">
      <c r="A282">
        <v>113.13688</v>
      </c>
      <c r="B282" s="1">
        <f>DATE(2010,8,22) + TIME(3,17,6)</f>
        <v>40412.136874999997</v>
      </c>
      <c r="C282">
        <v>80</v>
      </c>
      <c r="D282">
        <v>79.830314635999997</v>
      </c>
      <c r="E282">
        <v>50</v>
      </c>
      <c r="F282">
        <v>15.105093002</v>
      </c>
      <c r="G282">
        <v>1357.0496826000001</v>
      </c>
      <c r="H282">
        <v>1350.0334473</v>
      </c>
      <c r="I282">
        <v>1297.8619385</v>
      </c>
      <c r="J282">
        <v>1279.5006103999999</v>
      </c>
      <c r="K282">
        <v>1100</v>
      </c>
      <c r="L282">
        <v>0</v>
      </c>
      <c r="M282">
        <v>0</v>
      </c>
      <c r="N282">
        <v>1100</v>
      </c>
    </row>
    <row r="283" spans="1:14" x14ac:dyDescent="0.25">
      <c r="A283">
        <v>113.729839</v>
      </c>
      <c r="B283" s="1">
        <f>DATE(2010,8,22) + TIME(17,30,58)</f>
        <v>40412.729837962965</v>
      </c>
      <c r="C283">
        <v>80</v>
      </c>
      <c r="D283">
        <v>79.830429077000005</v>
      </c>
      <c r="E283">
        <v>50</v>
      </c>
      <c r="F283">
        <v>15.112254142999999</v>
      </c>
      <c r="G283">
        <v>1357.0311279</v>
      </c>
      <c r="H283">
        <v>1350.0169678</v>
      </c>
      <c r="I283">
        <v>1297.8801269999999</v>
      </c>
      <c r="J283">
        <v>1279.5168457</v>
      </c>
      <c r="K283">
        <v>1100</v>
      </c>
      <c r="L283">
        <v>0</v>
      </c>
      <c r="M283">
        <v>0</v>
      </c>
      <c r="N283">
        <v>1100</v>
      </c>
    </row>
    <row r="284" spans="1:14" x14ac:dyDescent="0.25">
      <c r="A284">
        <v>114.32279699999999</v>
      </c>
      <c r="B284" s="1">
        <f>DATE(2010,8,23) + TIME(7,44,49)</f>
        <v>40413.322789351849</v>
      </c>
      <c r="C284">
        <v>80</v>
      </c>
      <c r="D284">
        <v>79.830535889000004</v>
      </c>
      <c r="E284">
        <v>50</v>
      </c>
      <c r="F284">
        <v>15.119818687</v>
      </c>
      <c r="G284">
        <v>1357.0126952999999</v>
      </c>
      <c r="H284">
        <v>1350.0004882999999</v>
      </c>
      <c r="I284">
        <v>1297.8986815999999</v>
      </c>
      <c r="J284">
        <v>1279.5333252</v>
      </c>
      <c r="K284">
        <v>1100</v>
      </c>
      <c r="L284">
        <v>0</v>
      </c>
      <c r="M284">
        <v>0</v>
      </c>
      <c r="N284">
        <v>1100</v>
      </c>
    </row>
    <row r="285" spans="1:14" x14ac:dyDescent="0.25">
      <c r="A285">
        <v>114.915756</v>
      </c>
      <c r="B285" s="1">
        <f>DATE(2010,8,23) + TIME(21,58,41)</f>
        <v>40413.915752314817</v>
      </c>
      <c r="C285">
        <v>80</v>
      </c>
      <c r="D285">
        <v>79.830650329999997</v>
      </c>
      <c r="E285">
        <v>50</v>
      </c>
      <c r="F285">
        <v>15.127809525</v>
      </c>
      <c r="G285">
        <v>1356.9943848</v>
      </c>
      <c r="H285">
        <v>1349.9840088000001</v>
      </c>
      <c r="I285">
        <v>1297.9174805</v>
      </c>
      <c r="J285">
        <v>1279.5500488</v>
      </c>
      <c r="K285">
        <v>1100</v>
      </c>
      <c r="L285">
        <v>0</v>
      </c>
      <c r="M285">
        <v>0</v>
      </c>
      <c r="N285">
        <v>1100</v>
      </c>
    </row>
    <row r="286" spans="1:14" x14ac:dyDescent="0.25">
      <c r="A286">
        <v>115.508714</v>
      </c>
      <c r="B286" s="1">
        <f>DATE(2010,8,24) + TIME(12,12,32)</f>
        <v>40414.508703703701</v>
      </c>
      <c r="C286">
        <v>80</v>
      </c>
      <c r="D286">
        <v>79.830764771000005</v>
      </c>
      <c r="E286">
        <v>50</v>
      </c>
      <c r="F286">
        <v>15.136250496000001</v>
      </c>
      <c r="G286">
        <v>1356.9760742000001</v>
      </c>
      <c r="H286">
        <v>1349.9676514</v>
      </c>
      <c r="I286">
        <v>1297.9364014</v>
      </c>
      <c r="J286">
        <v>1279.5671387</v>
      </c>
      <c r="K286">
        <v>1100</v>
      </c>
      <c r="L286">
        <v>0</v>
      </c>
      <c r="M286">
        <v>0</v>
      </c>
      <c r="N286">
        <v>1100</v>
      </c>
    </row>
    <row r="287" spans="1:14" x14ac:dyDescent="0.25">
      <c r="A287">
        <v>116.10167300000001</v>
      </c>
      <c r="B287" s="1">
        <f>DATE(2010,8,25) + TIME(2,26,24)</f>
        <v>40415.101666666669</v>
      </c>
      <c r="C287">
        <v>80</v>
      </c>
      <c r="D287">
        <v>79.830879210999996</v>
      </c>
      <c r="E287">
        <v>50</v>
      </c>
      <c r="F287">
        <v>15.145166397000001</v>
      </c>
      <c r="G287">
        <v>1356.9578856999999</v>
      </c>
      <c r="H287">
        <v>1349.9512939000001</v>
      </c>
      <c r="I287">
        <v>1297.9556885</v>
      </c>
      <c r="J287">
        <v>1279.5844727000001</v>
      </c>
      <c r="K287">
        <v>1100</v>
      </c>
      <c r="L287">
        <v>0</v>
      </c>
      <c r="M287">
        <v>0</v>
      </c>
      <c r="N287">
        <v>1100</v>
      </c>
    </row>
    <row r="288" spans="1:14" x14ac:dyDescent="0.25">
      <c r="A288">
        <v>116.694631</v>
      </c>
      <c r="B288" s="1">
        <f>DATE(2010,8,25) + TIME(16,40,16)</f>
        <v>40415.69462962963</v>
      </c>
      <c r="C288">
        <v>80</v>
      </c>
      <c r="D288">
        <v>79.830993652000004</v>
      </c>
      <c r="E288">
        <v>50</v>
      </c>
      <c r="F288">
        <v>15.154581070000001</v>
      </c>
      <c r="G288">
        <v>1356.9396973</v>
      </c>
      <c r="H288">
        <v>1349.9350586</v>
      </c>
      <c r="I288">
        <v>1297.9750977000001</v>
      </c>
      <c r="J288">
        <v>1279.6021728999999</v>
      </c>
      <c r="K288">
        <v>1100</v>
      </c>
      <c r="L288">
        <v>0</v>
      </c>
      <c r="M288">
        <v>0</v>
      </c>
      <c r="N288">
        <v>1100</v>
      </c>
    </row>
    <row r="289" spans="1:14" x14ac:dyDescent="0.25">
      <c r="A289">
        <v>117.880548</v>
      </c>
      <c r="B289" s="1">
        <f>DATE(2010,8,26) + TIME(21,7,59)</f>
        <v>40416.880543981482</v>
      </c>
      <c r="C289">
        <v>80</v>
      </c>
      <c r="D289">
        <v>79.831237793</v>
      </c>
      <c r="E289">
        <v>50</v>
      </c>
      <c r="F289">
        <v>15.170621872</v>
      </c>
      <c r="G289">
        <v>1356.921875</v>
      </c>
      <c r="H289">
        <v>1349.9191894999999</v>
      </c>
      <c r="I289">
        <v>1297.9937743999999</v>
      </c>
      <c r="J289">
        <v>1279.6213379000001</v>
      </c>
      <c r="K289">
        <v>1100</v>
      </c>
      <c r="L289">
        <v>0</v>
      </c>
      <c r="M289">
        <v>0</v>
      </c>
      <c r="N289">
        <v>1100</v>
      </c>
    </row>
    <row r="290" spans="1:14" x14ac:dyDescent="0.25">
      <c r="A290">
        <v>119.068102</v>
      </c>
      <c r="B290" s="1">
        <f>DATE(2010,8,28) + TIME(1,38,4)</f>
        <v>40418.068101851852</v>
      </c>
      <c r="C290">
        <v>80</v>
      </c>
      <c r="D290">
        <v>79.831474303999997</v>
      </c>
      <c r="E290">
        <v>50</v>
      </c>
      <c r="F290">
        <v>15.189938545</v>
      </c>
      <c r="G290">
        <v>1356.8859863</v>
      </c>
      <c r="H290">
        <v>1349.8870850000001</v>
      </c>
      <c r="I290">
        <v>1298.0339355000001</v>
      </c>
      <c r="J290">
        <v>1279.6574707</v>
      </c>
      <c r="K290">
        <v>1100</v>
      </c>
      <c r="L290">
        <v>0</v>
      </c>
      <c r="M290">
        <v>0</v>
      </c>
      <c r="N290">
        <v>1100</v>
      </c>
    </row>
    <row r="291" spans="1:14" x14ac:dyDescent="0.25">
      <c r="A291">
        <v>120.273381</v>
      </c>
      <c r="B291" s="1">
        <f>DATE(2010,8,29) + TIME(6,33,40)</f>
        <v>40419.273379629631</v>
      </c>
      <c r="C291">
        <v>80</v>
      </c>
      <c r="D291">
        <v>79.831710814999994</v>
      </c>
      <c r="E291">
        <v>50</v>
      </c>
      <c r="F291">
        <v>15.212491989</v>
      </c>
      <c r="G291">
        <v>1356.8500977000001</v>
      </c>
      <c r="H291">
        <v>1349.8548584</v>
      </c>
      <c r="I291">
        <v>1298.0749512</v>
      </c>
      <c r="J291">
        <v>1279.6953125</v>
      </c>
      <c r="K291">
        <v>1100</v>
      </c>
      <c r="L291">
        <v>0</v>
      </c>
      <c r="M291">
        <v>0</v>
      </c>
      <c r="N291">
        <v>1100</v>
      </c>
    </row>
    <row r="292" spans="1:14" x14ac:dyDescent="0.25">
      <c r="A292">
        <v>121.498436</v>
      </c>
      <c r="B292" s="1">
        <f>DATE(2010,8,30) + TIME(11,57,44)</f>
        <v>40420.498425925929</v>
      </c>
      <c r="C292">
        <v>80</v>
      </c>
      <c r="D292">
        <v>79.831954956000004</v>
      </c>
      <c r="E292">
        <v>50</v>
      </c>
      <c r="F292">
        <v>15.238405228</v>
      </c>
      <c r="G292">
        <v>1356.8138428</v>
      </c>
      <c r="H292">
        <v>1349.8223877</v>
      </c>
      <c r="I292">
        <v>1298.1176757999999</v>
      </c>
      <c r="J292">
        <v>1279.7352295000001</v>
      </c>
      <c r="K292">
        <v>1100</v>
      </c>
      <c r="L292">
        <v>0</v>
      </c>
      <c r="M292">
        <v>0</v>
      </c>
      <c r="N292">
        <v>1100</v>
      </c>
    </row>
    <row r="293" spans="1:14" x14ac:dyDescent="0.25">
      <c r="A293">
        <v>122.11911600000001</v>
      </c>
      <c r="B293" s="1">
        <f>DATE(2010,8,31) + TIME(2,51,31)</f>
        <v>40421.119108796294</v>
      </c>
      <c r="C293">
        <v>80</v>
      </c>
      <c r="D293">
        <v>79.832054138000004</v>
      </c>
      <c r="E293">
        <v>50</v>
      </c>
      <c r="F293">
        <v>15.256795883000001</v>
      </c>
      <c r="G293">
        <v>1356.7769774999999</v>
      </c>
      <c r="H293">
        <v>1349.7893065999999</v>
      </c>
      <c r="I293">
        <v>1298.1639404</v>
      </c>
      <c r="J293">
        <v>1279.7753906</v>
      </c>
      <c r="K293">
        <v>1100</v>
      </c>
      <c r="L293">
        <v>0</v>
      </c>
      <c r="M293">
        <v>0</v>
      </c>
      <c r="N293">
        <v>1100</v>
      </c>
    </row>
    <row r="294" spans="1:14" x14ac:dyDescent="0.25">
      <c r="A294">
        <v>123</v>
      </c>
      <c r="B294" s="1">
        <f>DATE(2010,9,1) + TIME(0,0,0)</f>
        <v>40422</v>
      </c>
      <c r="C294">
        <v>80</v>
      </c>
      <c r="D294">
        <v>79.832221985000004</v>
      </c>
      <c r="E294">
        <v>50</v>
      </c>
      <c r="F294">
        <v>15.280694007999999</v>
      </c>
      <c r="G294">
        <v>1356.7584228999999</v>
      </c>
      <c r="H294">
        <v>1349.7727050999999</v>
      </c>
      <c r="I294">
        <v>1298.1857910000001</v>
      </c>
      <c r="J294">
        <v>1279.7989502</v>
      </c>
      <c r="K294">
        <v>1100</v>
      </c>
      <c r="L294">
        <v>0</v>
      </c>
      <c r="M294">
        <v>0</v>
      </c>
      <c r="N294">
        <v>1100</v>
      </c>
    </row>
    <row r="295" spans="1:14" x14ac:dyDescent="0.25">
      <c r="A295">
        <v>123.62067999999999</v>
      </c>
      <c r="B295" s="1">
        <f>DATE(2010,9,1) + TIME(14,53,46)</f>
        <v>40422.620671296296</v>
      </c>
      <c r="C295">
        <v>80</v>
      </c>
      <c r="D295">
        <v>79.832328795999999</v>
      </c>
      <c r="E295">
        <v>50</v>
      </c>
      <c r="F295">
        <v>15.300492287000001</v>
      </c>
      <c r="G295">
        <v>1356.7321777</v>
      </c>
      <c r="H295">
        <v>1349.7490233999999</v>
      </c>
      <c r="I295">
        <v>1298.2200928</v>
      </c>
      <c r="J295">
        <v>1279.8303223</v>
      </c>
      <c r="K295">
        <v>1100</v>
      </c>
      <c r="L295">
        <v>0</v>
      </c>
      <c r="M295">
        <v>0</v>
      </c>
      <c r="N295">
        <v>1100</v>
      </c>
    </row>
    <row r="296" spans="1:14" x14ac:dyDescent="0.25">
      <c r="A296">
        <v>124.24136</v>
      </c>
      <c r="B296" s="1">
        <f>DATE(2010,9,2) + TIME(5,47,33)</f>
        <v>40423.241354166668</v>
      </c>
      <c r="C296">
        <v>80</v>
      </c>
      <c r="D296">
        <v>79.832443237000007</v>
      </c>
      <c r="E296">
        <v>50</v>
      </c>
      <c r="F296">
        <v>15.320772171</v>
      </c>
      <c r="G296">
        <v>1356.7137451000001</v>
      </c>
      <c r="H296">
        <v>1349.7324219</v>
      </c>
      <c r="I296">
        <v>1298.2437743999999</v>
      </c>
      <c r="J296">
        <v>1279.854126</v>
      </c>
      <c r="K296">
        <v>1100</v>
      </c>
      <c r="L296">
        <v>0</v>
      </c>
      <c r="M296">
        <v>0</v>
      </c>
      <c r="N296">
        <v>1100</v>
      </c>
    </row>
    <row r="297" spans="1:14" x14ac:dyDescent="0.25">
      <c r="A297">
        <v>124.862039</v>
      </c>
      <c r="B297" s="1">
        <f>DATE(2010,9,2) + TIME(20,41,20)</f>
        <v>40423.862037037034</v>
      </c>
      <c r="C297">
        <v>80</v>
      </c>
      <c r="D297">
        <v>79.832557678000001</v>
      </c>
      <c r="E297">
        <v>50</v>
      </c>
      <c r="F297">
        <v>15.341695786000001</v>
      </c>
      <c r="G297">
        <v>1356.6954346</v>
      </c>
      <c r="H297">
        <v>1349.7159423999999</v>
      </c>
      <c r="I297">
        <v>1298.2677002</v>
      </c>
      <c r="J297">
        <v>1279.8782959</v>
      </c>
      <c r="K297">
        <v>1100</v>
      </c>
      <c r="L297">
        <v>0</v>
      </c>
      <c r="M297">
        <v>0</v>
      </c>
      <c r="N297">
        <v>1100</v>
      </c>
    </row>
    <row r="298" spans="1:14" x14ac:dyDescent="0.25">
      <c r="A298">
        <v>125.482719</v>
      </c>
      <c r="B298" s="1">
        <f>DATE(2010,9,3) + TIME(11,35,6)</f>
        <v>40424.482708333337</v>
      </c>
      <c r="C298">
        <v>80</v>
      </c>
      <c r="D298">
        <v>79.832672118999994</v>
      </c>
      <c r="E298">
        <v>50</v>
      </c>
      <c r="F298">
        <v>15.363391876</v>
      </c>
      <c r="G298">
        <v>1356.677124</v>
      </c>
      <c r="H298">
        <v>1349.6994629000001</v>
      </c>
      <c r="I298">
        <v>1298.2921143000001</v>
      </c>
      <c r="J298">
        <v>1279.902832</v>
      </c>
      <c r="K298">
        <v>1100</v>
      </c>
      <c r="L298">
        <v>0</v>
      </c>
      <c r="M298">
        <v>0</v>
      </c>
      <c r="N298">
        <v>1100</v>
      </c>
    </row>
    <row r="299" spans="1:14" x14ac:dyDescent="0.25">
      <c r="A299">
        <v>126.103399</v>
      </c>
      <c r="B299" s="1">
        <f>DATE(2010,9,4) + TIME(2,28,53)</f>
        <v>40425.103391203702</v>
      </c>
      <c r="C299">
        <v>80</v>
      </c>
      <c r="D299">
        <v>79.832794188999998</v>
      </c>
      <c r="E299">
        <v>50</v>
      </c>
      <c r="F299">
        <v>15.385971069</v>
      </c>
      <c r="G299">
        <v>1356.6588135</v>
      </c>
      <c r="H299">
        <v>1349.6831055</v>
      </c>
      <c r="I299">
        <v>1298.3168945</v>
      </c>
      <c r="J299">
        <v>1279.9279785000001</v>
      </c>
      <c r="K299">
        <v>1100</v>
      </c>
      <c r="L299">
        <v>0</v>
      </c>
      <c r="M299">
        <v>0</v>
      </c>
      <c r="N299">
        <v>1100</v>
      </c>
    </row>
    <row r="300" spans="1:14" x14ac:dyDescent="0.25">
      <c r="A300">
        <v>126.724079</v>
      </c>
      <c r="B300" s="1">
        <f>DATE(2010,9,4) + TIME(17,22,40)</f>
        <v>40425.724074074074</v>
      </c>
      <c r="C300">
        <v>80</v>
      </c>
      <c r="D300">
        <v>79.832908630000006</v>
      </c>
      <c r="E300">
        <v>50</v>
      </c>
      <c r="F300">
        <v>15.409526825</v>
      </c>
      <c r="G300">
        <v>1356.640625</v>
      </c>
      <c r="H300">
        <v>1349.666626</v>
      </c>
      <c r="I300">
        <v>1298.3419189000001</v>
      </c>
      <c r="J300">
        <v>1279.9536132999999</v>
      </c>
      <c r="K300">
        <v>1100</v>
      </c>
      <c r="L300">
        <v>0</v>
      </c>
      <c r="M300">
        <v>0</v>
      </c>
      <c r="N300">
        <v>1100</v>
      </c>
    </row>
    <row r="301" spans="1:14" x14ac:dyDescent="0.25">
      <c r="A301">
        <v>127.344758</v>
      </c>
      <c r="B301" s="1">
        <f>DATE(2010,9,5) + TIME(8,16,27)</f>
        <v>40426.344756944447</v>
      </c>
      <c r="C301">
        <v>80</v>
      </c>
      <c r="D301">
        <v>79.833030700999998</v>
      </c>
      <c r="E301">
        <v>50</v>
      </c>
      <c r="F301">
        <v>15.434142113</v>
      </c>
      <c r="G301">
        <v>1356.6224365</v>
      </c>
      <c r="H301">
        <v>1349.6502685999999</v>
      </c>
      <c r="I301">
        <v>1298.3673096</v>
      </c>
      <c r="J301">
        <v>1279.9797363</v>
      </c>
      <c r="K301">
        <v>1100</v>
      </c>
      <c r="L301">
        <v>0</v>
      </c>
      <c r="M301">
        <v>0</v>
      </c>
      <c r="N301">
        <v>1100</v>
      </c>
    </row>
    <row r="302" spans="1:14" x14ac:dyDescent="0.25">
      <c r="A302">
        <v>127.96543800000001</v>
      </c>
      <c r="B302" s="1">
        <f>DATE(2010,9,5) + TIME(23,10,13)</f>
        <v>40426.965428240743</v>
      </c>
      <c r="C302">
        <v>80</v>
      </c>
      <c r="D302">
        <v>79.833145142000006</v>
      </c>
      <c r="E302">
        <v>50</v>
      </c>
      <c r="F302">
        <v>15.459892272999999</v>
      </c>
      <c r="G302">
        <v>1356.6043701000001</v>
      </c>
      <c r="H302">
        <v>1349.6339111</v>
      </c>
      <c r="I302">
        <v>1298.3930664</v>
      </c>
      <c r="J302">
        <v>1280.0064697</v>
      </c>
      <c r="K302">
        <v>1100</v>
      </c>
      <c r="L302">
        <v>0</v>
      </c>
      <c r="M302">
        <v>0</v>
      </c>
      <c r="N302">
        <v>1100</v>
      </c>
    </row>
    <row r="303" spans="1:14" x14ac:dyDescent="0.25">
      <c r="A303">
        <v>128.586118</v>
      </c>
      <c r="B303" s="1">
        <f>DATE(2010,9,6) + TIME(14,4,0)</f>
        <v>40427.586111111108</v>
      </c>
      <c r="C303">
        <v>80</v>
      </c>
      <c r="D303">
        <v>79.833259583</v>
      </c>
      <c r="E303">
        <v>50</v>
      </c>
      <c r="F303">
        <v>15.486844062999999</v>
      </c>
      <c r="G303">
        <v>1356.5861815999999</v>
      </c>
      <c r="H303">
        <v>1349.6176757999999</v>
      </c>
      <c r="I303">
        <v>1298.4191894999999</v>
      </c>
      <c r="J303">
        <v>1280.0338135</v>
      </c>
      <c r="K303">
        <v>1100</v>
      </c>
      <c r="L303">
        <v>0</v>
      </c>
      <c r="M303">
        <v>0</v>
      </c>
      <c r="N303">
        <v>1100</v>
      </c>
    </row>
    <row r="304" spans="1:14" x14ac:dyDescent="0.25">
      <c r="A304">
        <v>129.20679799999999</v>
      </c>
      <c r="B304" s="1">
        <f>DATE(2010,9,7) + TIME(4,57,47)</f>
        <v>40428.206793981481</v>
      </c>
      <c r="C304">
        <v>80</v>
      </c>
      <c r="D304">
        <v>79.833381653000004</v>
      </c>
      <c r="E304">
        <v>50</v>
      </c>
      <c r="F304">
        <v>15.515063286</v>
      </c>
      <c r="G304">
        <v>1356.5682373</v>
      </c>
      <c r="H304">
        <v>1349.6013184000001</v>
      </c>
      <c r="I304">
        <v>1298.4455565999999</v>
      </c>
      <c r="J304">
        <v>1280.0617675999999</v>
      </c>
      <c r="K304">
        <v>1100</v>
      </c>
      <c r="L304">
        <v>0</v>
      </c>
      <c r="M304">
        <v>0</v>
      </c>
      <c r="N304">
        <v>1100</v>
      </c>
    </row>
    <row r="305" spans="1:14" x14ac:dyDescent="0.25">
      <c r="A305">
        <v>129.82747800000001</v>
      </c>
      <c r="B305" s="1">
        <f>DATE(2010,9,7) + TIME(19,51,34)</f>
        <v>40428.827476851853</v>
      </c>
      <c r="C305">
        <v>80</v>
      </c>
      <c r="D305">
        <v>79.833496093999997</v>
      </c>
      <c r="E305">
        <v>50</v>
      </c>
      <c r="F305">
        <v>15.544610977</v>
      </c>
      <c r="G305">
        <v>1356.5501709</v>
      </c>
      <c r="H305">
        <v>1349.5850829999999</v>
      </c>
      <c r="I305">
        <v>1298.4724120999999</v>
      </c>
      <c r="J305">
        <v>1280.090332</v>
      </c>
      <c r="K305">
        <v>1100</v>
      </c>
      <c r="L305">
        <v>0</v>
      </c>
      <c r="M305">
        <v>0</v>
      </c>
      <c r="N305">
        <v>1100</v>
      </c>
    </row>
    <row r="306" spans="1:14" x14ac:dyDescent="0.25">
      <c r="A306">
        <v>131.068837</v>
      </c>
      <c r="B306" s="1">
        <f>DATE(2010,9,9) + TIME(1,39,7)</f>
        <v>40430.068831018521</v>
      </c>
      <c r="C306">
        <v>80</v>
      </c>
      <c r="D306">
        <v>79.833755492999998</v>
      </c>
      <c r="E306">
        <v>50</v>
      </c>
      <c r="F306">
        <v>15.594108582</v>
      </c>
      <c r="G306">
        <v>1356.5324707</v>
      </c>
      <c r="H306">
        <v>1349.5692139</v>
      </c>
      <c r="I306">
        <v>1298.4962158000001</v>
      </c>
      <c r="J306">
        <v>1280.1228027</v>
      </c>
      <c r="K306">
        <v>1100</v>
      </c>
      <c r="L306">
        <v>0</v>
      </c>
      <c r="M306">
        <v>0</v>
      </c>
      <c r="N306">
        <v>1100</v>
      </c>
    </row>
    <row r="307" spans="1:14" x14ac:dyDescent="0.25">
      <c r="A307">
        <v>132.31062800000001</v>
      </c>
      <c r="B307" s="1">
        <f>DATE(2010,9,10) + TIME(7,27,18)</f>
        <v>40431.310624999998</v>
      </c>
      <c r="C307">
        <v>80</v>
      </c>
      <c r="D307">
        <v>79.833999633999994</v>
      </c>
      <c r="E307">
        <v>50</v>
      </c>
      <c r="F307">
        <v>15.653216362</v>
      </c>
      <c r="G307">
        <v>1356.4968262</v>
      </c>
      <c r="H307">
        <v>1349.5369873</v>
      </c>
      <c r="I307">
        <v>1298.5518798999999</v>
      </c>
      <c r="J307">
        <v>1280.1812743999999</v>
      </c>
      <c r="K307">
        <v>1100</v>
      </c>
      <c r="L307">
        <v>0</v>
      </c>
      <c r="M307">
        <v>0</v>
      </c>
      <c r="N307">
        <v>1100</v>
      </c>
    </row>
    <row r="308" spans="1:14" x14ac:dyDescent="0.25">
      <c r="A308">
        <v>133.57037800000001</v>
      </c>
      <c r="B308" s="1">
        <f>DATE(2010,9,11) + TIME(13,41,20)</f>
        <v>40432.570370370369</v>
      </c>
      <c r="C308">
        <v>80</v>
      </c>
      <c r="D308">
        <v>79.834251404</v>
      </c>
      <c r="E308">
        <v>50</v>
      </c>
      <c r="F308">
        <v>15.721370696999999</v>
      </c>
      <c r="G308">
        <v>1356.4611815999999</v>
      </c>
      <c r="H308">
        <v>1349.5047606999999</v>
      </c>
      <c r="I308">
        <v>1298.6083983999999</v>
      </c>
      <c r="J308">
        <v>1280.2431641000001</v>
      </c>
      <c r="K308">
        <v>1100</v>
      </c>
      <c r="L308">
        <v>0</v>
      </c>
      <c r="M308">
        <v>0</v>
      </c>
      <c r="N308">
        <v>1100</v>
      </c>
    </row>
    <row r="309" spans="1:14" x14ac:dyDescent="0.25">
      <c r="A309">
        <v>134.85045099999999</v>
      </c>
      <c r="B309" s="1">
        <f>DATE(2010,9,12) + TIME(20,24,38)</f>
        <v>40433.850439814814</v>
      </c>
      <c r="C309">
        <v>80</v>
      </c>
      <c r="D309">
        <v>79.834495544000006</v>
      </c>
      <c r="E309">
        <v>50</v>
      </c>
      <c r="F309">
        <v>15.798557281000001</v>
      </c>
      <c r="G309">
        <v>1356.4251709</v>
      </c>
      <c r="H309">
        <v>1349.4722899999999</v>
      </c>
      <c r="I309">
        <v>1298.6669922000001</v>
      </c>
      <c r="J309">
        <v>1280.309082</v>
      </c>
      <c r="K309">
        <v>1100</v>
      </c>
      <c r="L309">
        <v>0</v>
      </c>
      <c r="M309">
        <v>0</v>
      </c>
      <c r="N309">
        <v>1100</v>
      </c>
    </row>
    <row r="310" spans="1:14" x14ac:dyDescent="0.25">
      <c r="A310">
        <v>135.49318500000001</v>
      </c>
      <c r="B310" s="1">
        <f>DATE(2010,9,13) + TIME(11,50,11)</f>
        <v>40434.49318287037</v>
      </c>
      <c r="C310">
        <v>80</v>
      </c>
      <c r="D310">
        <v>79.834602356000005</v>
      </c>
      <c r="E310">
        <v>50</v>
      </c>
      <c r="F310">
        <v>15.852622031999999</v>
      </c>
      <c r="G310">
        <v>1356.3884277</v>
      </c>
      <c r="H310">
        <v>1349.4389647999999</v>
      </c>
      <c r="I310">
        <v>1298.7333983999999</v>
      </c>
      <c r="J310">
        <v>1280.3736572</v>
      </c>
      <c r="K310">
        <v>1100</v>
      </c>
      <c r="L310">
        <v>0</v>
      </c>
      <c r="M310">
        <v>0</v>
      </c>
      <c r="N310">
        <v>1100</v>
      </c>
    </row>
    <row r="311" spans="1:14" x14ac:dyDescent="0.25">
      <c r="A311">
        <v>136.135918</v>
      </c>
      <c r="B311" s="1">
        <f>DATE(2010,9,14) + TIME(3,15,43)</f>
        <v>40435.135914351849</v>
      </c>
      <c r="C311">
        <v>80</v>
      </c>
      <c r="D311">
        <v>79.834716796999999</v>
      </c>
      <c r="E311">
        <v>50</v>
      </c>
      <c r="F311">
        <v>15.906539917</v>
      </c>
      <c r="G311">
        <v>1356.3699951000001</v>
      </c>
      <c r="H311">
        <v>1349.4222411999999</v>
      </c>
      <c r="I311">
        <v>1298.7636719</v>
      </c>
      <c r="J311">
        <v>1280.4121094</v>
      </c>
      <c r="K311">
        <v>1100</v>
      </c>
      <c r="L311">
        <v>0</v>
      </c>
      <c r="M311">
        <v>0</v>
      </c>
      <c r="N311">
        <v>1100</v>
      </c>
    </row>
    <row r="312" spans="1:14" x14ac:dyDescent="0.25">
      <c r="A312">
        <v>136.77865199999999</v>
      </c>
      <c r="B312" s="1">
        <f>DATE(2010,9,14) + TIME(18,41,15)</f>
        <v>40435.778645833336</v>
      </c>
      <c r="C312">
        <v>80</v>
      </c>
      <c r="D312">
        <v>79.834838867000002</v>
      </c>
      <c r="E312">
        <v>50</v>
      </c>
      <c r="F312">
        <v>15.9609375</v>
      </c>
      <c r="G312">
        <v>1356.3516846</v>
      </c>
      <c r="H312">
        <v>1349.4056396000001</v>
      </c>
      <c r="I312">
        <v>1298.7944336</v>
      </c>
      <c r="J312">
        <v>1280.4510498</v>
      </c>
      <c r="K312">
        <v>1100</v>
      </c>
      <c r="L312">
        <v>0</v>
      </c>
      <c r="M312">
        <v>0</v>
      </c>
      <c r="N312">
        <v>1100</v>
      </c>
    </row>
    <row r="313" spans="1:14" x14ac:dyDescent="0.25">
      <c r="A313">
        <v>137.42138600000001</v>
      </c>
      <c r="B313" s="1">
        <f>DATE(2010,9,15) + TIME(10,6,47)</f>
        <v>40436.421377314815</v>
      </c>
      <c r="C313">
        <v>80</v>
      </c>
      <c r="D313">
        <v>79.834953307999996</v>
      </c>
      <c r="E313">
        <v>50</v>
      </c>
      <c r="F313">
        <v>16.016290665</v>
      </c>
      <c r="G313">
        <v>1356.3334961</v>
      </c>
      <c r="H313">
        <v>1349.3890381000001</v>
      </c>
      <c r="I313">
        <v>1298.8258057</v>
      </c>
      <c r="J313">
        <v>1280.4906006000001</v>
      </c>
      <c r="K313">
        <v>1100</v>
      </c>
      <c r="L313">
        <v>0</v>
      </c>
      <c r="M313">
        <v>0</v>
      </c>
      <c r="N313">
        <v>1100</v>
      </c>
    </row>
    <row r="314" spans="1:14" x14ac:dyDescent="0.25">
      <c r="A314">
        <v>138.06411900000001</v>
      </c>
      <c r="B314" s="1">
        <f>DATE(2010,9,16) + TIME(1,32,19)</f>
        <v>40437.064108796294</v>
      </c>
      <c r="C314">
        <v>80</v>
      </c>
      <c r="D314">
        <v>79.835075377999999</v>
      </c>
      <c r="E314">
        <v>50</v>
      </c>
      <c r="F314">
        <v>16.072969437000001</v>
      </c>
      <c r="G314">
        <v>1356.3153076000001</v>
      </c>
      <c r="H314">
        <v>1349.3725586</v>
      </c>
      <c r="I314">
        <v>1298.8576660000001</v>
      </c>
      <c r="J314">
        <v>1280.5310059000001</v>
      </c>
      <c r="K314">
        <v>1100</v>
      </c>
      <c r="L314">
        <v>0</v>
      </c>
      <c r="M314">
        <v>0</v>
      </c>
      <c r="N314">
        <v>1100</v>
      </c>
    </row>
    <row r="315" spans="1:14" x14ac:dyDescent="0.25">
      <c r="A315">
        <v>138.706853</v>
      </c>
      <c r="B315" s="1">
        <f>DATE(2010,9,16) + TIME(16,57,52)</f>
        <v>40437.70685185185</v>
      </c>
      <c r="C315">
        <v>80</v>
      </c>
      <c r="D315">
        <v>79.835197449000006</v>
      </c>
      <c r="E315">
        <v>50</v>
      </c>
      <c r="F315">
        <v>16.131261825999999</v>
      </c>
      <c r="G315">
        <v>1356.2971190999999</v>
      </c>
      <c r="H315">
        <v>1349.3560791</v>
      </c>
      <c r="I315">
        <v>1298.8900146000001</v>
      </c>
      <c r="J315">
        <v>1280.5722656</v>
      </c>
      <c r="K315">
        <v>1100</v>
      </c>
      <c r="L315">
        <v>0</v>
      </c>
      <c r="M315">
        <v>0</v>
      </c>
      <c r="N315">
        <v>1100</v>
      </c>
    </row>
    <row r="316" spans="1:14" x14ac:dyDescent="0.25">
      <c r="A316">
        <v>139.34958700000001</v>
      </c>
      <c r="B316" s="1">
        <f>DATE(2010,9,17) + TIME(8,23,24)</f>
        <v>40438.349583333336</v>
      </c>
      <c r="C316">
        <v>80</v>
      </c>
      <c r="D316">
        <v>79.835319518999995</v>
      </c>
      <c r="E316">
        <v>50</v>
      </c>
      <c r="F316">
        <v>16.191394806000002</v>
      </c>
      <c r="G316">
        <v>1356.2789307</v>
      </c>
      <c r="H316">
        <v>1349.3394774999999</v>
      </c>
      <c r="I316">
        <v>1298.9226074000001</v>
      </c>
      <c r="J316">
        <v>1280.6142577999999</v>
      </c>
      <c r="K316">
        <v>1100</v>
      </c>
      <c r="L316">
        <v>0</v>
      </c>
      <c r="M316">
        <v>0</v>
      </c>
      <c r="N316">
        <v>1100</v>
      </c>
    </row>
    <row r="317" spans="1:14" x14ac:dyDescent="0.25">
      <c r="A317">
        <v>139.992321</v>
      </c>
      <c r="B317" s="1">
        <f>DATE(2010,9,17) + TIME(23,48,56)</f>
        <v>40438.992314814815</v>
      </c>
      <c r="C317">
        <v>80</v>
      </c>
      <c r="D317">
        <v>79.835433960000003</v>
      </c>
      <c r="E317">
        <v>50</v>
      </c>
      <c r="F317">
        <v>16.253551482999999</v>
      </c>
      <c r="G317">
        <v>1356.2608643000001</v>
      </c>
      <c r="H317">
        <v>1349.3231201000001</v>
      </c>
      <c r="I317">
        <v>1298.9558105000001</v>
      </c>
      <c r="J317">
        <v>1280.6573486</v>
      </c>
      <c r="K317">
        <v>1100</v>
      </c>
      <c r="L317">
        <v>0</v>
      </c>
      <c r="M317">
        <v>0</v>
      </c>
      <c r="N317">
        <v>1100</v>
      </c>
    </row>
    <row r="318" spans="1:14" x14ac:dyDescent="0.25">
      <c r="A318">
        <v>140.635054</v>
      </c>
      <c r="B318" s="1">
        <f>DATE(2010,9,18) + TIME(15,14,28)</f>
        <v>40439.635046296295</v>
      </c>
      <c r="C318">
        <v>80</v>
      </c>
      <c r="D318">
        <v>79.835556030000006</v>
      </c>
      <c r="E318">
        <v>50</v>
      </c>
      <c r="F318">
        <v>16.317878723</v>
      </c>
      <c r="G318">
        <v>1356.2427978999999</v>
      </c>
      <c r="H318">
        <v>1349.3066406</v>
      </c>
      <c r="I318">
        <v>1298.9892577999999</v>
      </c>
      <c r="J318">
        <v>1280.7012939000001</v>
      </c>
      <c r="K318">
        <v>1100</v>
      </c>
      <c r="L318">
        <v>0</v>
      </c>
      <c r="M318">
        <v>0</v>
      </c>
      <c r="N318">
        <v>1100</v>
      </c>
    </row>
    <row r="319" spans="1:14" x14ac:dyDescent="0.25">
      <c r="A319">
        <v>141.27778799999999</v>
      </c>
      <c r="B319" s="1">
        <f>DATE(2010,9,19) + TIME(6,40,0)</f>
        <v>40440.277777777781</v>
      </c>
      <c r="C319">
        <v>80</v>
      </c>
      <c r="D319">
        <v>79.835678100999999</v>
      </c>
      <c r="E319">
        <v>50</v>
      </c>
      <c r="F319">
        <v>16.384498596</v>
      </c>
      <c r="G319">
        <v>1356.2247314000001</v>
      </c>
      <c r="H319">
        <v>1349.2901611</v>
      </c>
      <c r="I319">
        <v>1299.0230713000001</v>
      </c>
      <c r="J319">
        <v>1280.7462158000001</v>
      </c>
      <c r="K319">
        <v>1100</v>
      </c>
      <c r="L319">
        <v>0</v>
      </c>
      <c r="M319">
        <v>0</v>
      </c>
      <c r="N319">
        <v>1100</v>
      </c>
    </row>
    <row r="320" spans="1:14" x14ac:dyDescent="0.25">
      <c r="A320">
        <v>141.92052200000001</v>
      </c>
      <c r="B320" s="1">
        <f>DATE(2010,9,19) + TIME(22,5,33)</f>
        <v>40440.920520833337</v>
      </c>
      <c r="C320">
        <v>80</v>
      </c>
      <c r="D320">
        <v>79.835800171000002</v>
      </c>
      <c r="E320">
        <v>50</v>
      </c>
      <c r="F320">
        <v>16.453516006000001</v>
      </c>
      <c r="G320">
        <v>1356.2066649999999</v>
      </c>
      <c r="H320">
        <v>1349.2738036999999</v>
      </c>
      <c r="I320">
        <v>1299.057251</v>
      </c>
      <c r="J320">
        <v>1280.7921143000001</v>
      </c>
      <c r="K320">
        <v>1100</v>
      </c>
      <c r="L320">
        <v>0</v>
      </c>
      <c r="M320">
        <v>0</v>
      </c>
      <c r="N320">
        <v>1100</v>
      </c>
    </row>
    <row r="321" spans="1:14" x14ac:dyDescent="0.25">
      <c r="A321">
        <v>142.563255</v>
      </c>
      <c r="B321" s="1">
        <f>DATE(2010,9,20) + TIME(13,31,5)</f>
        <v>40441.563252314816</v>
      </c>
      <c r="C321">
        <v>80</v>
      </c>
      <c r="D321">
        <v>79.835922241000006</v>
      </c>
      <c r="E321">
        <v>50</v>
      </c>
      <c r="F321">
        <v>16.525012969999999</v>
      </c>
      <c r="G321">
        <v>1356.1887207</v>
      </c>
      <c r="H321">
        <v>1349.2573242000001</v>
      </c>
      <c r="I321">
        <v>1299.0916748</v>
      </c>
      <c r="J321">
        <v>1280.8391113</v>
      </c>
      <c r="K321">
        <v>1100</v>
      </c>
      <c r="L321">
        <v>0</v>
      </c>
      <c r="M321">
        <v>0</v>
      </c>
      <c r="N321">
        <v>1100</v>
      </c>
    </row>
    <row r="322" spans="1:14" x14ac:dyDescent="0.25">
      <c r="A322">
        <v>143.20598899999999</v>
      </c>
      <c r="B322" s="1">
        <f>DATE(2010,9,21) + TIME(4,56,37)</f>
        <v>40442.205983796295</v>
      </c>
      <c r="C322">
        <v>80</v>
      </c>
      <c r="D322">
        <v>79.836044311999999</v>
      </c>
      <c r="E322">
        <v>50</v>
      </c>
      <c r="F322">
        <v>16.599067688000002</v>
      </c>
      <c r="G322">
        <v>1356.1707764</v>
      </c>
      <c r="H322">
        <v>1349.2409668</v>
      </c>
      <c r="I322">
        <v>1299.1265868999999</v>
      </c>
      <c r="J322">
        <v>1280.8870850000001</v>
      </c>
      <c r="K322">
        <v>1100</v>
      </c>
      <c r="L322">
        <v>0</v>
      </c>
      <c r="M322">
        <v>0</v>
      </c>
      <c r="N322">
        <v>1100</v>
      </c>
    </row>
    <row r="323" spans="1:14" x14ac:dyDescent="0.25">
      <c r="A323">
        <v>144.491457</v>
      </c>
      <c r="B323" s="1">
        <f>DATE(2010,9,22) + TIME(11,47,41)</f>
        <v>40443.491446759261</v>
      </c>
      <c r="C323">
        <v>80</v>
      </c>
      <c r="D323">
        <v>79.836311339999995</v>
      </c>
      <c r="E323">
        <v>50</v>
      </c>
      <c r="F323">
        <v>16.720685959000001</v>
      </c>
      <c r="G323">
        <v>1356.1530762</v>
      </c>
      <c r="H323">
        <v>1349.2248535000001</v>
      </c>
      <c r="I323">
        <v>1299.1540527</v>
      </c>
      <c r="J323">
        <v>1280.9444579999999</v>
      </c>
      <c r="K323">
        <v>1100</v>
      </c>
      <c r="L323">
        <v>0</v>
      </c>
      <c r="M323">
        <v>0</v>
      </c>
      <c r="N323">
        <v>1100</v>
      </c>
    </row>
    <row r="324" spans="1:14" x14ac:dyDescent="0.25">
      <c r="A324">
        <v>145.777345</v>
      </c>
      <c r="B324" s="1">
        <f>DATE(2010,9,23) + TIME(18,39,22)</f>
        <v>40444.777337962965</v>
      </c>
      <c r="C324">
        <v>80</v>
      </c>
      <c r="D324">
        <v>79.83656311</v>
      </c>
      <c r="E324">
        <v>50</v>
      </c>
      <c r="F324">
        <v>16.864048004000001</v>
      </c>
      <c r="G324">
        <v>1356.1175536999999</v>
      </c>
      <c r="H324">
        <v>1349.1923827999999</v>
      </c>
      <c r="I324">
        <v>1299.2271728999999</v>
      </c>
      <c r="J324">
        <v>1281.0415039</v>
      </c>
      <c r="K324">
        <v>1100</v>
      </c>
      <c r="L324">
        <v>0</v>
      </c>
      <c r="M324">
        <v>0</v>
      </c>
      <c r="N324">
        <v>1100</v>
      </c>
    </row>
    <row r="325" spans="1:14" x14ac:dyDescent="0.25">
      <c r="A325">
        <v>147.087571</v>
      </c>
      <c r="B325" s="1">
        <f>DATE(2010,9,25) + TIME(2,6,6)</f>
        <v>40446.087569444448</v>
      </c>
      <c r="C325">
        <v>80</v>
      </c>
      <c r="D325">
        <v>79.836814880000006</v>
      </c>
      <c r="E325">
        <v>50</v>
      </c>
      <c r="F325">
        <v>17.026676177999999</v>
      </c>
      <c r="G325">
        <v>1356.0819091999999</v>
      </c>
      <c r="H325">
        <v>1349.1599120999999</v>
      </c>
      <c r="I325">
        <v>1299.3001709</v>
      </c>
      <c r="J325">
        <v>1281.1447754000001</v>
      </c>
      <c r="K325">
        <v>1100</v>
      </c>
      <c r="L325">
        <v>0</v>
      </c>
      <c r="M325">
        <v>0</v>
      </c>
      <c r="N325">
        <v>1100</v>
      </c>
    </row>
    <row r="326" spans="1:14" x14ac:dyDescent="0.25">
      <c r="A326">
        <v>148.42434499999999</v>
      </c>
      <c r="B326" s="1">
        <f>DATE(2010,9,26) + TIME(10,11,3)</f>
        <v>40447.424340277779</v>
      </c>
      <c r="C326">
        <v>80</v>
      </c>
      <c r="D326">
        <v>79.837074279999996</v>
      </c>
      <c r="E326">
        <v>50</v>
      </c>
      <c r="F326">
        <v>17.207529067999999</v>
      </c>
      <c r="G326">
        <v>1356.0457764</v>
      </c>
      <c r="H326">
        <v>1349.1268310999999</v>
      </c>
      <c r="I326">
        <v>1299.3751221</v>
      </c>
      <c r="J326">
        <v>1281.2553711</v>
      </c>
      <c r="K326">
        <v>1100</v>
      </c>
      <c r="L326">
        <v>0</v>
      </c>
      <c r="M326">
        <v>0</v>
      </c>
      <c r="N326">
        <v>1100</v>
      </c>
    </row>
    <row r="327" spans="1:14" x14ac:dyDescent="0.25">
      <c r="A327">
        <v>149.09374099999999</v>
      </c>
      <c r="B327" s="1">
        <f>DATE(2010,9,27) + TIME(2,14,59)</f>
        <v>40448.093738425923</v>
      </c>
      <c r="C327">
        <v>80</v>
      </c>
      <c r="D327">
        <v>79.837188721000004</v>
      </c>
      <c r="E327">
        <v>50</v>
      </c>
      <c r="F327">
        <v>17.332563400000002</v>
      </c>
      <c r="G327">
        <v>1356.0089111</v>
      </c>
      <c r="H327">
        <v>1349.0931396000001</v>
      </c>
      <c r="I327">
        <v>1299.4647216999999</v>
      </c>
      <c r="J327">
        <v>1281.3598632999999</v>
      </c>
      <c r="K327">
        <v>1100</v>
      </c>
      <c r="L327">
        <v>0</v>
      </c>
      <c r="M327">
        <v>0</v>
      </c>
      <c r="N327">
        <v>1100</v>
      </c>
    </row>
    <row r="328" spans="1:14" x14ac:dyDescent="0.25">
      <c r="A328">
        <v>150.38555700000001</v>
      </c>
      <c r="B328" s="1">
        <f>DATE(2010,9,28) + TIME(9,15,12)</f>
        <v>40449.385555555556</v>
      </c>
      <c r="C328">
        <v>80</v>
      </c>
      <c r="D328">
        <v>79.837440490999995</v>
      </c>
      <c r="E328">
        <v>50</v>
      </c>
      <c r="F328">
        <v>17.521100998000001</v>
      </c>
      <c r="G328">
        <v>1355.9904785000001</v>
      </c>
      <c r="H328">
        <v>1349.0761719</v>
      </c>
      <c r="I328">
        <v>1299.4907227000001</v>
      </c>
      <c r="J328">
        <v>1281.4373779</v>
      </c>
      <c r="K328">
        <v>1100</v>
      </c>
      <c r="L328">
        <v>0</v>
      </c>
      <c r="M328">
        <v>0</v>
      </c>
      <c r="N328">
        <v>1100</v>
      </c>
    </row>
    <row r="329" spans="1:14" x14ac:dyDescent="0.25">
      <c r="A329">
        <v>151.71564699999999</v>
      </c>
      <c r="B329" s="1">
        <f>DATE(2010,9,29) + TIME(17,10,31)</f>
        <v>40450.715636574074</v>
      </c>
      <c r="C329">
        <v>80</v>
      </c>
      <c r="D329">
        <v>79.837699889999996</v>
      </c>
      <c r="E329">
        <v>50</v>
      </c>
      <c r="F329">
        <v>17.729999542000002</v>
      </c>
      <c r="G329">
        <v>1355.9552002</v>
      </c>
      <c r="H329">
        <v>1349.0439452999999</v>
      </c>
      <c r="I329">
        <v>1299.5672606999999</v>
      </c>
      <c r="J329">
        <v>1281.5585937999999</v>
      </c>
      <c r="K329">
        <v>1100</v>
      </c>
      <c r="L329">
        <v>0</v>
      </c>
      <c r="M329">
        <v>0</v>
      </c>
      <c r="N329">
        <v>1100</v>
      </c>
    </row>
    <row r="330" spans="1:14" x14ac:dyDescent="0.25">
      <c r="A330">
        <v>153</v>
      </c>
      <c r="B330" s="1">
        <f>DATE(2010,10,1) + TIME(0,0,0)</f>
        <v>40452</v>
      </c>
      <c r="C330">
        <v>80</v>
      </c>
      <c r="D330">
        <v>79.837944031000006</v>
      </c>
      <c r="E330">
        <v>50</v>
      </c>
      <c r="F330">
        <v>17.950979233000002</v>
      </c>
      <c r="G330">
        <v>1355.9189452999999</v>
      </c>
      <c r="H330">
        <v>1349.0107422000001</v>
      </c>
      <c r="I330">
        <v>1299.6480713000001</v>
      </c>
      <c r="J330">
        <v>1281.6870117000001</v>
      </c>
      <c r="K330">
        <v>1100</v>
      </c>
      <c r="L330">
        <v>0</v>
      </c>
      <c r="M330">
        <v>0</v>
      </c>
      <c r="N330">
        <v>1100</v>
      </c>
    </row>
    <row r="331" spans="1:14" x14ac:dyDescent="0.25">
      <c r="A331">
        <v>154.33550500000001</v>
      </c>
      <c r="B331" s="1">
        <f>DATE(2010,10,2) + TIME(8,3,7)</f>
        <v>40453.335497685184</v>
      </c>
      <c r="C331">
        <v>80</v>
      </c>
      <c r="D331">
        <v>79.838195800999998</v>
      </c>
      <c r="E331">
        <v>50</v>
      </c>
      <c r="F331">
        <v>18.189899445000002</v>
      </c>
      <c r="G331">
        <v>1355.8841553</v>
      </c>
      <c r="H331">
        <v>1348.9787598</v>
      </c>
      <c r="I331">
        <v>1299.7250977000001</v>
      </c>
      <c r="J331">
        <v>1281.8187256000001</v>
      </c>
      <c r="K331">
        <v>1100</v>
      </c>
      <c r="L331">
        <v>0</v>
      </c>
      <c r="M331">
        <v>0</v>
      </c>
      <c r="N331">
        <v>1100</v>
      </c>
    </row>
    <row r="332" spans="1:14" x14ac:dyDescent="0.25">
      <c r="A332">
        <v>155.695639</v>
      </c>
      <c r="B332" s="1">
        <f>DATE(2010,10,3) + TIME(16,41,43)</f>
        <v>40454.695636574077</v>
      </c>
      <c r="C332">
        <v>80</v>
      </c>
      <c r="D332">
        <v>79.838455199999999</v>
      </c>
      <c r="E332">
        <v>50</v>
      </c>
      <c r="F332">
        <v>18.445991515999999</v>
      </c>
      <c r="G332">
        <v>1355.8481445</v>
      </c>
      <c r="H332">
        <v>1348.9455565999999</v>
      </c>
      <c r="I332">
        <v>1299.8067627</v>
      </c>
      <c r="J332">
        <v>1281.9595947</v>
      </c>
      <c r="K332">
        <v>1100</v>
      </c>
      <c r="L332">
        <v>0</v>
      </c>
      <c r="M332">
        <v>0</v>
      </c>
      <c r="N332">
        <v>1100</v>
      </c>
    </row>
    <row r="333" spans="1:14" x14ac:dyDescent="0.25">
      <c r="A333">
        <v>157.06384399999999</v>
      </c>
      <c r="B333" s="1">
        <f>DATE(2010,10,5) + TIME(1,31,56)</f>
        <v>40456.063842592594</v>
      </c>
      <c r="C333">
        <v>80</v>
      </c>
      <c r="D333">
        <v>79.838714600000003</v>
      </c>
      <c r="E333">
        <v>50</v>
      </c>
      <c r="F333">
        <v>18.717584609999999</v>
      </c>
      <c r="G333">
        <v>1355.8115233999999</v>
      </c>
      <c r="H333">
        <v>1348.9119873</v>
      </c>
      <c r="I333">
        <v>1299.8911132999999</v>
      </c>
      <c r="J333">
        <v>1282.1077881000001</v>
      </c>
      <c r="K333">
        <v>1100</v>
      </c>
      <c r="L333">
        <v>0</v>
      </c>
      <c r="M333">
        <v>0</v>
      </c>
      <c r="N333">
        <v>1100</v>
      </c>
    </row>
    <row r="334" spans="1:14" x14ac:dyDescent="0.25">
      <c r="A334">
        <v>158.43294</v>
      </c>
      <c r="B334" s="1">
        <f>DATE(2010,10,6) + TIME(10,23,26)</f>
        <v>40457.432939814818</v>
      </c>
      <c r="C334">
        <v>80</v>
      </c>
      <c r="D334">
        <v>79.838966369999994</v>
      </c>
      <c r="E334">
        <v>50</v>
      </c>
      <c r="F334">
        <v>19.002990723</v>
      </c>
      <c r="G334">
        <v>1355.7749022999999</v>
      </c>
      <c r="H334">
        <v>1348.8782959</v>
      </c>
      <c r="I334">
        <v>1299.9768065999999</v>
      </c>
      <c r="J334">
        <v>1282.2620850000001</v>
      </c>
      <c r="K334">
        <v>1100</v>
      </c>
      <c r="L334">
        <v>0</v>
      </c>
      <c r="M334">
        <v>0</v>
      </c>
      <c r="N334">
        <v>1100</v>
      </c>
    </row>
    <row r="335" spans="1:14" x14ac:dyDescent="0.25">
      <c r="A335">
        <v>159.806635</v>
      </c>
      <c r="B335" s="1">
        <f>DATE(2010,10,7) + TIME(19,21,33)</f>
        <v>40458.806631944448</v>
      </c>
      <c r="C335">
        <v>80</v>
      </c>
      <c r="D335">
        <v>79.839225768999995</v>
      </c>
      <c r="E335">
        <v>50</v>
      </c>
      <c r="F335">
        <v>19.301485062000001</v>
      </c>
      <c r="G335">
        <v>1355.7385254000001</v>
      </c>
      <c r="H335">
        <v>1348.8447266000001</v>
      </c>
      <c r="I335">
        <v>1300.0634766000001</v>
      </c>
      <c r="J335">
        <v>1282.4216309000001</v>
      </c>
      <c r="K335">
        <v>1100</v>
      </c>
      <c r="L335">
        <v>0</v>
      </c>
      <c r="M335">
        <v>0</v>
      </c>
      <c r="N335">
        <v>1100</v>
      </c>
    </row>
    <row r="336" spans="1:14" x14ac:dyDescent="0.25">
      <c r="A336">
        <v>161.18911399999999</v>
      </c>
      <c r="B336" s="1">
        <f>DATE(2010,10,9) + TIME(4,32,19)</f>
        <v>40460.189108796294</v>
      </c>
      <c r="C336">
        <v>80</v>
      </c>
      <c r="D336">
        <v>79.839485167999996</v>
      </c>
      <c r="E336">
        <v>50</v>
      </c>
      <c r="F336">
        <v>19.612924576000001</v>
      </c>
      <c r="G336">
        <v>1355.7021483999999</v>
      </c>
      <c r="H336">
        <v>1348.8112793</v>
      </c>
      <c r="I336">
        <v>1300.1512451000001</v>
      </c>
      <c r="J336">
        <v>1282.5867920000001</v>
      </c>
      <c r="K336">
        <v>1100</v>
      </c>
      <c r="L336">
        <v>0</v>
      </c>
      <c r="M336">
        <v>0</v>
      </c>
      <c r="N336">
        <v>1100</v>
      </c>
    </row>
    <row r="337" spans="1:14" x14ac:dyDescent="0.25">
      <c r="A337">
        <v>162.585611</v>
      </c>
      <c r="B337" s="1">
        <f>DATE(2010,10,10) + TIME(14,3,16)</f>
        <v>40461.585601851853</v>
      </c>
      <c r="C337">
        <v>80</v>
      </c>
      <c r="D337">
        <v>79.839752196999996</v>
      </c>
      <c r="E337">
        <v>50</v>
      </c>
      <c r="F337">
        <v>19.937538147000001</v>
      </c>
      <c r="G337">
        <v>1355.6658935999999</v>
      </c>
      <c r="H337">
        <v>1348.777832</v>
      </c>
      <c r="I337">
        <v>1300.2404785000001</v>
      </c>
      <c r="J337">
        <v>1282.7578125</v>
      </c>
      <c r="K337">
        <v>1100</v>
      </c>
      <c r="L337">
        <v>0</v>
      </c>
      <c r="M337">
        <v>0</v>
      </c>
      <c r="N337">
        <v>1100</v>
      </c>
    </row>
    <row r="338" spans="1:14" x14ac:dyDescent="0.25">
      <c r="A338">
        <v>163.999548</v>
      </c>
      <c r="B338" s="1">
        <f>DATE(2010,10,11) + TIME(23,59,20)</f>
        <v>40462.999537037038</v>
      </c>
      <c r="C338">
        <v>80</v>
      </c>
      <c r="D338">
        <v>79.840011597</v>
      </c>
      <c r="E338">
        <v>50</v>
      </c>
      <c r="F338">
        <v>20.275878905999999</v>
      </c>
      <c r="G338">
        <v>1355.6293945</v>
      </c>
      <c r="H338">
        <v>1348.7441406</v>
      </c>
      <c r="I338">
        <v>1300.331543</v>
      </c>
      <c r="J338">
        <v>1282.9351807</v>
      </c>
      <c r="K338">
        <v>1100</v>
      </c>
      <c r="L338">
        <v>0</v>
      </c>
      <c r="M338">
        <v>0</v>
      </c>
      <c r="N338">
        <v>1100</v>
      </c>
    </row>
    <row r="339" spans="1:14" x14ac:dyDescent="0.25">
      <c r="A339">
        <v>165.43454399999999</v>
      </c>
      <c r="B339" s="1">
        <f>DATE(2010,10,13) + TIME(10,25,44)</f>
        <v>40464.434537037036</v>
      </c>
      <c r="C339">
        <v>80</v>
      </c>
      <c r="D339">
        <v>79.840286254999995</v>
      </c>
      <c r="E339">
        <v>50</v>
      </c>
      <c r="F339">
        <v>20.627979279000002</v>
      </c>
      <c r="G339">
        <v>1355.5927733999999</v>
      </c>
      <c r="H339">
        <v>1348.7103271000001</v>
      </c>
      <c r="I339">
        <v>1300.4245605000001</v>
      </c>
      <c r="J339">
        <v>1283.1192627</v>
      </c>
      <c r="K339">
        <v>1100</v>
      </c>
      <c r="L339">
        <v>0</v>
      </c>
      <c r="M339">
        <v>0</v>
      </c>
      <c r="N339">
        <v>1100</v>
      </c>
    </row>
    <row r="340" spans="1:14" x14ac:dyDescent="0.25">
      <c r="A340">
        <v>166.894282</v>
      </c>
      <c r="B340" s="1">
        <f>DATE(2010,10,14) + TIME(21,27,45)</f>
        <v>40465.894270833334</v>
      </c>
      <c r="C340">
        <v>80</v>
      </c>
      <c r="D340">
        <v>79.840553283999995</v>
      </c>
      <c r="E340">
        <v>50</v>
      </c>
      <c r="F340">
        <v>20.993989943999999</v>
      </c>
      <c r="G340">
        <v>1355.5557861</v>
      </c>
      <c r="H340">
        <v>1348.6762695</v>
      </c>
      <c r="I340">
        <v>1300.5200195</v>
      </c>
      <c r="J340">
        <v>1283.3103027</v>
      </c>
      <c r="K340">
        <v>1100</v>
      </c>
      <c r="L340">
        <v>0</v>
      </c>
      <c r="M340">
        <v>0</v>
      </c>
      <c r="N340">
        <v>1100</v>
      </c>
    </row>
    <row r="341" spans="1:14" x14ac:dyDescent="0.25">
      <c r="A341">
        <v>168.382521</v>
      </c>
      <c r="B341" s="1">
        <f>DATE(2010,10,16) + TIME(9,10,49)</f>
        <v>40467.382511574076</v>
      </c>
      <c r="C341">
        <v>80</v>
      </c>
      <c r="D341">
        <v>79.840835571</v>
      </c>
      <c r="E341">
        <v>50</v>
      </c>
      <c r="F341">
        <v>21.374128341999999</v>
      </c>
      <c r="G341">
        <v>1355.5185547000001</v>
      </c>
      <c r="H341">
        <v>1348.6419678</v>
      </c>
      <c r="I341">
        <v>1300.6181641000001</v>
      </c>
      <c r="J341">
        <v>1283.5087891000001</v>
      </c>
      <c r="K341">
        <v>1100</v>
      </c>
      <c r="L341">
        <v>0</v>
      </c>
      <c r="M341">
        <v>0</v>
      </c>
      <c r="N341">
        <v>1100</v>
      </c>
    </row>
    <row r="342" spans="1:14" x14ac:dyDescent="0.25">
      <c r="A342">
        <v>169.88906299999999</v>
      </c>
      <c r="B342" s="1">
        <f>DATE(2010,10,17) + TIME(21,20,15)</f>
        <v>40468.889062499999</v>
      </c>
      <c r="C342">
        <v>80</v>
      </c>
      <c r="D342">
        <v>79.841110228999995</v>
      </c>
      <c r="E342">
        <v>50</v>
      </c>
      <c r="F342">
        <v>21.766668320000001</v>
      </c>
      <c r="G342">
        <v>1355.480957</v>
      </c>
      <c r="H342">
        <v>1348.6072998</v>
      </c>
      <c r="I342">
        <v>1300.7194824000001</v>
      </c>
      <c r="J342">
        <v>1283.7144774999999</v>
      </c>
      <c r="K342">
        <v>1100</v>
      </c>
      <c r="L342">
        <v>0</v>
      </c>
      <c r="M342">
        <v>0</v>
      </c>
      <c r="N342">
        <v>1100</v>
      </c>
    </row>
    <row r="343" spans="1:14" x14ac:dyDescent="0.25">
      <c r="A343">
        <v>171.41638900000001</v>
      </c>
      <c r="B343" s="1">
        <f>DATE(2010,10,19) + TIME(9,59,36)</f>
        <v>40470.416388888887</v>
      </c>
      <c r="C343">
        <v>80</v>
      </c>
      <c r="D343">
        <v>79.841392517000003</v>
      </c>
      <c r="E343">
        <v>50</v>
      </c>
      <c r="F343">
        <v>22.170726775999999</v>
      </c>
      <c r="G343">
        <v>1355.4432373</v>
      </c>
      <c r="H343">
        <v>1348.5725098</v>
      </c>
      <c r="I343">
        <v>1300.8231201000001</v>
      </c>
      <c r="J343">
        <v>1283.9265137</v>
      </c>
      <c r="K343">
        <v>1100</v>
      </c>
      <c r="L343">
        <v>0</v>
      </c>
      <c r="M343">
        <v>0</v>
      </c>
      <c r="N343">
        <v>1100</v>
      </c>
    </row>
    <row r="344" spans="1:14" x14ac:dyDescent="0.25">
      <c r="A344">
        <v>172.96806799999999</v>
      </c>
      <c r="B344" s="1">
        <f>DATE(2010,10,20) + TIME(23,14,1)</f>
        <v>40471.96806712963</v>
      </c>
      <c r="C344">
        <v>80</v>
      </c>
      <c r="D344">
        <v>79.841682434000006</v>
      </c>
      <c r="E344">
        <v>50</v>
      </c>
      <c r="F344">
        <v>22.585798264000001</v>
      </c>
      <c r="G344">
        <v>1355.4053954999999</v>
      </c>
      <c r="H344">
        <v>1348.5375977000001</v>
      </c>
      <c r="I344">
        <v>1300.9293213000001</v>
      </c>
      <c r="J344">
        <v>1284.1447754000001</v>
      </c>
      <c r="K344">
        <v>1100</v>
      </c>
      <c r="L344">
        <v>0</v>
      </c>
      <c r="M344">
        <v>0</v>
      </c>
      <c r="N344">
        <v>1100</v>
      </c>
    </row>
    <row r="345" spans="1:14" x14ac:dyDescent="0.25">
      <c r="A345">
        <v>174.54781399999999</v>
      </c>
      <c r="B345" s="1">
        <f>DATE(2010,10,22) + TIME(13,8,51)</f>
        <v>40473.547812500001</v>
      </c>
      <c r="C345">
        <v>80</v>
      </c>
      <c r="D345">
        <v>79.841972350999995</v>
      </c>
      <c r="E345">
        <v>50</v>
      </c>
      <c r="F345">
        <v>23.011608123999999</v>
      </c>
      <c r="G345">
        <v>1355.3674315999999</v>
      </c>
      <c r="H345">
        <v>1348.5025635</v>
      </c>
      <c r="I345">
        <v>1301.0382079999999</v>
      </c>
      <c r="J345">
        <v>1284.3696289</v>
      </c>
      <c r="K345">
        <v>1100</v>
      </c>
      <c r="L345">
        <v>0</v>
      </c>
      <c r="M345">
        <v>0</v>
      </c>
      <c r="N345">
        <v>1100</v>
      </c>
    </row>
    <row r="346" spans="1:14" x14ac:dyDescent="0.25">
      <c r="A346">
        <v>176.159436</v>
      </c>
      <c r="B346" s="1">
        <f>DATE(2010,10,24) + TIME(3,49,35)</f>
        <v>40475.159432870372</v>
      </c>
      <c r="C346">
        <v>80</v>
      </c>
      <c r="D346">
        <v>79.842269896999994</v>
      </c>
      <c r="E346">
        <v>50</v>
      </c>
      <c r="F346">
        <v>23.447988509999998</v>
      </c>
      <c r="G346">
        <v>1355.3291016000001</v>
      </c>
      <c r="H346">
        <v>1348.4674072</v>
      </c>
      <c r="I346">
        <v>1301.1501464999999</v>
      </c>
      <c r="J346">
        <v>1284.6010742000001</v>
      </c>
      <c r="K346">
        <v>1100</v>
      </c>
      <c r="L346">
        <v>0</v>
      </c>
      <c r="M346">
        <v>0</v>
      </c>
      <c r="N346">
        <v>1100</v>
      </c>
    </row>
    <row r="347" spans="1:14" x14ac:dyDescent="0.25">
      <c r="A347">
        <v>177.80686700000001</v>
      </c>
      <c r="B347" s="1">
        <f>DATE(2010,10,25) + TIME(19,21,53)</f>
        <v>40476.806863425925</v>
      </c>
      <c r="C347">
        <v>80</v>
      </c>
      <c r="D347">
        <v>79.842567443999997</v>
      </c>
      <c r="E347">
        <v>50</v>
      </c>
      <c r="F347">
        <v>23.894845963000002</v>
      </c>
      <c r="G347">
        <v>1355.2906493999999</v>
      </c>
      <c r="H347">
        <v>1348.4318848</v>
      </c>
      <c r="I347">
        <v>1301.2655029</v>
      </c>
      <c r="J347">
        <v>1284.8392334</v>
      </c>
      <c r="K347">
        <v>1100</v>
      </c>
      <c r="L347">
        <v>0</v>
      </c>
      <c r="M347">
        <v>0</v>
      </c>
      <c r="N347">
        <v>1100</v>
      </c>
    </row>
    <row r="348" spans="1:14" x14ac:dyDescent="0.25">
      <c r="A348">
        <v>179.48090500000001</v>
      </c>
      <c r="B348" s="1">
        <f>DATE(2010,10,27) + TIME(11,32,30)</f>
        <v>40478.480902777781</v>
      </c>
      <c r="C348">
        <v>80</v>
      </c>
      <c r="D348">
        <v>79.842872619999994</v>
      </c>
      <c r="E348">
        <v>50</v>
      </c>
      <c r="F348">
        <v>24.350337981999999</v>
      </c>
      <c r="G348">
        <v>1355.2517089999999</v>
      </c>
      <c r="H348">
        <v>1348.3962402</v>
      </c>
      <c r="I348">
        <v>1301.3846435999999</v>
      </c>
      <c r="J348">
        <v>1285.0841064000001</v>
      </c>
      <c r="K348">
        <v>1100</v>
      </c>
      <c r="L348">
        <v>0</v>
      </c>
      <c r="M348">
        <v>0</v>
      </c>
      <c r="N348">
        <v>1100</v>
      </c>
    </row>
    <row r="349" spans="1:14" x14ac:dyDescent="0.25">
      <c r="A349">
        <v>181.18310099999999</v>
      </c>
      <c r="B349" s="1">
        <f>DATE(2010,10,29) + TIME(4,23,39)</f>
        <v>40480.18309027778</v>
      </c>
      <c r="C349">
        <v>80</v>
      </c>
      <c r="D349">
        <v>79.843177795000003</v>
      </c>
      <c r="E349">
        <v>50</v>
      </c>
      <c r="F349">
        <v>24.813169478999999</v>
      </c>
      <c r="G349">
        <v>1355.2127685999999</v>
      </c>
      <c r="H349">
        <v>1348.3604736</v>
      </c>
      <c r="I349">
        <v>1301.5067139</v>
      </c>
      <c r="J349">
        <v>1285.3343506000001</v>
      </c>
      <c r="K349">
        <v>1100</v>
      </c>
      <c r="L349">
        <v>0</v>
      </c>
      <c r="M349">
        <v>0</v>
      </c>
      <c r="N349">
        <v>1100</v>
      </c>
    </row>
    <row r="350" spans="1:14" x14ac:dyDescent="0.25">
      <c r="A350">
        <v>182.91765100000001</v>
      </c>
      <c r="B350" s="1">
        <f>DATE(2010,10,30) + TIME(22,1,25)</f>
        <v>40481.917650462965</v>
      </c>
      <c r="C350">
        <v>80</v>
      </c>
      <c r="D350">
        <v>79.843490600999999</v>
      </c>
      <c r="E350">
        <v>50</v>
      </c>
      <c r="F350">
        <v>25.282979964999999</v>
      </c>
      <c r="G350">
        <v>1355.1737060999999</v>
      </c>
      <c r="H350">
        <v>1348.324707</v>
      </c>
      <c r="I350">
        <v>1301.6315918</v>
      </c>
      <c r="J350">
        <v>1285.5898437999999</v>
      </c>
      <c r="K350">
        <v>1100</v>
      </c>
      <c r="L350">
        <v>0</v>
      </c>
      <c r="M350">
        <v>0</v>
      </c>
      <c r="N350">
        <v>1100</v>
      </c>
    </row>
    <row r="351" spans="1:14" x14ac:dyDescent="0.25">
      <c r="A351">
        <v>184</v>
      </c>
      <c r="B351" s="1">
        <f>DATE(2010,11,1) + TIME(0,0,0)</f>
        <v>40483</v>
      </c>
      <c r="C351">
        <v>80</v>
      </c>
      <c r="D351">
        <v>79.843666076999995</v>
      </c>
      <c r="E351">
        <v>50</v>
      </c>
      <c r="F351">
        <v>25.647529601999999</v>
      </c>
      <c r="G351">
        <v>1355.1346435999999</v>
      </c>
      <c r="H351">
        <v>1348.2889404</v>
      </c>
      <c r="I351">
        <v>1301.7680664</v>
      </c>
      <c r="J351">
        <v>1285.8237305</v>
      </c>
      <c r="K351">
        <v>1100</v>
      </c>
      <c r="L351">
        <v>0</v>
      </c>
      <c r="M351">
        <v>0</v>
      </c>
      <c r="N351">
        <v>1100</v>
      </c>
    </row>
    <row r="352" spans="1:14" x14ac:dyDescent="0.25">
      <c r="A352">
        <v>184.000001</v>
      </c>
      <c r="B352" s="1">
        <f>DATE(2010,11,1) + TIME(0,0,0)</f>
        <v>40483</v>
      </c>
      <c r="C352">
        <v>80</v>
      </c>
      <c r="D352">
        <v>79.843612671000002</v>
      </c>
      <c r="E352">
        <v>50</v>
      </c>
      <c r="F352">
        <v>25.647596359000001</v>
      </c>
      <c r="G352">
        <v>1347.8897704999999</v>
      </c>
      <c r="H352">
        <v>1343.1290283000001</v>
      </c>
      <c r="I352">
        <v>1318.0883789</v>
      </c>
      <c r="J352">
        <v>1302.2275391000001</v>
      </c>
      <c r="K352">
        <v>0</v>
      </c>
      <c r="L352">
        <v>1100</v>
      </c>
      <c r="M352">
        <v>1100</v>
      </c>
      <c r="N352">
        <v>0</v>
      </c>
    </row>
    <row r="353" spans="1:14" x14ac:dyDescent="0.25">
      <c r="A353">
        <v>184.00000399999999</v>
      </c>
      <c r="B353" s="1">
        <f>DATE(2010,11,1) + TIME(0,0,0)</f>
        <v>40483</v>
      </c>
      <c r="C353">
        <v>80</v>
      </c>
      <c r="D353">
        <v>79.843467712000006</v>
      </c>
      <c r="E353">
        <v>50</v>
      </c>
      <c r="F353">
        <v>25.647781372000001</v>
      </c>
      <c r="G353">
        <v>1346.8808594</v>
      </c>
      <c r="H353">
        <v>1342.1192627</v>
      </c>
      <c r="I353">
        <v>1319.2274170000001</v>
      </c>
      <c r="J353">
        <v>1303.5028076000001</v>
      </c>
      <c r="K353">
        <v>0</v>
      </c>
      <c r="L353">
        <v>1100</v>
      </c>
      <c r="M353">
        <v>1100</v>
      </c>
      <c r="N353">
        <v>0</v>
      </c>
    </row>
    <row r="354" spans="1:14" x14ac:dyDescent="0.25">
      <c r="A354">
        <v>184.000013</v>
      </c>
      <c r="B354" s="1">
        <f>DATE(2010,11,1) + TIME(0,0,1)</f>
        <v>40483.000011574077</v>
      </c>
      <c r="C354">
        <v>80</v>
      </c>
      <c r="D354">
        <v>79.843177795000003</v>
      </c>
      <c r="E354">
        <v>50</v>
      </c>
      <c r="F354">
        <v>25.648260117</v>
      </c>
      <c r="G354">
        <v>1344.8432617000001</v>
      </c>
      <c r="H354">
        <v>1340.0808105000001</v>
      </c>
      <c r="I354">
        <v>1322.0847168</v>
      </c>
      <c r="J354">
        <v>1306.628418</v>
      </c>
      <c r="K354">
        <v>0</v>
      </c>
      <c r="L354">
        <v>1100</v>
      </c>
      <c r="M354">
        <v>1100</v>
      </c>
      <c r="N354">
        <v>0</v>
      </c>
    </row>
    <row r="355" spans="1:14" x14ac:dyDescent="0.25">
      <c r="A355">
        <v>184.00004000000001</v>
      </c>
      <c r="B355" s="1">
        <f>DATE(2010,11,1) + TIME(0,0,3)</f>
        <v>40483.000034722223</v>
      </c>
      <c r="C355">
        <v>80</v>
      </c>
      <c r="D355">
        <v>79.842750549000002</v>
      </c>
      <c r="E355">
        <v>50</v>
      </c>
      <c r="F355">
        <v>25.649314879999999</v>
      </c>
      <c r="G355">
        <v>1341.8645019999999</v>
      </c>
      <c r="H355">
        <v>1337.1021728999999</v>
      </c>
      <c r="I355">
        <v>1327.7963867000001</v>
      </c>
      <c r="J355">
        <v>1312.6469727000001</v>
      </c>
      <c r="K355">
        <v>0</v>
      </c>
      <c r="L355">
        <v>1100</v>
      </c>
      <c r="M355">
        <v>1100</v>
      </c>
      <c r="N355">
        <v>0</v>
      </c>
    </row>
    <row r="356" spans="1:14" x14ac:dyDescent="0.25">
      <c r="A356">
        <v>184.00012100000001</v>
      </c>
      <c r="B356" s="1">
        <f>DATE(2010,11,1) + TIME(0,0,10)</f>
        <v>40483.000115740739</v>
      </c>
      <c r="C356">
        <v>80</v>
      </c>
      <c r="D356">
        <v>79.842254639000004</v>
      </c>
      <c r="E356">
        <v>50</v>
      </c>
      <c r="F356">
        <v>25.651353835999998</v>
      </c>
      <c r="G356">
        <v>1338.5363769999999</v>
      </c>
      <c r="H356">
        <v>1333.7811279</v>
      </c>
      <c r="I356">
        <v>1335.9870605000001</v>
      </c>
      <c r="J356">
        <v>1320.885376</v>
      </c>
      <c r="K356">
        <v>0</v>
      </c>
      <c r="L356">
        <v>1100</v>
      </c>
      <c r="M356">
        <v>1100</v>
      </c>
      <c r="N356">
        <v>0</v>
      </c>
    </row>
    <row r="357" spans="1:14" x14ac:dyDescent="0.25">
      <c r="A357">
        <v>184.00036399999999</v>
      </c>
      <c r="B357" s="1">
        <f>DATE(2010,11,1) + TIME(0,0,31)</f>
        <v>40483.000358796293</v>
      </c>
      <c r="C357">
        <v>80</v>
      </c>
      <c r="D357">
        <v>79.841705321999996</v>
      </c>
      <c r="E357">
        <v>50</v>
      </c>
      <c r="F357">
        <v>25.655744553000002</v>
      </c>
      <c r="G357">
        <v>1335.1561279</v>
      </c>
      <c r="H357">
        <v>1330.3920897999999</v>
      </c>
      <c r="I357">
        <v>1345.0931396000001</v>
      </c>
      <c r="J357">
        <v>1329.9656981999999</v>
      </c>
      <c r="K357">
        <v>0</v>
      </c>
      <c r="L357">
        <v>1100</v>
      </c>
      <c r="M357">
        <v>1100</v>
      </c>
      <c r="N357">
        <v>0</v>
      </c>
    </row>
    <row r="358" spans="1:14" x14ac:dyDescent="0.25">
      <c r="A358">
        <v>184.001093</v>
      </c>
      <c r="B358" s="1">
        <f>DATE(2010,11,1) + TIME(0,1,34)</f>
        <v>40483.001087962963</v>
      </c>
      <c r="C358">
        <v>80</v>
      </c>
      <c r="D358">
        <v>79.840965271000002</v>
      </c>
      <c r="E358">
        <v>50</v>
      </c>
      <c r="F358">
        <v>25.666912078999999</v>
      </c>
      <c r="G358">
        <v>1331.59375</v>
      </c>
      <c r="H358">
        <v>1326.7550048999999</v>
      </c>
      <c r="I358">
        <v>1354.1972656</v>
      </c>
      <c r="J358">
        <v>1339.0682373</v>
      </c>
      <c r="K358">
        <v>0</v>
      </c>
      <c r="L358">
        <v>1100</v>
      </c>
      <c r="M358">
        <v>1100</v>
      </c>
      <c r="N358">
        <v>0</v>
      </c>
    </row>
    <row r="359" spans="1:14" x14ac:dyDescent="0.25">
      <c r="A359">
        <v>184.00327999999999</v>
      </c>
      <c r="B359" s="1">
        <f>DATE(2010,11,1) + TIME(0,4,43)</f>
        <v>40483.003275462965</v>
      </c>
      <c r="C359">
        <v>80</v>
      </c>
      <c r="D359">
        <v>79.839714049999998</v>
      </c>
      <c r="E359">
        <v>50</v>
      </c>
      <c r="F359">
        <v>25.698381424000001</v>
      </c>
      <c r="G359">
        <v>1327.7001952999999</v>
      </c>
      <c r="H359">
        <v>1322.7254639</v>
      </c>
      <c r="I359">
        <v>1362.6151123</v>
      </c>
      <c r="J359">
        <v>1347.4453125</v>
      </c>
      <c r="K359">
        <v>0</v>
      </c>
      <c r="L359">
        <v>1100</v>
      </c>
      <c r="M359">
        <v>1100</v>
      </c>
      <c r="N359">
        <v>0</v>
      </c>
    </row>
    <row r="360" spans="1:14" x14ac:dyDescent="0.25">
      <c r="A360">
        <v>184.00984099999999</v>
      </c>
      <c r="B360" s="1">
        <f>DATE(2010,11,1) + TIME(0,14,10)</f>
        <v>40483.009837962964</v>
      </c>
      <c r="C360">
        <v>80</v>
      </c>
      <c r="D360">
        <v>79.837036132999998</v>
      </c>
      <c r="E360">
        <v>50</v>
      </c>
      <c r="F360">
        <v>25.791000365999999</v>
      </c>
      <c r="G360">
        <v>1323.9528809000001</v>
      </c>
      <c r="H360">
        <v>1318.8806152</v>
      </c>
      <c r="I360">
        <v>1369.0026855000001</v>
      </c>
      <c r="J360">
        <v>1353.7593993999999</v>
      </c>
      <c r="K360">
        <v>0</v>
      </c>
      <c r="L360">
        <v>1100</v>
      </c>
      <c r="M360">
        <v>1100</v>
      </c>
      <c r="N360">
        <v>0</v>
      </c>
    </row>
    <row r="361" spans="1:14" x14ac:dyDescent="0.25">
      <c r="A361">
        <v>184.02952400000001</v>
      </c>
      <c r="B361" s="1">
        <f>DATE(2010,11,1) + TIME(0,42,30)</f>
        <v>40483.029513888891</v>
      </c>
      <c r="C361">
        <v>80</v>
      </c>
      <c r="D361">
        <v>79.830261230000005</v>
      </c>
      <c r="E361">
        <v>50</v>
      </c>
      <c r="F361">
        <v>26.065542221000001</v>
      </c>
      <c r="G361">
        <v>1321.2507324000001</v>
      </c>
      <c r="H361">
        <v>1316.1461182</v>
      </c>
      <c r="I361">
        <v>1372.4091797000001</v>
      </c>
      <c r="J361">
        <v>1357.1770019999999</v>
      </c>
      <c r="K361">
        <v>0</v>
      </c>
      <c r="L361">
        <v>1100</v>
      </c>
      <c r="M361">
        <v>1100</v>
      </c>
      <c r="N361">
        <v>0</v>
      </c>
    </row>
    <row r="362" spans="1:14" x14ac:dyDescent="0.25">
      <c r="A362">
        <v>184.088573</v>
      </c>
      <c r="B362" s="1">
        <f>DATE(2010,11,1) + TIME(2,7,32)</f>
        <v>40483.088564814818</v>
      </c>
      <c r="C362">
        <v>80</v>
      </c>
      <c r="D362">
        <v>79.811302185000002</v>
      </c>
      <c r="E362">
        <v>50</v>
      </c>
      <c r="F362">
        <v>26.861715317000002</v>
      </c>
      <c r="G362">
        <v>1319.9323730000001</v>
      </c>
      <c r="H362">
        <v>1314.8206786999999</v>
      </c>
      <c r="I362">
        <v>1373.1739502</v>
      </c>
      <c r="J362">
        <v>1358.1987305</v>
      </c>
      <c r="K362">
        <v>0</v>
      </c>
      <c r="L362">
        <v>1100</v>
      </c>
      <c r="M362">
        <v>1100</v>
      </c>
      <c r="N362">
        <v>0</v>
      </c>
    </row>
    <row r="363" spans="1:14" x14ac:dyDescent="0.25">
      <c r="A363">
        <v>184.152254</v>
      </c>
      <c r="B363" s="1">
        <f>DATE(2010,11,1) + TIME(3,39,14)</f>
        <v>40483.152245370373</v>
      </c>
      <c r="C363">
        <v>80</v>
      </c>
      <c r="D363">
        <v>79.791252135999997</v>
      </c>
      <c r="E363">
        <v>50</v>
      </c>
      <c r="F363">
        <v>27.689676285000001</v>
      </c>
      <c r="G363">
        <v>1319.6296387</v>
      </c>
      <c r="H363">
        <v>1314.5167236</v>
      </c>
      <c r="I363">
        <v>1372.8842772999999</v>
      </c>
      <c r="J363">
        <v>1358.1896973</v>
      </c>
      <c r="K363">
        <v>0</v>
      </c>
      <c r="L363">
        <v>1100</v>
      </c>
      <c r="M363">
        <v>1100</v>
      </c>
      <c r="N363">
        <v>0</v>
      </c>
    </row>
    <row r="364" spans="1:14" x14ac:dyDescent="0.25">
      <c r="A364">
        <v>184.21771699999999</v>
      </c>
      <c r="B364" s="1">
        <f>DATE(2010,11,1) + TIME(5,13,30)</f>
        <v>40483.21770833333</v>
      </c>
      <c r="C364">
        <v>80</v>
      </c>
      <c r="D364">
        <v>79.770889281999999</v>
      </c>
      <c r="E364">
        <v>50</v>
      </c>
      <c r="F364">
        <v>28.509490967000001</v>
      </c>
      <c r="G364">
        <v>1319.5505370999999</v>
      </c>
      <c r="H364">
        <v>1314.4371338000001</v>
      </c>
      <c r="I364">
        <v>1372.4544678</v>
      </c>
      <c r="J364">
        <v>1358.0330810999999</v>
      </c>
      <c r="K364">
        <v>0</v>
      </c>
      <c r="L364">
        <v>1100</v>
      </c>
      <c r="M364">
        <v>1100</v>
      </c>
      <c r="N364">
        <v>0</v>
      </c>
    </row>
    <row r="365" spans="1:14" x14ac:dyDescent="0.25">
      <c r="A365">
        <v>184.28504699999999</v>
      </c>
      <c r="B365" s="1">
        <f>DATE(2010,11,1) + TIME(6,50,28)</f>
        <v>40483.285046296296</v>
      </c>
      <c r="C365">
        <v>80</v>
      </c>
      <c r="D365">
        <v>79.750175475999995</v>
      </c>
      <c r="E365">
        <v>50</v>
      </c>
      <c r="F365">
        <v>29.320774077999999</v>
      </c>
      <c r="G365">
        <v>1319.5269774999999</v>
      </c>
      <c r="H365">
        <v>1314.4130858999999</v>
      </c>
      <c r="I365">
        <v>1372.0236815999999</v>
      </c>
      <c r="J365">
        <v>1357.864624</v>
      </c>
      <c r="K365">
        <v>0</v>
      </c>
      <c r="L365">
        <v>1100</v>
      </c>
      <c r="M365">
        <v>1100</v>
      </c>
      <c r="N365">
        <v>0</v>
      </c>
    </row>
    <row r="366" spans="1:14" x14ac:dyDescent="0.25">
      <c r="A366">
        <v>184.354365</v>
      </c>
      <c r="B366" s="1">
        <f>DATE(2010,11,1) + TIME(8,30,17)</f>
        <v>40483.354363425926</v>
      </c>
      <c r="C366">
        <v>80</v>
      </c>
      <c r="D366">
        <v>79.729087829999997</v>
      </c>
      <c r="E366">
        <v>50</v>
      </c>
      <c r="F366">
        <v>30.123584746999999</v>
      </c>
      <c r="G366">
        <v>1319.519043</v>
      </c>
      <c r="H366">
        <v>1314.4046631000001</v>
      </c>
      <c r="I366">
        <v>1371.6112060999999</v>
      </c>
      <c r="J366">
        <v>1357.7032471</v>
      </c>
      <c r="K366">
        <v>0</v>
      </c>
      <c r="L366">
        <v>1100</v>
      </c>
      <c r="M366">
        <v>1100</v>
      </c>
      <c r="N366">
        <v>0</v>
      </c>
    </row>
    <row r="367" spans="1:14" x14ac:dyDescent="0.25">
      <c r="A367">
        <v>184.42577499999999</v>
      </c>
      <c r="B367" s="1">
        <f>DATE(2010,11,1) + TIME(10,13,6)</f>
        <v>40483.425763888888</v>
      </c>
      <c r="C367">
        <v>80</v>
      </c>
      <c r="D367">
        <v>79.707611084000007</v>
      </c>
      <c r="E367">
        <v>50</v>
      </c>
      <c r="F367">
        <v>30.917726516999998</v>
      </c>
      <c r="G367">
        <v>1319.5157471</v>
      </c>
      <c r="H367">
        <v>1314.401001</v>
      </c>
      <c r="I367">
        <v>1371.2178954999999</v>
      </c>
      <c r="J367">
        <v>1357.5499268000001</v>
      </c>
      <c r="K367">
        <v>0</v>
      </c>
      <c r="L367">
        <v>1100</v>
      </c>
      <c r="M367">
        <v>1100</v>
      </c>
      <c r="N367">
        <v>0</v>
      </c>
    </row>
    <row r="368" spans="1:14" x14ac:dyDescent="0.25">
      <c r="A368">
        <v>184.499439</v>
      </c>
      <c r="B368" s="1">
        <f>DATE(2010,11,1) + TIME(11,59,11)</f>
        <v>40483.499432870369</v>
      </c>
      <c r="C368">
        <v>80</v>
      </c>
      <c r="D368">
        <v>79.685699463000006</v>
      </c>
      <c r="E368">
        <v>50</v>
      </c>
      <c r="F368">
        <v>31.703250884999999</v>
      </c>
      <c r="G368">
        <v>1319.5139160000001</v>
      </c>
      <c r="H368">
        <v>1314.3985596</v>
      </c>
      <c r="I368">
        <v>1370.8419189000001</v>
      </c>
      <c r="J368">
        <v>1357.4035644999999</v>
      </c>
      <c r="K368">
        <v>0</v>
      </c>
      <c r="L368">
        <v>1100</v>
      </c>
      <c r="M368">
        <v>1100</v>
      </c>
      <c r="N368">
        <v>0</v>
      </c>
    </row>
    <row r="369" spans="1:14" x14ac:dyDescent="0.25">
      <c r="A369">
        <v>184.57555500000001</v>
      </c>
      <c r="B369" s="1">
        <f>DATE(2010,11,1) + TIME(13,48,47)</f>
        <v>40483.575543981482</v>
      </c>
      <c r="C369">
        <v>80</v>
      </c>
      <c r="D369">
        <v>79.663314818999993</v>
      </c>
      <c r="E369">
        <v>50</v>
      </c>
      <c r="F369">
        <v>32.480487822999997</v>
      </c>
      <c r="G369">
        <v>1319.5123291</v>
      </c>
      <c r="H369">
        <v>1314.3966064000001</v>
      </c>
      <c r="I369">
        <v>1370.4816894999999</v>
      </c>
      <c r="J369">
        <v>1357.2631836</v>
      </c>
      <c r="K369">
        <v>0</v>
      </c>
      <c r="L369">
        <v>1100</v>
      </c>
      <c r="M369">
        <v>1100</v>
      </c>
      <c r="N369">
        <v>0</v>
      </c>
    </row>
    <row r="370" spans="1:14" x14ac:dyDescent="0.25">
      <c r="A370">
        <v>184.654313</v>
      </c>
      <c r="B370" s="1">
        <f>DATE(2010,11,1) + TIME(15,42,12)</f>
        <v>40483.654305555552</v>
      </c>
      <c r="C370">
        <v>80</v>
      </c>
      <c r="D370">
        <v>79.640426636000001</v>
      </c>
      <c r="E370">
        <v>50</v>
      </c>
      <c r="F370">
        <v>33.249473571999999</v>
      </c>
      <c r="G370">
        <v>1319.5109863</v>
      </c>
      <c r="H370">
        <v>1314.3946533000001</v>
      </c>
      <c r="I370">
        <v>1370.1359863</v>
      </c>
      <c r="J370">
        <v>1357.1282959</v>
      </c>
      <c r="K370">
        <v>0</v>
      </c>
      <c r="L370">
        <v>1100</v>
      </c>
      <c r="M370">
        <v>1100</v>
      </c>
      <c r="N370">
        <v>0</v>
      </c>
    </row>
    <row r="371" spans="1:14" x14ac:dyDescent="0.25">
      <c r="A371">
        <v>184.73592400000001</v>
      </c>
      <c r="B371" s="1">
        <f>DATE(2010,11,1) + TIME(17,39,43)</f>
        <v>40483.735914351855</v>
      </c>
      <c r="C371">
        <v>80</v>
      </c>
      <c r="D371">
        <v>79.616981506000002</v>
      </c>
      <c r="E371">
        <v>50</v>
      </c>
      <c r="F371">
        <v>34.010211945000002</v>
      </c>
      <c r="G371">
        <v>1319.5093993999999</v>
      </c>
      <c r="H371">
        <v>1314.3925781</v>
      </c>
      <c r="I371">
        <v>1369.8041992000001</v>
      </c>
      <c r="J371">
        <v>1356.9982910000001</v>
      </c>
      <c r="K371">
        <v>0</v>
      </c>
      <c r="L371">
        <v>1100</v>
      </c>
      <c r="M371">
        <v>1100</v>
      </c>
      <c r="N371">
        <v>0</v>
      </c>
    </row>
    <row r="372" spans="1:14" x14ac:dyDescent="0.25">
      <c r="A372">
        <v>184.82059899999999</v>
      </c>
      <c r="B372" s="1">
        <f>DATE(2010,11,1) + TIME(19,41,39)</f>
        <v>40483.820590277777</v>
      </c>
      <c r="C372">
        <v>80</v>
      </c>
      <c r="D372">
        <v>79.592948914000004</v>
      </c>
      <c r="E372">
        <v>50</v>
      </c>
      <c r="F372">
        <v>34.762466431</v>
      </c>
      <c r="G372">
        <v>1319.5078125</v>
      </c>
      <c r="H372">
        <v>1314.3903809000001</v>
      </c>
      <c r="I372">
        <v>1369.4853516000001</v>
      </c>
      <c r="J372">
        <v>1356.8729248</v>
      </c>
      <c r="K372">
        <v>0</v>
      </c>
      <c r="L372">
        <v>1100</v>
      </c>
      <c r="M372">
        <v>1100</v>
      </c>
      <c r="N372">
        <v>0</v>
      </c>
    </row>
    <row r="373" spans="1:14" x14ac:dyDescent="0.25">
      <c r="A373">
        <v>184.90858600000001</v>
      </c>
      <c r="B373" s="1">
        <f>DATE(2010,11,1) + TIME(21,48,21)</f>
        <v>40483.908576388887</v>
      </c>
      <c r="C373">
        <v>80</v>
      </c>
      <c r="D373">
        <v>79.568275451999995</v>
      </c>
      <c r="E373">
        <v>50</v>
      </c>
      <c r="F373">
        <v>35.506095885999997</v>
      </c>
      <c r="G373">
        <v>1319.5061035000001</v>
      </c>
      <c r="H373">
        <v>1314.3880615</v>
      </c>
      <c r="I373">
        <v>1369.1788329999999</v>
      </c>
      <c r="J373">
        <v>1356.7519531</v>
      </c>
      <c r="K373">
        <v>0</v>
      </c>
      <c r="L373">
        <v>1100</v>
      </c>
      <c r="M373">
        <v>1100</v>
      </c>
      <c r="N373">
        <v>0</v>
      </c>
    </row>
    <row r="374" spans="1:14" x14ac:dyDescent="0.25">
      <c r="A374">
        <v>185.000213</v>
      </c>
      <c r="B374" s="1">
        <f>DATE(2010,11,2) + TIME(0,0,18)</f>
        <v>40484.000208333331</v>
      </c>
      <c r="C374">
        <v>80</v>
      </c>
      <c r="D374">
        <v>79.542900084999999</v>
      </c>
      <c r="E374">
        <v>50</v>
      </c>
      <c r="F374">
        <v>36.241287231000001</v>
      </c>
      <c r="G374">
        <v>1319.5041504000001</v>
      </c>
      <c r="H374">
        <v>1314.3854980000001</v>
      </c>
      <c r="I374">
        <v>1368.8839111</v>
      </c>
      <c r="J374">
        <v>1356.6350098</v>
      </c>
      <c r="K374">
        <v>0</v>
      </c>
      <c r="L374">
        <v>1100</v>
      </c>
      <c r="M374">
        <v>1100</v>
      </c>
      <c r="N374">
        <v>0</v>
      </c>
    </row>
    <row r="375" spans="1:14" x14ac:dyDescent="0.25">
      <c r="A375">
        <v>185.095811</v>
      </c>
      <c r="B375" s="1">
        <f>DATE(2010,11,2) + TIME(2,17,58)</f>
        <v>40484.095810185187</v>
      </c>
      <c r="C375">
        <v>80</v>
      </c>
      <c r="D375">
        <v>79.516754149999997</v>
      </c>
      <c r="E375">
        <v>50</v>
      </c>
      <c r="F375">
        <v>36.967903137</v>
      </c>
      <c r="G375">
        <v>1319.5020752</v>
      </c>
      <c r="H375">
        <v>1314.3826904</v>
      </c>
      <c r="I375">
        <v>1368.5998535000001</v>
      </c>
      <c r="J375">
        <v>1356.5217285000001</v>
      </c>
      <c r="K375">
        <v>0</v>
      </c>
      <c r="L375">
        <v>1100</v>
      </c>
      <c r="M375">
        <v>1100</v>
      </c>
      <c r="N375">
        <v>0</v>
      </c>
    </row>
    <row r="376" spans="1:14" x14ac:dyDescent="0.25">
      <c r="A376">
        <v>185.19575800000001</v>
      </c>
      <c r="B376" s="1">
        <f>DATE(2010,11,2) + TIME(4,41,53)</f>
        <v>40484.195752314816</v>
      </c>
      <c r="C376">
        <v>80</v>
      </c>
      <c r="D376">
        <v>79.489776610999996</v>
      </c>
      <c r="E376">
        <v>50</v>
      </c>
      <c r="F376">
        <v>37.685775757000002</v>
      </c>
      <c r="G376">
        <v>1319.4998779</v>
      </c>
      <c r="H376">
        <v>1314.3798827999999</v>
      </c>
      <c r="I376">
        <v>1368.3260498</v>
      </c>
      <c r="J376">
        <v>1356.4118652</v>
      </c>
      <c r="K376">
        <v>0</v>
      </c>
      <c r="L376">
        <v>1100</v>
      </c>
      <c r="M376">
        <v>1100</v>
      </c>
      <c r="N376">
        <v>0</v>
      </c>
    </row>
    <row r="377" spans="1:14" x14ac:dyDescent="0.25">
      <c r="A377">
        <v>185.300479</v>
      </c>
      <c r="B377" s="1">
        <f>DATE(2010,11,2) + TIME(7,12,41)</f>
        <v>40484.300474537034</v>
      </c>
      <c r="C377">
        <v>80</v>
      </c>
      <c r="D377">
        <v>79.461875915999997</v>
      </c>
      <c r="E377">
        <v>50</v>
      </c>
      <c r="F377">
        <v>38.394649506</v>
      </c>
      <c r="G377">
        <v>1319.4974365</v>
      </c>
      <c r="H377">
        <v>1314.3767089999999</v>
      </c>
      <c r="I377">
        <v>1368.0620117000001</v>
      </c>
      <c r="J377">
        <v>1356.3050536999999</v>
      </c>
      <c r="K377">
        <v>0</v>
      </c>
      <c r="L377">
        <v>1100</v>
      </c>
      <c r="M377">
        <v>1100</v>
      </c>
      <c r="N377">
        <v>0</v>
      </c>
    </row>
    <row r="378" spans="1:14" x14ac:dyDescent="0.25">
      <c r="A378">
        <v>185.41045</v>
      </c>
      <c r="B378" s="1">
        <f>DATE(2010,11,2) + TIME(9,51,2)</f>
        <v>40484.410439814812</v>
      </c>
      <c r="C378">
        <v>80</v>
      </c>
      <c r="D378">
        <v>79.43296814</v>
      </c>
      <c r="E378">
        <v>50</v>
      </c>
      <c r="F378">
        <v>39.094161987</v>
      </c>
      <c r="G378">
        <v>1319.4948730000001</v>
      </c>
      <c r="H378">
        <v>1314.3734131000001</v>
      </c>
      <c r="I378">
        <v>1367.8071289</v>
      </c>
      <c r="J378">
        <v>1356.2010498</v>
      </c>
      <c r="K378">
        <v>0</v>
      </c>
      <c r="L378">
        <v>1100</v>
      </c>
      <c r="M378">
        <v>1100</v>
      </c>
      <c r="N378">
        <v>0</v>
      </c>
    </row>
    <row r="379" spans="1:14" x14ac:dyDescent="0.25">
      <c r="A379">
        <v>185.52625900000001</v>
      </c>
      <c r="B379" s="1">
        <f>DATE(2010,11,2) + TIME(12,37,48)</f>
        <v>40484.526250000003</v>
      </c>
      <c r="C379">
        <v>80</v>
      </c>
      <c r="D379">
        <v>79.402954101999995</v>
      </c>
      <c r="E379">
        <v>50</v>
      </c>
      <c r="F379">
        <v>39.784099578999999</v>
      </c>
      <c r="G379">
        <v>1319.4921875</v>
      </c>
      <c r="H379">
        <v>1314.3698730000001</v>
      </c>
      <c r="I379">
        <v>1367.5609131000001</v>
      </c>
      <c r="J379">
        <v>1356.0996094</v>
      </c>
      <c r="K379">
        <v>0</v>
      </c>
      <c r="L379">
        <v>1100</v>
      </c>
      <c r="M379">
        <v>1100</v>
      </c>
      <c r="N379">
        <v>0</v>
      </c>
    </row>
    <row r="380" spans="1:14" x14ac:dyDescent="0.25">
      <c r="A380">
        <v>185.64856499999999</v>
      </c>
      <c r="B380" s="1">
        <f>DATE(2010,11,2) + TIME(15,33,55)</f>
        <v>40484.648553240739</v>
      </c>
      <c r="C380">
        <v>80</v>
      </c>
      <c r="D380">
        <v>79.371696471999996</v>
      </c>
      <c r="E380">
        <v>50</v>
      </c>
      <c r="F380">
        <v>40.464187621999997</v>
      </c>
      <c r="G380">
        <v>1319.4892577999999</v>
      </c>
      <c r="H380">
        <v>1314.3660889</v>
      </c>
      <c r="I380">
        <v>1367.3226318</v>
      </c>
      <c r="J380">
        <v>1356.0003661999999</v>
      </c>
      <c r="K380">
        <v>0</v>
      </c>
      <c r="L380">
        <v>1100</v>
      </c>
      <c r="M380">
        <v>1100</v>
      </c>
      <c r="N380">
        <v>0</v>
      </c>
    </row>
    <row r="381" spans="1:14" x14ac:dyDescent="0.25">
      <c r="A381">
        <v>185.778142</v>
      </c>
      <c r="B381" s="1">
        <f>DATE(2010,11,2) + TIME(18,40,31)</f>
        <v>40484.778136574074</v>
      </c>
      <c r="C381">
        <v>80</v>
      </c>
      <c r="D381">
        <v>79.339073181000003</v>
      </c>
      <c r="E381">
        <v>50</v>
      </c>
      <c r="F381">
        <v>41.133903502999999</v>
      </c>
      <c r="G381">
        <v>1319.4860839999999</v>
      </c>
      <c r="H381">
        <v>1314.3620605000001</v>
      </c>
      <c r="I381">
        <v>1367.0917969</v>
      </c>
      <c r="J381">
        <v>1355.9030762</v>
      </c>
      <c r="K381">
        <v>0</v>
      </c>
      <c r="L381">
        <v>1100</v>
      </c>
      <c r="M381">
        <v>1100</v>
      </c>
      <c r="N381">
        <v>0</v>
      </c>
    </row>
    <row r="382" spans="1:14" x14ac:dyDescent="0.25">
      <c r="A382">
        <v>185.91590500000001</v>
      </c>
      <c r="B382" s="1">
        <f>DATE(2010,11,2) + TIME(21,58,54)</f>
        <v>40484.915902777779</v>
      </c>
      <c r="C382">
        <v>80</v>
      </c>
      <c r="D382">
        <v>79.304901122999993</v>
      </c>
      <c r="E382">
        <v>50</v>
      </c>
      <c r="F382">
        <v>41.792655945</v>
      </c>
      <c r="G382">
        <v>1319.4827881000001</v>
      </c>
      <c r="H382">
        <v>1314.3577881000001</v>
      </c>
      <c r="I382">
        <v>1366.8680420000001</v>
      </c>
      <c r="J382">
        <v>1355.807251</v>
      </c>
      <c r="K382">
        <v>0</v>
      </c>
      <c r="L382">
        <v>1100</v>
      </c>
      <c r="M382">
        <v>1100</v>
      </c>
      <c r="N382">
        <v>0</v>
      </c>
    </row>
    <row r="383" spans="1:14" x14ac:dyDescent="0.25">
      <c r="A383">
        <v>186.06294299999999</v>
      </c>
      <c r="B383" s="1">
        <f>DATE(2010,11,3) + TIME(1,30,38)</f>
        <v>40485.062939814816</v>
      </c>
      <c r="C383">
        <v>80</v>
      </c>
      <c r="D383">
        <v>79.269004821999999</v>
      </c>
      <c r="E383">
        <v>50</v>
      </c>
      <c r="F383">
        <v>42.439800261999999</v>
      </c>
      <c r="G383">
        <v>1319.479126</v>
      </c>
      <c r="H383">
        <v>1314.3531493999999</v>
      </c>
      <c r="I383">
        <v>1366.6506348</v>
      </c>
      <c r="J383">
        <v>1355.7126464999999</v>
      </c>
      <c r="K383">
        <v>0</v>
      </c>
      <c r="L383">
        <v>1100</v>
      </c>
      <c r="M383">
        <v>1100</v>
      </c>
      <c r="N383">
        <v>0</v>
      </c>
    </row>
    <row r="384" spans="1:14" x14ac:dyDescent="0.25">
      <c r="A384">
        <v>186.22056599999999</v>
      </c>
      <c r="B384" s="1">
        <f>DATE(2010,11,3) + TIME(5,17,36)</f>
        <v>40485.220555555556</v>
      </c>
      <c r="C384">
        <v>80</v>
      </c>
      <c r="D384">
        <v>79.231147766000007</v>
      </c>
      <c r="E384">
        <v>50</v>
      </c>
      <c r="F384">
        <v>43.074588775999999</v>
      </c>
      <c r="G384">
        <v>1319.4752197</v>
      </c>
      <c r="H384">
        <v>1314.3482666</v>
      </c>
      <c r="I384">
        <v>1366.4392089999999</v>
      </c>
      <c r="J384">
        <v>1355.6188964999999</v>
      </c>
      <c r="K384">
        <v>0</v>
      </c>
      <c r="L384">
        <v>1100</v>
      </c>
      <c r="M384">
        <v>1100</v>
      </c>
      <c r="N384">
        <v>0</v>
      </c>
    </row>
    <row r="385" spans="1:14" x14ac:dyDescent="0.25">
      <c r="A385">
        <v>186.39037200000001</v>
      </c>
      <c r="B385" s="1">
        <f>DATE(2010,11,3) + TIME(9,22,8)</f>
        <v>40485.390370370369</v>
      </c>
      <c r="C385">
        <v>80</v>
      </c>
      <c r="D385">
        <v>79.191055297999995</v>
      </c>
      <c r="E385">
        <v>50</v>
      </c>
      <c r="F385">
        <v>43.696147918999998</v>
      </c>
      <c r="G385">
        <v>1319.4709473</v>
      </c>
      <c r="H385">
        <v>1314.3430175999999</v>
      </c>
      <c r="I385">
        <v>1366.2332764</v>
      </c>
      <c r="J385">
        <v>1355.5255127</v>
      </c>
      <c r="K385">
        <v>0</v>
      </c>
      <c r="L385">
        <v>1100</v>
      </c>
      <c r="M385">
        <v>1100</v>
      </c>
      <c r="N385">
        <v>0</v>
      </c>
    </row>
    <row r="386" spans="1:14" x14ac:dyDescent="0.25">
      <c r="A386">
        <v>186.574333</v>
      </c>
      <c r="B386" s="1">
        <f>DATE(2010,11,3) + TIME(13,47,2)</f>
        <v>40485.574328703704</v>
      </c>
      <c r="C386">
        <v>80</v>
      </c>
      <c r="D386">
        <v>79.148391724000007</v>
      </c>
      <c r="E386">
        <v>50</v>
      </c>
      <c r="F386">
        <v>44.303447722999998</v>
      </c>
      <c r="G386">
        <v>1319.4664307</v>
      </c>
      <c r="H386">
        <v>1314.3371582</v>
      </c>
      <c r="I386">
        <v>1366.0321045000001</v>
      </c>
      <c r="J386">
        <v>1355.4320068</v>
      </c>
      <c r="K386">
        <v>0</v>
      </c>
      <c r="L386">
        <v>1100</v>
      </c>
      <c r="M386">
        <v>1100</v>
      </c>
      <c r="N386">
        <v>0</v>
      </c>
    </row>
    <row r="387" spans="1:14" x14ac:dyDescent="0.25">
      <c r="A387">
        <v>186.77491800000001</v>
      </c>
      <c r="B387" s="1">
        <f>DATE(2010,11,3) + TIME(18,35,52)</f>
        <v>40485.774907407409</v>
      </c>
      <c r="C387">
        <v>80</v>
      </c>
      <c r="D387">
        <v>79.102745056000003</v>
      </c>
      <c r="E387">
        <v>50</v>
      </c>
      <c r="F387">
        <v>44.895286560000002</v>
      </c>
      <c r="G387">
        <v>1319.4614257999999</v>
      </c>
      <c r="H387">
        <v>1314.3309326000001</v>
      </c>
      <c r="I387">
        <v>1365.8350829999999</v>
      </c>
      <c r="J387">
        <v>1355.3380127</v>
      </c>
      <c r="K387">
        <v>0</v>
      </c>
      <c r="L387">
        <v>1100</v>
      </c>
      <c r="M387">
        <v>1100</v>
      </c>
      <c r="N387">
        <v>0</v>
      </c>
    </row>
    <row r="388" spans="1:14" x14ac:dyDescent="0.25">
      <c r="A388">
        <v>186.99524299999999</v>
      </c>
      <c r="B388" s="1">
        <f>DATE(2010,11,3) + TIME(23,53,8)</f>
        <v>40485.99523148148</v>
      </c>
      <c r="C388">
        <v>80</v>
      </c>
      <c r="D388">
        <v>79.053596497000001</v>
      </c>
      <c r="E388">
        <v>50</v>
      </c>
      <c r="F388">
        <v>45.470184326000002</v>
      </c>
      <c r="G388">
        <v>1319.4559326000001</v>
      </c>
      <c r="H388">
        <v>1314.3240966999999</v>
      </c>
      <c r="I388">
        <v>1365.6417236</v>
      </c>
      <c r="J388">
        <v>1355.2429199000001</v>
      </c>
      <c r="K388">
        <v>0</v>
      </c>
      <c r="L388">
        <v>1100</v>
      </c>
      <c r="M388">
        <v>1100</v>
      </c>
      <c r="N388">
        <v>0</v>
      </c>
    </row>
    <row r="389" spans="1:14" x14ac:dyDescent="0.25">
      <c r="A389">
        <v>187.239384</v>
      </c>
      <c r="B389" s="1">
        <f>DATE(2010,11,4) + TIME(5,44,42)</f>
        <v>40486.239374999997</v>
      </c>
      <c r="C389">
        <v>80</v>
      </c>
      <c r="D389">
        <v>79.000297545999999</v>
      </c>
      <c r="E389">
        <v>50</v>
      </c>
      <c r="F389">
        <v>46.026462555000002</v>
      </c>
      <c r="G389">
        <v>1319.4498291</v>
      </c>
      <c r="H389">
        <v>1314.3166504000001</v>
      </c>
      <c r="I389">
        <v>1365.4514160000001</v>
      </c>
      <c r="J389">
        <v>1355.1461182</v>
      </c>
      <c r="K389">
        <v>0</v>
      </c>
      <c r="L389">
        <v>1100</v>
      </c>
      <c r="M389">
        <v>1100</v>
      </c>
      <c r="N389">
        <v>0</v>
      </c>
    </row>
    <row r="390" spans="1:14" x14ac:dyDescent="0.25">
      <c r="A390">
        <v>187.50375500000001</v>
      </c>
      <c r="B390" s="1">
        <f>DATE(2010,11,4) + TIME(12,5,24)</f>
        <v>40486.503750000003</v>
      </c>
      <c r="C390">
        <v>80</v>
      </c>
      <c r="D390">
        <v>78.943679810000006</v>
      </c>
      <c r="E390">
        <v>50</v>
      </c>
      <c r="F390">
        <v>46.546913146999998</v>
      </c>
      <c r="G390">
        <v>1319.4429932</v>
      </c>
      <c r="H390">
        <v>1314.3083495999999</v>
      </c>
      <c r="I390">
        <v>1365.2684326000001</v>
      </c>
      <c r="J390">
        <v>1355.0488281</v>
      </c>
      <c r="K390">
        <v>0</v>
      </c>
      <c r="L390">
        <v>1100</v>
      </c>
      <c r="M390">
        <v>1100</v>
      </c>
      <c r="N390">
        <v>0</v>
      </c>
    </row>
    <row r="391" spans="1:14" x14ac:dyDescent="0.25">
      <c r="A391">
        <v>187.77099100000001</v>
      </c>
      <c r="B391" s="1">
        <f>DATE(2010,11,4) + TIME(18,30,13)</f>
        <v>40486.770983796298</v>
      </c>
      <c r="C391">
        <v>80</v>
      </c>
      <c r="D391">
        <v>78.887077332000004</v>
      </c>
      <c r="E391">
        <v>50</v>
      </c>
      <c r="F391">
        <v>47.000762938999998</v>
      </c>
      <c r="G391">
        <v>1319.4355469</v>
      </c>
      <c r="H391">
        <v>1314.2993164</v>
      </c>
      <c r="I391">
        <v>1365.1022949000001</v>
      </c>
      <c r="J391">
        <v>1354.9556885</v>
      </c>
      <c r="K391">
        <v>0</v>
      </c>
      <c r="L391">
        <v>1100</v>
      </c>
      <c r="M391">
        <v>1100</v>
      </c>
      <c r="N391">
        <v>0</v>
      </c>
    </row>
    <row r="392" spans="1:14" x14ac:dyDescent="0.25">
      <c r="A392">
        <v>188.04327000000001</v>
      </c>
      <c r="B392" s="1">
        <f>DATE(2010,11,5) + TIME(1,2,18)</f>
        <v>40487.043263888889</v>
      </c>
      <c r="C392">
        <v>80</v>
      </c>
      <c r="D392">
        <v>78.830078125</v>
      </c>
      <c r="E392">
        <v>50</v>
      </c>
      <c r="F392">
        <v>47.398559570000003</v>
      </c>
      <c r="G392">
        <v>1319.4278564000001</v>
      </c>
      <c r="H392">
        <v>1314.2901611</v>
      </c>
      <c r="I392">
        <v>1364.9499512</v>
      </c>
      <c r="J392">
        <v>1354.8668213000001</v>
      </c>
      <c r="K392">
        <v>0</v>
      </c>
      <c r="L392">
        <v>1100</v>
      </c>
      <c r="M392">
        <v>1100</v>
      </c>
      <c r="N392">
        <v>0</v>
      </c>
    </row>
    <row r="393" spans="1:14" x14ac:dyDescent="0.25">
      <c r="A393">
        <v>188.32099199999999</v>
      </c>
      <c r="B393" s="1">
        <f>DATE(2010,11,5) + TIME(7,42,13)</f>
        <v>40487.320983796293</v>
      </c>
      <c r="C393">
        <v>80</v>
      </c>
      <c r="D393">
        <v>78.772598267000006</v>
      </c>
      <c r="E393">
        <v>50</v>
      </c>
      <c r="F393">
        <v>47.746597289999997</v>
      </c>
      <c r="G393">
        <v>1319.4199219</v>
      </c>
      <c r="H393">
        <v>1314.2807617000001</v>
      </c>
      <c r="I393">
        <v>1364.8093262</v>
      </c>
      <c r="J393">
        <v>1354.7817382999999</v>
      </c>
      <c r="K393">
        <v>0</v>
      </c>
      <c r="L393">
        <v>1100</v>
      </c>
      <c r="M393">
        <v>1100</v>
      </c>
      <c r="N393">
        <v>0</v>
      </c>
    </row>
    <row r="394" spans="1:14" x14ac:dyDescent="0.25">
      <c r="A394">
        <v>188.60544400000001</v>
      </c>
      <c r="B394" s="1">
        <f>DATE(2010,11,5) + TIME(14,31,50)</f>
        <v>40487.605439814812</v>
      </c>
      <c r="C394">
        <v>80</v>
      </c>
      <c r="D394">
        <v>78.714401245000005</v>
      </c>
      <c r="E394">
        <v>50</v>
      </c>
      <c r="F394">
        <v>48.051292418999999</v>
      </c>
      <c r="G394">
        <v>1319.4118652</v>
      </c>
      <c r="H394">
        <v>1314.2711182</v>
      </c>
      <c r="I394">
        <v>1364.6785889</v>
      </c>
      <c r="J394">
        <v>1354.699707</v>
      </c>
      <c r="K394">
        <v>0</v>
      </c>
      <c r="L394">
        <v>1100</v>
      </c>
      <c r="M394">
        <v>1100</v>
      </c>
      <c r="N394">
        <v>0</v>
      </c>
    </row>
    <row r="395" spans="1:14" x14ac:dyDescent="0.25">
      <c r="A395">
        <v>188.89755</v>
      </c>
      <c r="B395" s="1">
        <f>DATE(2010,11,5) + TIME(21,32,28)</f>
        <v>40487.897546296299</v>
      </c>
      <c r="C395">
        <v>80</v>
      </c>
      <c r="D395">
        <v>78.655334472999996</v>
      </c>
      <c r="E395">
        <v>50</v>
      </c>
      <c r="F395">
        <v>48.317695618000002</v>
      </c>
      <c r="G395">
        <v>1319.4035644999999</v>
      </c>
      <c r="H395">
        <v>1314.2611084</v>
      </c>
      <c r="I395">
        <v>1364.5562743999999</v>
      </c>
      <c r="J395">
        <v>1354.6201172000001</v>
      </c>
      <c r="K395">
        <v>0</v>
      </c>
      <c r="L395">
        <v>1100</v>
      </c>
      <c r="M395">
        <v>1100</v>
      </c>
      <c r="N395">
        <v>0</v>
      </c>
    </row>
    <row r="396" spans="1:14" x14ac:dyDescent="0.25">
      <c r="A396">
        <v>189.19836599999999</v>
      </c>
      <c r="B396" s="1">
        <f>DATE(2010,11,6) + TIME(4,45,38)</f>
        <v>40488.19835648148</v>
      </c>
      <c r="C396">
        <v>80</v>
      </c>
      <c r="D396">
        <v>78.595214843999997</v>
      </c>
      <c r="E396">
        <v>50</v>
      </c>
      <c r="F396">
        <v>48.550258636000002</v>
      </c>
      <c r="G396">
        <v>1319.3948975000001</v>
      </c>
      <c r="H396">
        <v>1314.2508545000001</v>
      </c>
      <c r="I396">
        <v>1364.440918</v>
      </c>
      <c r="J396">
        <v>1354.5426024999999</v>
      </c>
      <c r="K396">
        <v>0</v>
      </c>
      <c r="L396">
        <v>1100</v>
      </c>
      <c r="M396">
        <v>1100</v>
      </c>
      <c r="N396">
        <v>0</v>
      </c>
    </row>
    <row r="397" spans="1:14" x14ac:dyDescent="0.25">
      <c r="A397">
        <v>189.50932499999999</v>
      </c>
      <c r="B397" s="1">
        <f>DATE(2010,11,6) + TIME(12,13,25)</f>
        <v>40488.509317129632</v>
      </c>
      <c r="C397">
        <v>80</v>
      </c>
      <c r="D397">
        <v>78.533813476999995</v>
      </c>
      <c r="E397">
        <v>50</v>
      </c>
      <c r="F397">
        <v>48.753032683999997</v>
      </c>
      <c r="G397">
        <v>1319.3859863</v>
      </c>
      <c r="H397">
        <v>1314.2402344</v>
      </c>
      <c r="I397">
        <v>1364.3317870999999</v>
      </c>
      <c r="J397">
        <v>1354.4667969</v>
      </c>
      <c r="K397">
        <v>0</v>
      </c>
      <c r="L397">
        <v>1100</v>
      </c>
      <c r="M397">
        <v>1100</v>
      </c>
      <c r="N397">
        <v>0</v>
      </c>
    </row>
    <row r="398" spans="1:14" x14ac:dyDescent="0.25">
      <c r="A398">
        <v>189.831444</v>
      </c>
      <c r="B398" s="1">
        <f>DATE(2010,11,6) + TIME(19,57,16)</f>
        <v>40488.831435185188</v>
      </c>
      <c r="C398">
        <v>80</v>
      </c>
      <c r="D398">
        <v>78.470970154</v>
      </c>
      <c r="E398">
        <v>50</v>
      </c>
      <c r="F398">
        <v>48.929256439</v>
      </c>
      <c r="G398">
        <v>1319.3765868999999</v>
      </c>
      <c r="H398">
        <v>1314.229126</v>
      </c>
      <c r="I398">
        <v>1364.2276611</v>
      </c>
      <c r="J398">
        <v>1354.3922118999999</v>
      </c>
      <c r="K398">
        <v>0</v>
      </c>
      <c r="L398">
        <v>1100</v>
      </c>
      <c r="M398">
        <v>1100</v>
      </c>
      <c r="N398">
        <v>0</v>
      </c>
    </row>
    <row r="399" spans="1:14" x14ac:dyDescent="0.25">
      <c r="A399">
        <v>190.16641999999999</v>
      </c>
      <c r="B399" s="1">
        <f>DATE(2010,11,7) + TIME(3,59,38)</f>
        <v>40489.166412037041</v>
      </c>
      <c r="C399">
        <v>80</v>
      </c>
      <c r="D399">
        <v>78.406425475999995</v>
      </c>
      <c r="E399">
        <v>50</v>
      </c>
      <c r="F399">
        <v>49.082061768000003</v>
      </c>
      <c r="G399">
        <v>1319.3668213000001</v>
      </c>
      <c r="H399">
        <v>1314.2176514</v>
      </c>
      <c r="I399">
        <v>1364.1280518000001</v>
      </c>
      <c r="J399">
        <v>1354.3188477000001</v>
      </c>
      <c r="K399">
        <v>0</v>
      </c>
      <c r="L399">
        <v>1100</v>
      </c>
      <c r="M399">
        <v>1100</v>
      </c>
      <c r="N399">
        <v>0</v>
      </c>
    </row>
    <row r="400" spans="1:14" x14ac:dyDescent="0.25">
      <c r="A400">
        <v>190.51577499999999</v>
      </c>
      <c r="B400" s="1">
        <f>DATE(2010,11,7) + TIME(12,22,42)</f>
        <v>40489.515763888892</v>
      </c>
      <c r="C400">
        <v>80</v>
      </c>
      <c r="D400">
        <v>78.339942932</v>
      </c>
      <c r="E400">
        <v>50</v>
      </c>
      <c r="F400">
        <v>49.214054107999999</v>
      </c>
      <c r="G400">
        <v>1319.3566894999999</v>
      </c>
      <c r="H400">
        <v>1314.2055664</v>
      </c>
      <c r="I400">
        <v>1364.0319824000001</v>
      </c>
      <c r="J400">
        <v>1354.2460937999999</v>
      </c>
      <c r="K400">
        <v>0</v>
      </c>
      <c r="L400">
        <v>1100</v>
      </c>
      <c r="M400">
        <v>1100</v>
      </c>
      <c r="N400">
        <v>0</v>
      </c>
    </row>
    <row r="401" spans="1:14" x14ac:dyDescent="0.25">
      <c r="A401">
        <v>190.881317</v>
      </c>
      <c r="B401" s="1">
        <f>DATE(2010,11,7) + TIME(21,9,5)</f>
        <v>40489.881307870368</v>
      </c>
      <c r="C401">
        <v>80</v>
      </c>
      <c r="D401">
        <v>78.271270752000007</v>
      </c>
      <c r="E401">
        <v>50</v>
      </c>
      <c r="F401">
        <v>49.327606201000002</v>
      </c>
      <c r="G401">
        <v>1319.3459473</v>
      </c>
      <c r="H401">
        <v>1314.1928711</v>
      </c>
      <c r="I401">
        <v>1363.9389647999999</v>
      </c>
      <c r="J401">
        <v>1354.1739502</v>
      </c>
      <c r="K401">
        <v>0</v>
      </c>
      <c r="L401">
        <v>1100</v>
      </c>
      <c r="M401">
        <v>1100</v>
      </c>
      <c r="N401">
        <v>0</v>
      </c>
    </row>
    <row r="402" spans="1:14" x14ac:dyDescent="0.25">
      <c r="A402">
        <v>191.26523800000001</v>
      </c>
      <c r="B402" s="1">
        <f>DATE(2010,11,8) + TIME(6,21,56)</f>
        <v>40490.265231481484</v>
      </c>
      <c r="C402">
        <v>80</v>
      </c>
      <c r="D402">
        <v>78.200096130000006</v>
      </c>
      <c r="E402">
        <v>50</v>
      </c>
      <c r="F402">
        <v>49.424854279000002</v>
      </c>
      <c r="G402">
        <v>1319.3347168</v>
      </c>
      <c r="H402">
        <v>1314.1795654</v>
      </c>
      <c r="I402">
        <v>1363.8483887</v>
      </c>
      <c r="J402">
        <v>1354.1020507999999</v>
      </c>
      <c r="K402">
        <v>0</v>
      </c>
      <c r="L402">
        <v>1100</v>
      </c>
      <c r="M402">
        <v>1100</v>
      </c>
      <c r="N402">
        <v>0</v>
      </c>
    </row>
    <row r="403" spans="1:14" x14ac:dyDescent="0.25">
      <c r="A403">
        <v>191.66965300000001</v>
      </c>
      <c r="B403" s="1">
        <f>DATE(2010,11,8) + TIME(16,4,18)</f>
        <v>40490.669652777775</v>
      </c>
      <c r="C403">
        <v>80</v>
      </c>
      <c r="D403">
        <v>78.126136779999996</v>
      </c>
      <c r="E403">
        <v>50</v>
      </c>
      <c r="F403">
        <v>49.507652282999999</v>
      </c>
      <c r="G403">
        <v>1319.3227539</v>
      </c>
      <c r="H403">
        <v>1314.1654053</v>
      </c>
      <c r="I403">
        <v>1363.7598877</v>
      </c>
      <c r="J403">
        <v>1354.0301514</v>
      </c>
      <c r="K403">
        <v>0</v>
      </c>
      <c r="L403">
        <v>1100</v>
      </c>
      <c r="M403">
        <v>1100</v>
      </c>
      <c r="N403">
        <v>0</v>
      </c>
    </row>
    <row r="404" spans="1:14" x14ac:dyDescent="0.25">
      <c r="A404">
        <v>192.097692</v>
      </c>
      <c r="B404" s="1">
        <f>DATE(2010,11,9) + TIME(2,20,40)</f>
        <v>40491.097685185188</v>
      </c>
      <c r="C404">
        <v>80</v>
      </c>
      <c r="D404">
        <v>78.048950195000003</v>
      </c>
      <c r="E404">
        <v>50</v>
      </c>
      <c r="F404">
        <v>49.577774048000002</v>
      </c>
      <c r="G404">
        <v>1319.3101807</v>
      </c>
      <c r="H404">
        <v>1314.1503906</v>
      </c>
      <c r="I404">
        <v>1363.6727295000001</v>
      </c>
      <c r="J404">
        <v>1353.9581298999999</v>
      </c>
      <c r="K404">
        <v>0</v>
      </c>
      <c r="L404">
        <v>1100</v>
      </c>
      <c r="M404">
        <v>1100</v>
      </c>
      <c r="N404">
        <v>0</v>
      </c>
    </row>
    <row r="405" spans="1:14" x14ac:dyDescent="0.25">
      <c r="A405">
        <v>192.55305200000001</v>
      </c>
      <c r="B405" s="1">
        <f>DATE(2010,11,9) + TIME(13,16,23)</f>
        <v>40491.553043981483</v>
      </c>
      <c r="C405">
        <v>80</v>
      </c>
      <c r="D405">
        <v>77.968048096000004</v>
      </c>
      <c r="E405">
        <v>50</v>
      </c>
      <c r="F405">
        <v>49.636806487999998</v>
      </c>
      <c r="G405">
        <v>1319.2966309000001</v>
      </c>
      <c r="H405">
        <v>1314.1343993999999</v>
      </c>
      <c r="I405">
        <v>1363.5865478999999</v>
      </c>
      <c r="J405">
        <v>1353.8856201000001</v>
      </c>
      <c r="K405">
        <v>0</v>
      </c>
      <c r="L405">
        <v>1100</v>
      </c>
      <c r="M405">
        <v>1100</v>
      </c>
      <c r="N405">
        <v>0</v>
      </c>
    </row>
    <row r="406" spans="1:14" x14ac:dyDescent="0.25">
      <c r="A406">
        <v>193.04022800000001</v>
      </c>
      <c r="B406" s="1">
        <f>DATE(2010,11,10) + TIME(0,57,55)</f>
        <v>40492.040219907409</v>
      </c>
      <c r="C406">
        <v>80</v>
      </c>
      <c r="D406">
        <v>77.882850646999998</v>
      </c>
      <c r="E406">
        <v>50</v>
      </c>
      <c r="F406">
        <v>49.686157227000002</v>
      </c>
      <c r="G406">
        <v>1319.2822266000001</v>
      </c>
      <c r="H406">
        <v>1314.1173096</v>
      </c>
      <c r="I406">
        <v>1363.5007324000001</v>
      </c>
      <c r="J406">
        <v>1353.8123779</v>
      </c>
      <c r="K406">
        <v>0</v>
      </c>
      <c r="L406">
        <v>1100</v>
      </c>
      <c r="M406">
        <v>1100</v>
      </c>
      <c r="N406">
        <v>0</v>
      </c>
    </row>
    <row r="407" spans="1:14" x14ac:dyDescent="0.25">
      <c r="A407">
        <v>193.56287900000001</v>
      </c>
      <c r="B407" s="1">
        <f>DATE(2010,11,10) + TIME(13,30,32)</f>
        <v>40492.56287037037</v>
      </c>
      <c r="C407">
        <v>80</v>
      </c>
      <c r="D407">
        <v>77.792900084999999</v>
      </c>
      <c r="E407">
        <v>50</v>
      </c>
      <c r="F407">
        <v>49.726982116999999</v>
      </c>
      <c r="G407">
        <v>1319.2666016000001</v>
      </c>
      <c r="H407">
        <v>1314.0987548999999</v>
      </c>
      <c r="I407">
        <v>1363.4149170000001</v>
      </c>
      <c r="J407">
        <v>1353.7379149999999</v>
      </c>
      <c r="K407">
        <v>0</v>
      </c>
      <c r="L407">
        <v>1100</v>
      </c>
      <c r="M407">
        <v>1100</v>
      </c>
      <c r="N407">
        <v>0</v>
      </c>
    </row>
    <row r="408" spans="1:14" x14ac:dyDescent="0.25">
      <c r="A408">
        <v>194.11601099999999</v>
      </c>
      <c r="B408" s="1">
        <f>DATE(2010,11,11) + TIME(2,47,3)</f>
        <v>40493.116006944445</v>
      </c>
      <c r="C408">
        <v>80</v>
      </c>
      <c r="D408">
        <v>77.698921204000001</v>
      </c>
      <c r="E408">
        <v>50</v>
      </c>
      <c r="F408">
        <v>49.759967803999999</v>
      </c>
      <c r="G408">
        <v>1319.2497559000001</v>
      </c>
      <c r="H408">
        <v>1314.0787353999999</v>
      </c>
      <c r="I408">
        <v>1363.3287353999999</v>
      </c>
      <c r="J408">
        <v>1353.6623535000001</v>
      </c>
      <c r="K408">
        <v>0</v>
      </c>
      <c r="L408">
        <v>1100</v>
      </c>
      <c r="M408">
        <v>1100</v>
      </c>
      <c r="N408">
        <v>0</v>
      </c>
    </row>
    <row r="409" spans="1:14" x14ac:dyDescent="0.25">
      <c r="A409">
        <v>194.67205899999999</v>
      </c>
      <c r="B409" s="1">
        <f>DATE(2010,11,11) + TIME(16,7,45)</f>
        <v>40493.672048611108</v>
      </c>
      <c r="C409">
        <v>80</v>
      </c>
      <c r="D409">
        <v>77.604621886999993</v>
      </c>
      <c r="E409">
        <v>50</v>
      </c>
      <c r="F409">
        <v>49.785339354999998</v>
      </c>
      <c r="G409">
        <v>1319.2316894999999</v>
      </c>
      <c r="H409">
        <v>1314.0574951000001</v>
      </c>
      <c r="I409">
        <v>1363.2435303</v>
      </c>
      <c r="J409">
        <v>1353.5866699000001</v>
      </c>
      <c r="K409">
        <v>0</v>
      </c>
      <c r="L409">
        <v>1100</v>
      </c>
      <c r="M409">
        <v>1100</v>
      </c>
      <c r="N409">
        <v>0</v>
      </c>
    </row>
    <row r="410" spans="1:14" x14ac:dyDescent="0.25">
      <c r="A410">
        <v>195.23424399999999</v>
      </c>
      <c r="B410" s="1">
        <f>DATE(2010,11,12) + TIME(5,37,18)</f>
        <v>40494.234236111108</v>
      </c>
      <c r="C410">
        <v>80</v>
      </c>
      <c r="D410">
        <v>77.509750366000006</v>
      </c>
      <c r="E410">
        <v>50</v>
      </c>
      <c r="F410">
        <v>49.804996490000001</v>
      </c>
      <c r="G410">
        <v>1319.2133789</v>
      </c>
      <c r="H410">
        <v>1314.0357666</v>
      </c>
      <c r="I410">
        <v>1363.1627197</v>
      </c>
      <c r="J410">
        <v>1353.5145264</v>
      </c>
      <c r="K410">
        <v>0</v>
      </c>
      <c r="L410">
        <v>1100</v>
      </c>
      <c r="M410">
        <v>1100</v>
      </c>
      <c r="N410">
        <v>0</v>
      </c>
    </row>
    <row r="411" spans="1:14" x14ac:dyDescent="0.25">
      <c r="A411">
        <v>195.80413799999999</v>
      </c>
      <c r="B411" s="1">
        <f>DATE(2010,11,12) + TIME(19,17,57)</f>
        <v>40494.804131944446</v>
      </c>
      <c r="C411">
        <v>80</v>
      </c>
      <c r="D411">
        <v>77.414253235000004</v>
      </c>
      <c r="E411">
        <v>50</v>
      </c>
      <c r="F411">
        <v>49.820293427000003</v>
      </c>
      <c r="G411">
        <v>1319.1945800999999</v>
      </c>
      <c r="H411">
        <v>1314.0135498</v>
      </c>
      <c r="I411">
        <v>1363.0856934000001</v>
      </c>
      <c r="J411">
        <v>1353.4453125</v>
      </c>
      <c r="K411">
        <v>0</v>
      </c>
      <c r="L411">
        <v>1100</v>
      </c>
      <c r="M411">
        <v>1100</v>
      </c>
      <c r="N411">
        <v>0</v>
      </c>
    </row>
    <row r="412" spans="1:14" x14ac:dyDescent="0.25">
      <c r="A412">
        <v>196.38413700000001</v>
      </c>
      <c r="B412" s="1">
        <f>DATE(2010,11,13) + TIME(9,13,9)</f>
        <v>40495.384131944447</v>
      </c>
      <c r="C412">
        <v>80</v>
      </c>
      <c r="D412">
        <v>77.317901610999996</v>
      </c>
      <c r="E412">
        <v>50</v>
      </c>
      <c r="F412">
        <v>49.832263947000001</v>
      </c>
      <c r="G412">
        <v>1319.1754149999999</v>
      </c>
      <c r="H412">
        <v>1313.9907227000001</v>
      </c>
      <c r="I412">
        <v>1363.0115966999999</v>
      </c>
      <c r="J412">
        <v>1353.378418</v>
      </c>
      <c r="K412">
        <v>0</v>
      </c>
      <c r="L412">
        <v>1100</v>
      </c>
      <c r="M412">
        <v>1100</v>
      </c>
      <c r="N412">
        <v>0</v>
      </c>
    </row>
    <row r="413" spans="1:14" x14ac:dyDescent="0.25">
      <c r="A413">
        <v>196.97700399999999</v>
      </c>
      <c r="B413" s="1">
        <f>DATE(2010,11,13) + TIME(23,26,53)</f>
        <v>40495.977002314816</v>
      </c>
      <c r="C413">
        <v>80</v>
      </c>
      <c r="D413">
        <v>77.220428467000005</v>
      </c>
      <c r="E413">
        <v>50</v>
      </c>
      <c r="F413">
        <v>49.841690063000001</v>
      </c>
      <c r="G413">
        <v>1319.1557617000001</v>
      </c>
      <c r="H413">
        <v>1313.9672852000001</v>
      </c>
      <c r="I413">
        <v>1362.9399414</v>
      </c>
      <c r="J413">
        <v>1353.3137207</v>
      </c>
      <c r="K413">
        <v>0</v>
      </c>
      <c r="L413">
        <v>1100</v>
      </c>
      <c r="M413">
        <v>1100</v>
      </c>
      <c r="N413">
        <v>0</v>
      </c>
    </row>
    <row r="414" spans="1:14" x14ac:dyDescent="0.25">
      <c r="A414">
        <v>197.583957</v>
      </c>
      <c r="B414" s="1">
        <f>DATE(2010,11,14) + TIME(14,0,53)</f>
        <v>40496.58394675926</v>
      </c>
      <c r="C414">
        <v>80</v>
      </c>
      <c r="D414">
        <v>77.121726989999999</v>
      </c>
      <c r="E414">
        <v>50</v>
      </c>
      <c r="F414">
        <v>49.849132537999999</v>
      </c>
      <c r="G414">
        <v>1319.1354980000001</v>
      </c>
      <c r="H414">
        <v>1313.9429932</v>
      </c>
      <c r="I414">
        <v>1362.8704834</v>
      </c>
      <c r="J414">
        <v>1353.2506103999999</v>
      </c>
      <c r="K414">
        <v>0</v>
      </c>
      <c r="L414">
        <v>1100</v>
      </c>
      <c r="M414">
        <v>1100</v>
      </c>
      <c r="N414">
        <v>0</v>
      </c>
    </row>
    <row r="415" spans="1:14" x14ac:dyDescent="0.25">
      <c r="A415">
        <v>198.208055</v>
      </c>
      <c r="B415" s="1">
        <f>DATE(2010,11,15) + TIME(4,59,35)</f>
        <v>40497.208043981482</v>
      </c>
      <c r="C415">
        <v>80</v>
      </c>
      <c r="D415">
        <v>77.021469116000006</v>
      </c>
      <c r="E415">
        <v>50</v>
      </c>
      <c r="F415">
        <v>49.855056763</v>
      </c>
      <c r="G415">
        <v>1319.1145019999999</v>
      </c>
      <c r="H415">
        <v>1313.9178466999999</v>
      </c>
      <c r="I415">
        <v>1362.8026123</v>
      </c>
      <c r="J415">
        <v>1353.1889647999999</v>
      </c>
      <c r="K415">
        <v>0</v>
      </c>
      <c r="L415">
        <v>1100</v>
      </c>
      <c r="M415">
        <v>1100</v>
      </c>
      <c r="N415">
        <v>0</v>
      </c>
    </row>
    <row r="416" spans="1:14" x14ac:dyDescent="0.25">
      <c r="A416">
        <v>198.85256000000001</v>
      </c>
      <c r="B416" s="1">
        <f>DATE(2010,11,15) + TIME(20,27,41)</f>
        <v>40497.85255787037</v>
      </c>
      <c r="C416">
        <v>80</v>
      </c>
      <c r="D416">
        <v>76.919288635000001</v>
      </c>
      <c r="E416">
        <v>50</v>
      </c>
      <c r="F416">
        <v>49.859806061</v>
      </c>
      <c r="G416">
        <v>1319.0927733999999</v>
      </c>
      <c r="H416">
        <v>1313.8917236</v>
      </c>
      <c r="I416">
        <v>1362.7362060999999</v>
      </c>
      <c r="J416">
        <v>1353.1285399999999</v>
      </c>
      <c r="K416">
        <v>0</v>
      </c>
      <c r="L416">
        <v>1100</v>
      </c>
      <c r="M416">
        <v>1100</v>
      </c>
      <c r="N416">
        <v>0</v>
      </c>
    </row>
    <row r="417" spans="1:14" x14ac:dyDescent="0.25">
      <c r="A417">
        <v>199.521095</v>
      </c>
      <c r="B417" s="1">
        <f>DATE(2010,11,16) + TIME(12,30,22)</f>
        <v>40498.521087962959</v>
      </c>
      <c r="C417">
        <v>80</v>
      </c>
      <c r="D417">
        <v>76.814788817999997</v>
      </c>
      <c r="E417">
        <v>50</v>
      </c>
      <c r="F417">
        <v>49.863639831999997</v>
      </c>
      <c r="G417">
        <v>1319.0701904</v>
      </c>
      <c r="H417">
        <v>1313.8643798999999</v>
      </c>
      <c r="I417">
        <v>1362.6707764</v>
      </c>
      <c r="J417">
        <v>1353.0689697</v>
      </c>
      <c r="K417">
        <v>0</v>
      </c>
      <c r="L417">
        <v>1100</v>
      </c>
      <c r="M417">
        <v>1100</v>
      </c>
      <c r="N417">
        <v>0</v>
      </c>
    </row>
    <row r="418" spans="1:14" x14ac:dyDescent="0.25">
      <c r="A418">
        <v>200.21776</v>
      </c>
      <c r="B418" s="1">
        <f>DATE(2010,11,17) + TIME(5,13,34)</f>
        <v>40499.21775462963</v>
      </c>
      <c r="C418">
        <v>80</v>
      </c>
      <c r="D418">
        <v>76.707511901999993</v>
      </c>
      <c r="E418">
        <v>50</v>
      </c>
      <c r="F418">
        <v>49.866764068999998</v>
      </c>
      <c r="G418">
        <v>1319.0463867000001</v>
      </c>
      <c r="H418">
        <v>1313.8355713000001</v>
      </c>
      <c r="I418">
        <v>1362.6060791</v>
      </c>
      <c r="J418">
        <v>1353.0098877</v>
      </c>
      <c r="K418">
        <v>0</v>
      </c>
      <c r="L418">
        <v>1100</v>
      </c>
      <c r="M418">
        <v>1100</v>
      </c>
      <c r="N418">
        <v>0</v>
      </c>
    </row>
    <row r="419" spans="1:14" x14ac:dyDescent="0.25">
      <c r="A419">
        <v>200.94730000000001</v>
      </c>
      <c r="B419" s="1">
        <f>DATE(2010,11,17) + TIME(22,44,6)</f>
        <v>40499.947291666664</v>
      </c>
      <c r="C419">
        <v>80</v>
      </c>
      <c r="D419">
        <v>76.596946716000005</v>
      </c>
      <c r="E419">
        <v>50</v>
      </c>
      <c r="F419">
        <v>49.869331359999997</v>
      </c>
      <c r="G419">
        <v>1319.0213623</v>
      </c>
      <c r="H419">
        <v>1313.8052978999999</v>
      </c>
      <c r="I419">
        <v>1362.541626</v>
      </c>
      <c r="J419">
        <v>1352.9511719</v>
      </c>
      <c r="K419">
        <v>0</v>
      </c>
      <c r="L419">
        <v>1100</v>
      </c>
      <c r="M419">
        <v>1100</v>
      </c>
      <c r="N419">
        <v>0</v>
      </c>
    </row>
    <row r="420" spans="1:14" x14ac:dyDescent="0.25">
      <c r="A420">
        <v>201.71530100000001</v>
      </c>
      <c r="B420" s="1">
        <f>DATE(2010,11,18) + TIME(17,10,2)</f>
        <v>40500.715300925927</v>
      </c>
      <c r="C420">
        <v>80</v>
      </c>
      <c r="D420">
        <v>76.482498168999996</v>
      </c>
      <c r="E420">
        <v>50</v>
      </c>
      <c r="F420">
        <v>49.871463775999999</v>
      </c>
      <c r="G420">
        <v>1318.9949951000001</v>
      </c>
      <c r="H420">
        <v>1313.7731934000001</v>
      </c>
      <c r="I420">
        <v>1362.4772949000001</v>
      </c>
      <c r="J420">
        <v>1352.8924560999999</v>
      </c>
      <c r="K420">
        <v>0</v>
      </c>
      <c r="L420">
        <v>1100</v>
      </c>
      <c r="M420">
        <v>1100</v>
      </c>
      <c r="N420">
        <v>0</v>
      </c>
    </row>
    <row r="421" spans="1:14" x14ac:dyDescent="0.25">
      <c r="A421">
        <v>202.52846299999999</v>
      </c>
      <c r="B421" s="1">
        <f>DATE(2010,11,19) + TIME(12,40,59)</f>
        <v>40501.528460648151</v>
      </c>
      <c r="C421">
        <v>80</v>
      </c>
      <c r="D421">
        <v>76.363456725999995</v>
      </c>
      <c r="E421">
        <v>50</v>
      </c>
      <c r="F421">
        <v>49.873252868999998</v>
      </c>
      <c r="G421">
        <v>1318.9667969</v>
      </c>
      <c r="H421">
        <v>1313.7388916</v>
      </c>
      <c r="I421">
        <v>1362.4127197</v>
      </c>
      <c r="J421">
        <v>1352.8336182</v>
      </c>
      <c r="K421">
        <v>0</v>
      </c>
      <c r="L421">
        <v>1100</v>
      </c>
      <c r="M421">
        <v>1100</v>
      </c>
      <c r="N421">
        <v>0</v>
      </c>
    </row>
    <row r="422" spans="1:14" x14ac:dyDescent="0.25">
      <c r="A422">
        <v>203.38605000000001</v>
      </c>
      <c r="B422" s="1">
        <f>DATE(2010,11,20) + TIME(9,15,54)</f>
        <v>40502.386041666665</v>
      </c>
      <c r="C422">
        <v>80</v>
      </c>
      <c r="D422">
        <v>76.239898682000003</v>
      </c>
      <c r="E422">
        <v>50</v>
      </c>
      <c r="F422">
        <v>49.874763489000003</v>
      </c>
      <c r="G422">
        <v>1318.9366454999999</v>
      </c>
      <c r="H422">
        <v>1313.7021483999999</v>
      </c>
      <c r="I422">
        <v>1362.3475341999999</v>
      </c>
      <c r="J422">
        <v>1352.7740478999999</v>
      </c>
      <c r="K422">
        <v>0</v>
      </c>
      <c r="L422">
        <v>1100</v>
      </c>
      <c r="M422">
        <v>1100</v>
      </c>
      <c r="N422">
        <v>0</v>
      </c>
    </row>
    <row r="423" spans="1:14" x14ac:dyDescent="0.25">
      <c r="A423">
        <v>204.265308</v>
      </c>
      <c r="B423" s="1">
        <f>DATE(2010,11,21) + TIME(6,22,2)</f>
        <v>40503.265300925923</v>
      </c>
      <c r="C423">
        <v>80</v>
      </c>
      <c r="D423">
        <v>76.114128113000007</v>
      </c>
      <c r="E423">
        <v>50</v>
      </c>
      <c r="F423">
        <v>49.876014709000003</v>
      </c>
      <c r="G423">
        <v>1318.9044189000001</v>
      </c>
      <c r="H423">
        <v>1313.6629639</v>
      </c>
      <c r="I423">
        <v>1362.2818603999999</v>
      </c>
      <c r="J423">
        <v>1352.7143555</v>
      </c>
      <c r="K423">
        <v>0</v>
      </c>
      <c r="L423">
        <v>1100</v>
      </c>
      <c r="M423">
        <v>1100</v>
      </c>
      <c r="N423">
        <v>0</v>
      </c>
    </row>
    <row r="424" spans="1:14" x14ac:dyDescent="0.25">
      <c r="A424">
        <v>205.14793399999999</v>
      </c>
      <c r="B424" s="1">
        <f>DATE(2010,11,22) + TIME(3,33,1)</f>
        <v>40504.147928240738</v>
      </c>
      <c r="C424">
        <v>80</v>
      </c>
      <c r="D424">
        <v>75.988220214999998</v>
      </c>
      <c r="E424">
        <v>50</v>
      </c>
      <c r="F424">
        <v>49.877040862999998</v>
      </c>
      <c r="G424">
        <v>1318.8709716999999</v>
      </c>
      <c r="H424">
        <v>1313.6220702999999</v>
      </c>
      <c r="I424">
        <v>1362.2178954999999</v>
      </c>
      <c r="J424">
        <v>1352.6558838000001</v>
      </c>
      <c r="K424">
        <v>0</v>
      </c>
      <c r="L424">
        <v>1100</v>
      </c>
      <c r="M424">
        <v>1100</v>
      </c>
      <c r="N424">
        <v>0</v>
      </c>
    </row>
    <row r="425" spans="1:14" x14ac:dyDescent="0.25">
      <c r="A425">
        <v>206.03885099999999</v>
      </c>
      <c r="B425" s="1">
        <f>DATE(2010,11,23) + TIME(0,55,56)</f>
        <v>40505.038842592592</v>
      </c>
      <c r="C425">
        <v>80</v>
      </c>
      <c r="D425">
        <v>75.862091063999998</v>
      </c>
      <c r="E425">
        <v>50</v>
      </c>
      <c r="F425">
        <v>49.877902984999999</v>
      </c>
      <c r="G425">
        <v>1318.8367920000001</v>
      </c>
      <c r="H425">
        <v>1313.5802002</v>
      </c>
      <c r="I425">
        <v>1362.1566161999999</v>
      </c>
      <c r="J425">
        <v>1352.6000977000001</v>
      </c>
      <c r="K425">
        <v>0</v>
      </c>
      <c r="L425">
        <v>1100</v>
      </c>
      <c r="M425">
        <v>1100</v>
      </c>
      <c r="N425">
        <v>0</v>
      </c>
    </row>
    <row r="426" spans="1:14" x14ac:dyDescent="0.25">
      <c r="A426">
        <v>206.942903</v>
      </c>
      <c r="B426" s="1">
        <f>DATE(2010,11,23) + TIME(22,37,46)</f>
        <v>40505.942893518521</v>
      </c>
      <c r="C426">
        <v>80</v>
      </c>
      <c r="D426">
        <v>75.735504149999997</v>
      </c>
      <c r="E426">
        <v>50</v>
      </c>
      <c r="F426">
        <v>49.878639221</v>
      </c>
      <c r="G426">
        <v>1318.8018798999999</v>
      </c>
      <c r="H426">
        <v>1313.5372314000001</v>
      </c>
      <c r="I426">
        <v>1362.0974120999999</v>
      </c>
      <c r="J426">
        <v>1352.5462646000001</v>
      </c>
      <c r="K426">
        <v>0</v>
      </c>
      <c r="L426">
        <v>1100</v>
      </c>
      <c r="M426">
        <v>1100</v>
      </c>
      <c r="N426">
        <v>0</v>
      </c>
    </row>
    <row r="427" spans="1:14" x14ac:dyDescent="0.25">
      <c r="A427">
        <v>207.86496500000001</v>
      </c>
      <c r="B427" s="1">
        <f>DATE(2010,11,24) + TIME(20,45,32)</f>
        <v>40506.864953703705</v>
      </c>
      <c r="C427">
        <v>80</v>
      </c>
      <c r="D427">
        <v>75.608100891000007</v>
      </c>
      <c r="E427">
        <v>50</v>
      </c>
      <c r="F427">
        <v>49.879276275999999</v>
      </c>
      <c r="G427">
        <v>1318.7659911999999</v>
      </c>
      <c r="H427">
        <v>1313.4929199000001</v>
      </c>
      <c r="I427">
        <v>1362.0401611</v>
      </c>
      <c r="J427">
        <v>1352.4940185999999</v>
      </c>
      <c r="K427">
        <v>0</v>
      </c>
      <c r="L427">
        <v>1100</v>
      </c>
      <c r="M427">
        <v>1100</v>
      </c>
      <c r="N427">
        <v>0</v>
      </c>
    </row>
    <row r="428" spans="1:14" x14ac:dyDescent="0.25">
      <c r="A428">
        <v>208.80999399999999</v>
      </c>
      <c r="B428" s="1">
        <f>DATE(2010,11,25) + TIME(19,26,23)</f>
        <v>40507.809988425928</v>
      </c>
      <c r="C428">
        <v>80</v>
      </c>
      <c r="D428">
        <v>75.479446410999998</v>
      </c>
      <c r="E428">
        <v>50</v>
      </c>
      <c r="F428">
        <v>49.879837035999998</v>
      </c>
      <c r="G428">
        <v>1318.7288818</v>
      </c>
      <c r="H428">
        <v>1313.4468993999999</v>
      </c>
      <c r="I428">
        <v>1361.9841309000001</v>
      </c>
      <c r="J428">
        <v>1352.4431152</v>
      </c>
      <c r="K428">
        <v>0</v>
      </c>
      <c r="L428">
        <v>1100</v>
      </c>
      <c r="M428">
        <v>1100</v>
      </c>
      <c r="N428">
        <v>0</v>
      </c>
    </row>
    <row r="429" spans="1:14" x14ac:dyDescent="0.25">
      <c r="A429">
        <v>209.783288</v>
      </c>
      <c r="B429" s="1">
        <f>DATE(2010,11,26) + TIME(18,47,56)</f>
        <v>40508.78328703704</v>
      </c>
      <c r="C429">
        <v>80</v>
      </c>
      <c r="D429">
        <v>75.349067688000005</v>
      </c>
      <c r="E429">
        <v>50</v>
      </c>
      <c r="F429">
        <v>49.880340576000002</v>
      </c>
      <c r="G429">
        <v>1318.6903076000001</v>
      </c>
      <c r="H429">
        <v>1313.3989257999999</v>
      </c>
      <c r="I429">
        <v>1361.9293213000001</v>
      </c>
      <c r="J429">
        <v>1352.3931885</v>
      </c>
      <c r="K429">
        <v>0</v>
      </c>
      <c r="L429">
        <v>1100</v>
      </c>
      <c r="M429">
        <v>1100</v>
      </c>
      <c r="N429">
        <v>0</v>
      </c>
    </row>
    <row r="430" spans="1:14" x14ac:dyDescent="0.25">
      <c r="A430">
        <v>210.79067599999999</v>
      </c>
      <c r="B430" s="1">
        <f>DATE(2010,11,27) + TIME(18,58,34)</f>
        <v>40509.790671296294</v>
      </c>
      <c r="C430">
        <v>80</v>
      </c>
      <c r="D430">
        <v>75.216415405000006</v>
      </c>
      <c r="E430">
        <v>50</v>
      </c>
      <c r="F430">
        <v>49.880790709999999</v>
      </c>
      <c r="G430">
        <v>1318.6500243999999</v>
      </c>
      <c r="H430">
        <v>1313.3488769999999</v>
      </c>
      <c r="I430">
        <v>1361.8751221</v>
      </c>
      <c r="J430">
        <v>1352.3439940999999</v>
      </c>
      <c r="K430">
        <v>0</v>
      </c>
      <c r="L430">
        <v>1100</v>
      </c>
      <c r="M430">
        <v>1100</v>
      </c>
      <c r="N430">
        <v>0</v>
      </c>
    </row>
    <row r="431" spans="1:14" x14ac:dyDescent="0.25">
      <c r="A431">
        <v>211.83444499999999</v>
      </c>
      <c r="B431" s="1">
        <f>DATE(2010,11,28) + TIME(20,1,36)</f>
        <v>40510.834444444445</v>
      </c>
      <c r="C431">
        <v>80</v>
      </c>
      <c r="D431">
        <v>75.081245421999995</v>
      </c>
      <c r="E431">
        <v>50</v>
      </c>
      <c r="F431">
        <v>49.881206511999999</v>
      </c>
      <c r="G431">
        <v>1318.6077881000001</v>
      </c>
      <c r="H431">
        <v>1313.2961425999999</v>
      </c>
      <c r="I431">
        <v>1361.8214111</v>
      </c>
      <c r="J431">
        <v>1352.2951660000001</v>
      </c>
      <c r="K431">
        <v>0</v>
      </c>
      <c r="L431">
        <v>1100</v>
      </c>
      <c r="M431">
        <v>1100</v>
      </c>
      <c r="N431">
        <v>0</v>
      </c>
    </row>
    <row r="432" spans="1:14" x14ac:dyDescent="0.25">
      <c r="A432">
        <v>212.91618199999999</v>
      </c>
      <c r="B432" s="1">
        <f>DATE(2010,11,29) + TIME(21,59,18)</f>
        <v>40511.916180555556</v>
      </c>
      <c r="C432">
        <v>80</v>
      </c>
      <c r="D432">
        <v>74.943351746000005</v>
      </c>
      <c r="E432">
        <v>50</v>
      </c>
      <c r="F432">
        <v>49.881587981999999</v>
      </c>
      <c r="G432">
        <v>1318.5634766000001</v>
      </c>
      <c r="H432">
        <v>1313.2406006000001</v>
      </c>
      <c r="I432">
        <v>1361.7680664</v>
      </c>
      <c r="J432">
        <v>1352.2467041</v>
      </c>
      <c r="K432">
        <v>0</v>
      </c>
      <c r="L432">
        <v>1100</v>
      </c>
      <c r="M432">
        <v>1100</v>
      </c>
      <c r="N432">
        <v>0</v>
      </c>
    </row>
    <row r="433" spans="1:14" x14ac:dyDescent="0.25">
      <c r="A433">
        <v>214</v>
      </c>
      <c r="B433" s="1">
        <f>DATE(2010,12,1) + TIME(0,0,0)</f>
        <v>40513</v>
      </c>
      <c r="C433">
        <v>80</v>
      </c>
      <c r="D433">
        <v>74.805625915999997</v>
      </c>
      <c r="E433">
        <v>50</v>
      </c>
      <c r="F433">
        <v>49.881935120000001</v>
      </c>
      <c r="G433">
        <v>1318.5168457</v>
      </c>
      <c r="H433">
        <v>1313.182251</v>
      </c>
      <c r="I433">
        <v>1361.7150879000001</v>
      </c>
      <c r="J433">
        <v>1352.1986084</v>
      </c>
      <c r="K433">
        <v>0</v>
      </c>
      <c r="L433">
        <v>1100</v>
      </c>
      <c r="M433">
        <v>1100</v>
      </c>
      <c r="N433">
        <v>0</v>
      </c>
    </row>
    <row r="434" spans="1:14" x14ac:dyDescent="0.25">
      <c r="A434">
        <v>215.12673899999999</v>
      </c>
      <c r="B434" s="1">
        <f>DATE(2010,12,2) + TIME(3,2,30)</f>
        <v>40514.126736111109</v>
      </c>
      <c r="C434">
        <v>80</v>
      </c>
      <c r="D434">
        <v>74.665260314999998</v>
      </c>
      <c r="E434">
        <v>50</v>
      </c>
      <c r="F434">
        <v>49.882259369000003</v>
      </c>
      <c r="G434">
        <v>1318.4693603999999</v>
      </c>
      <c r="H434">
        <v>1313.1224365</v>
      </c>
      <c r="I434">
        <v>1361.6643065999999</v>
      </c>
      <c r="J434">
        <v>1352.1524658000001</v>
      </c>
      <c r="K434">
        <v>0</v>
      </c>
      <c r="L434">
        <v>1100</v>
      </c>
      <c r="M434">
        <v>1100</v>
      </c>
      <c r="N434">
        <v>0</v>
      </c>
    </row>
    <row r="435" spans="1:14" x14ac:dyDescent="0.25">
      <c r="A435">
        <v>216.326435</v>
      </c>
      <c r="B435" s="1">
        <f>DATE(2010,12,3) + TIME(7,50,3)</f>
        <v>40515.326423611114</v>
      </c>
      <c r="C435">
        <v>80</v>
      </c>
      <c r="D435">
        <v>74.519752502000003</v>
      </c>
      <c r="E435">
        <v>50</v>
      </c>
      <c r="F435">
        <v>49.882579802999999</v>
      </c>
      <c r="G435">
        <v>1318.4193115</v>
      </c>
      <c r="H435">
        <v>1313.059082</v>
      </c>
      <c r="I435">
        <v>1361.6137695</v>
      </c>
      <c r="J435">
        <v>1352.1065673999999</v>
      </c>
      <c r="K435">
        <v>0</v>
      </c>
      <c r="L435">
        <v>1100</v>
      </c>
      <c r="M435">
        <v>1100</v>
      </c>
      <c r="N435">
        <v>0</v>
      </c>
    </row>
    <row r="436" spans="1:14" x14ac:dyDescent="0.25">
      <c r="A436">
        <v>217.53501199999999</v>
      </c>
      <c r="B436" s="1">
        <f>DATE(2010,12,4) + TIME(12,50,25)</f>
        <v>40516.535011574073</v>
      </c>
      <c r="C436">
        <v>80</v>
      </c>
      <c r="D436">
        <v>74.373458862000007</v>
      </c>
      <c r="E436">
        <v>50</v>
      </c>
      <c r="F436">
        <v>49.882877350000001</v>
      </c>
      <c r="G436">
        <v>1318.3654785000001</v>
      </c>
      <c r="H436">
        <v>1312.9910889</v>
      </c>
      <c r="I436">
        <v>1361.5620117000001</v>
      </c>
      <c r="J436">
        <v>1352.0596923999999</v>
      </c>
      <c r="K436">
        <v>0</v>
      </c>
      <c r="L436">
        <v>1100</v>
      </c>
      <c r="M436">
        <v>1100</v>
      </c>
      <c r="N436">
        <v>0</v>
      </c>
    </row>
    <row r="437" spans="1:14" x14ac:dyDescent="0.25">
      <c r="A437">
        <v>218.75834599999999</v>
      </c>
      <c r="B437" s="1">
        <f>DATE(2010,12,5) + TIME(18,12,1)</f>
        <v>40517.758344907408</v>
      </c>
      <c r="C437">
        <v>80</v>
      </c>
      <c r="D437">
        <v>74.2265625</v>
      </c>
      <c r="E437">
        <v>50</v>
      </c>
      <c r="F437">
        <v>49.883159636999999</v>
      </c>
      <c r="G437">
        <v>1318.3101807</v>
      </c>
      <c r="H437">
        <v>1312.9210204999999</v>
      </c>
      <c r="I437">
        <v>1361.5120850000001</v>
      </c>
      <c r="J437">
        <v>1352.0144043</v>
      </c>
      <c r="K437">
        <v>0</v>
      </c>
      <c r="L437">
        <v>1100</v>
      </c>
      <c r="M437">
        <v>1100</v>
      </c>
      <c r="N437">
        <v>0</v>
      </c>
    </row>
    <row r="438" spans="1:14" x14ac:dyDescent="0.25">
      <c r="A438">
        <v>219.99929399999999</v>
      </c>
      <c r="B438" s="1">
        <f>DATE(2010,12,6) + TIME(23,58,59)</f>
        <v>40518.999293981484</v>
      </c>
      <c r="C438">
        <v>80</v>
      </c>
      <c r="D438">
        <v>74.079154967999997</v>
      </c>
      <c r="E438">
        <v>50</v>
      </c>
      <c r="F438">
        <v>49.883430480999998</v>
      </c>
      <c r="G438">
        <v>1318.2531738</v>
      </c>
      <c r="H438">
        <v>1312.8485106999999</v>
      </c>
      <c r="I438">
        <v>1361.4636230000001</v>
      </c>
      <c r="J438">
        <v>1351.9704589999999</v>
      </c>
      <c r="K438">
        <v>0</v>
      </c>
      <c r="L438">
        <v>1100</v>
      </c>
      <c r="M438">
        <v>1100</v>
      </c>
      <c r="N438">
        <v>0</v>
      </c>
    </row>
    <row r="439" spans="1:14" x14ac:dyDescent="0.25">
      <c r="A439">
        <v>221.26438300000001</v>
      </c>
      <c r="B439" s="1">
        <f>DATE(2010,12,8) + TIME(6,20,42)</f>
        <v>40520.264374999999</v>
      </c>
      <c r="C439">
        <v>80</v>
      </c>
      <c r="D439">
        <v>73.930900574000006</v>
      </c>
      <c r="E439">
        <v>50</v>
      </c>
      <c r="F439">
        <v>49.883693694999998</v>
      </c>
      <c r="G439">
        <v>1318.1945800999999</v>
      </c>
      <c r="H439">
        <v>1312.7736815999999</v>
      </c>
      <c r="I439">
        <v>1361.4163818</v>
      </c>
      <c r="J439">
        <v>1351.9277344</v>
      </c>
      <c r="K439">
        <v>0</v>
      </c>
      <c r="L439">
        <v>1100</v>
      </c>
      <c r="M439">
        <v>1100</v>
      </c>
      <c r="N439">
        <v>0</v>
      </c>
    </row>
    <row r="440" spans="1:14" x14ac:dyDescent="0.25">
      <c r="A440">
        <v>222.559472</v>
      </c>
      <c r="B440" s="1">
        <f>DATE(2010,12,9) + TIME(13,25,38)</f>
        <v>40521.559467592589</v>
      </c>
      <c r="C440">
        <v>80</v>
      </c>
      <c r="D440">
        <v>73.781364440999994</v>
      </c>
      <c r="E440">
        <v>50</v>
      </c>
      <c r="F440">
        <v>49.883953093999999</v>
      </c>
      <c r="G440">
        <v>1318.1339111</v>
      </c>
      <c r="H440">
        <v>1312.6959228999999</v>
      </c>
      <c r="I440">
        <v>1361.3702393000001</v>
      </c>
      <c r="J440">
        <v>1351.8859863</v>
      </c>
      <c r="K440">
        <v>0</v>
      </c>
      <c r="L440">
        <v>1100</v>
      </c>
      <c r="M440">
        <v>1100</v>
      </c>
      <c r="N440">
        <v>0</v>
      </c>
    </row>
    <row r="441" spans="1:14" x14ac:dyDescent="0.25">
      <c r="A441">
        <v>223.88746399999999</v>
      </c>
      <c r="B441" s="1">
        <f>DATE(2010,12,10) + TIME(21,17,56)</f>
        <v>40522.887453703705</v>
      </c>
      <c r="C441">
        <v>80</v>
      </c>
      <c r="D441">
        <v>73.630279540999993</v>
      </c>
      <c r="E441">
        <v>50</v>
      </c>
      <c r="F441">
        <v>49.884212494000003</v>
      </c>
      <c r="G441">
        <v>1318.0708007999999</v>
      </c>
      <c r="H441">
        <v>1312.6148682</v>
      </c>
      <c r="I441">
        <v>1361.3248291</v>
      </c>
      <c r="J441">
        <v>1351.8448486</v>
      </c>
      <c r="K441">
        <v>0</v>
      </c>
      <c r="L441">
        <v>1100</v>
      </c>
      <c r="M441">
        <v>1100</v>
      </c>
      <c r="N441">
        <v>0</v>
      </c>
    </row>
    <row r="442" spans="1:14" x14ac:dyDescent="0.25">
      <c r="A442">
        <v>225.25594100000001</v>
      </c>
      <c r="B442" s="1">
        <f>DATE(2010,12,12) + TIME(6,8,33)</f>
        <v>40524.255937499998</v>
      </c>
      <c r="C442">
        <v>80</v>
      </c>
      <c r="D442">
        <v>73.477020264000004</v>
      </c>
      <c r="E442">
        <v>50</v>
      </c>
      <c r="F442">
        <v>49.884471892999997</v>
      </c>
      <c r="G442">
        <v>1318.0051269999999</v>
      </c>
      <c r="H442">
        <v>1312.5302733999999</v>
      </c>
      <c r="I442">
        <v>1361.2801514</v>
      </c>
      <c r="J442">
        <v>1351.8044434000001</v>
      </c>
      <c r="K442">
        <v>0</v>
      </c>
      <c r="L442">
        <v>1100</v>
      </c>
      <c r="M442">
        <v>1100</v>
      </c>
      <c r="N442">
        <v>0</v>
      </c>
    </row>
    <row r="443" spans="1:14" x14ac:dyDescent="0.25">
      <c r="A443">
        <v>226.67325299999999</v>
      </c>
      <c r="B443" s="1">
        <f>DATE(2010,12,13) + TIME(16,9,29)</f>
        <v>40525.673252314817</v>
      </c>
      <c r="C443">
        <v>80</v>
      </c>
      <c r="D443">
        <v>73.320892334000007</v>
      </c>
      <c r="E443">
        <v>50</v>
      </c>
      <c r="F443">
        <v>49.884735106999997</v>
      </c>
      <c r="G443">
        <v>1317.9364014</v>
      </c>
      <c r="H443">
        <v>1312.4415283000001</v>
      </c>
      <c r="I443">
        <v>1361.2358397999999</v>
      </c>
      <c r="J443">
        <v>1351.7642822</v>
      </c>
      <c r="K443">
        <v>0</v>
      </c>
      <c r="L443">
        <v>1100</v>
      </c>
      <c r="M443">
        <v>1100</v>
      </c>
      <c r="N443">
        <v>0</v>
      </c>
    </row>
    <row r="444" spans="1:14" x14ac:dyDescent="0.25">
      <c r="A444">
        <v>228.14892800000001</v>
      </c>
      <c r="B444" s="1">
        <f>DATE(2010,12,15) + TIME(3,34,27)</f>
        <v>40527.148923611108</v>
      </c>
      <c r="C444">
        <v>80</v>
      </c>
      <c r="D444">
        <v>73.161064147999994</v>
      </c>
      <c r="E444">
        <v>50</v>
      </c>
      <c r="F444">
        <v>49.885005950999997</v>
      </c>
      <c r="G444">
        <v>1317.8641356999999</v>
      </c>
      <c r="H444">
        <v>1312.3479004000001</v>
      </c>
      <c r="I444">
        <v>1361.1917725000001</v>
      </c>
      <c r="J444">
        <v>1351.7244873</v>
      </c>
      <c r="K444">
        <v>0</v>
      </c>
      <c r="L444">
        <v>1100</v>
      </c>
      <c r="M444">
        <v>1100</v>
      </c>
      <c r="N444">
        <v>0</v>
      </c>
    </row>
    <row r="445" spans="1:14" x14ac:dyDescent="0.25">
      <c r="A445">
        <v>229.69407899999999</v>
      </c>
      <c r="B445" s="1">
        <f>DATE(2010,12,16) + TIME(16,39,28)</f>
        <v>40528.694074074076</v>
      </c>
      <c r="C445">
        <v>80</v>
      </c>
      <c r="D445">
        <v>72.996566771999994</v>
      </c>
      <c r="E445">
        <v>50</v>
      </c>
      <c r="F445">
        <v>49.885284423999998</v>
      </c>
      <c r="G445">
        <v>1317.7878418</v>
      </c>
      <c r="H445">
        <v>1312.2486572</v>
      </c>
      <c r="I445">
        <v>1361.1475829999999</v>
      </c>
      <c r="J445">
        <v>1351.6845702999999</v>
      </c>
      <c r="K445">
        <v>0</v>
      </c>
      <c r="L445">
        <v>1100</v>
      </c>
      <c r="M445">
        <v>1100</v>
      </c>
      <c r="N445">
        <v>0</v>
      </c>
    </row>
    <row r="446" spans="1:14" x14ac:dyDescent="0.25">
      <c r="A446">
        <v>231.252219</v>
      </c>
      <c r="B446" s="1">
        <f>DATE(2010,12,18) + TIME(6,3,11)</f>
        <v>40530.252210648148</v>
      </c>
      <c r="C446">
        <v>80</v>
      </c>
      <c r="D446">
        <v>72.830421447999996</v>
      </c>
      <c r="E446">
        <v>50</v>
      </c>
      <c r="F446">
        <v>49.885559082</v>
      </c>
      <c r="G446">
        <v>1317.7067870999999</v>
      </c>
      <c r="H446">
        <v>1312.1434326000001</v>
      </c>
      <c r="I446">
        <v>1361.1032714999999</v>
      </c>
      <c r="J446">
        <v>1351.6445312000001</v>
      </c>
      <c r="K446">
        <v>0</v>
      </c>
      <c r="L446">
        <v>1100</v>
      </c>
      <c r="M446">
        <v>1100</v>
      </c>
      <c r="N446">
        <v>0</v>
      </c>
    </row>
    <row r="447" spans="1:14" x14ac:dyDescent="0.25">
      <c r="A447">
        <v>232.822305</v>
      </c>
      <c r="B447" s="1">
        <f>DATE(2010,12,19) + TIME(19,44,7)</f>
        <v>40531.82230324074</v>
      </c>
      <c r="C447">
        <v>80</v>
      </c>
      <c r="D447">
        <v>72.663513183999996</v>
      </c>
      <c r="E447">
        <v>50</v>
      </c>
      <c r="F447">
        <v>49.885837555000002</v>
      </c>
      <c r="G447">
        <v>1317.6235352000001</v>
      </c>
      <c r="H447">
        <v>1312.034668</v>
      </c>
      <c r="I447">
        <v>1361.0601807</v>
      </c>
      <c r="J447">
        <v>1351.6057129000001</v>
      </c>
      <c r="K447">
        <v>0</v>
      </c>
      <c r="L447">
        <v>1100</v>
      </c>
      <c r="M447">
        <v>1100</v>
      </c>
      <c r="N447">
        <v>0</v>
      </c>
    </row>
    <row r="448" spans="1:14" x14ac:dyDescent="0.25">
      <c r="A448">
        <v>234.413287</v>
      </c>
      <c r="B448" s="1">
        <f>DATE(2010,12,21) + TIME(9,55,7)</f>
        <v>40533.413275462961</v>
      </c>
      <c r="C448">
        <v>80</v>
      </c>
      <c r="D448">
        <v>72.495750427000004</v>
      </c>
      <c r="E448">
        <v>50</v>
      </c>
      <c r="F448">
        <v>49.886112212999997</v>
      </c>
      <c r="G448">
        <v>1317.5380858999999</v>
      </c>
      <c r="H448">
        <v>1311.9226074000001</v>
      </c>
      <c r="I448">
        <v>1361.0185547000001</v>
      </c>
      <c r="J448">
        <v>1351.5681152</v>
      </c>
      <c r="K448">
        <v>0</v>
      </c>
      <c r="L448">
        <v>1100</v>
      </c>
      <c r="M448">
        <v>1100</v>
      </c>
      <c r="N448">
        <v>0</v>
      </c>
    </row>
    <row r="449" spans="1:14" x14ac:dyDescent="0.25">
      <c r="A449">
        <v>236.033986</v>
      </c>
      <c r="B449" s="1">
        <f>DATE(2010,12,23) + TIME(0,48,56)</f>
        <v>40535.03398148148</v>
      </c>
      <c r="C449">
        <v>80</v>
      </c>
      <c r="D449">
        <v>72.326652526999993</v>
      </c>
      <c r="E449">
        <v>50</v>
      </c>
      <c r="F449">
        <v>49.886394500999998</v>
      </c>
      <c r="G449">
        <v>1317.4499512</v>
      </c>
      <c r="H449">
        <v>1311.8067627</v>
      </c>
      <c r="I449">
        <v>1360.9780272999999</v>
      </c>
      <c r="J449">
        <v>1351.5314940999999</v>
      </c>
      <c r="K449">
        <v>0</v>
      </c>
      <c r="L449">
        <v>1100</v>
      </c>
      <c r="M449">
        <v>1100</v>
      </c>
      <c r="N449">
        <v>0</v>
      </c>
    </row>
    <row r="450" spans="1:14" x14ac:dyDescent="0.25">
      <c r="A450">
        <v>237.68713600000001</v>
      </c>
      <c r="B450" s="1">
        <f>DATE(2010,12,24) + TIME(16,29,28)</f>
        <v>40536.68712962963</v>
      </c>
      <c r="C450">
        <v>80</v>
      </c>
      <c r="D450">
        <v>72.155845642000003</v>
      </c>
      <c r="E450">
        <v>50</v>
      </c>
      <c r="F450">
        <v>49.886680603000002</v>
      </c>
      <c r="G450">
        <v>1317.3588867000001</v>
      </c>
      <c r="H450">
        <v>1311.6866454999999</v>
      </c>
      <c r="I450">
        <v>1360.9382324000001</v>
      </c>
      <c r="J450">
        <v>1351.4956055</v>
      </c>
      <c r="K450">
        <v>0</v>
      </c>
      <c r="L450">
        <v>1100</v>
      </c>
      <c r="M450">
        <v>1100</v>
      </c>
      <c r="N450">
        <v>0</v>
      </c>
    </row>
    <row r="451" spans="1:14" x14ac:dyDescent="0.25">
      <c r="A451">
        <v>239.381247</v>
      </c>
      <c r="B451" s="1">
        <f>DATE(2010,12,26) + TIME(9,8,59)</f>
        <v>40538.381238425929</v>
      </c>
      <c r="C451">
        <v>80</v>
      </c>
      <c r="D451">
        <v>71.982612610000004</v>
      </c>
      <c r="E451">
        <v>50</v>
      </c>
      <c r="F451">
        <v>49.886974334999998</v>
      </c>
      <c r="G451">
        <v>1317.2645264</v>
      </c>
      <c r="H451">
        <v>1311.5617675999999</v>
      </c>
      <c r="I451">
        <v>1360.8991699000001</v>
      </c>
      <c r="J451">
        <v>1351.4603271000001</v>
      </c>
      <c r="K451">
        <v>0</v>
      </c>
      <c r="L451">
        <v>1100</v>
      </c>
      <c r="M451">
        <v>1100</v>
      </c>
      <c r="N451">
        <v>0</v>
      </c>
    </row>
    <row r="452" spans="1:14" x14ac:dyDescent="0.25">
      <c r="A452">
        <v>241.126373</v>
      </c>
      <c r="B452" s="1">
        <f>DATE(2010,12,28) + TIME(3,1,58)</f>
        <v>40540.12636574074</v>
      </c>
      <c r="C452">
        <v>80</v>
      </c>
      <c r="D452">
        <v>71.806022643999995</v>
      </c>
      <c r="E452">
        <v>50</v>
      </c>
      <c r="F452">
        <v>49.887271880999997</v>
      </c>
      <c r="G452">
        <v>1317.1663818</v>
      </c>
      <c r="H452">
        <v>1311.4315185999999</v>
      </c>
      <c r="I452">
        <v>1360.8605957</v>
      </c>
      <c r="J452">
        <v>1351.4256591999999</v>
      </c>
      <c r="K452">
        <v>0</v>
      </c>
      <c r="L452">
        <v>1100</v>
      </c>
      <c r="M452">
        <v>1100</v>
      </c>
      <c r="N452">
        <v>0</v>
      </c>
    </row>
    <row r="453" spans="1:14" x14ac:dyDescent="0.25">
      <c r="A453">
        <v>242.93369899999999</v>
      </c>
      <c r="B453" s="1">
        <f>DATE(2010,12,29) + TIME(22,24,31)</f>
        <v>40541.933692129627</v>
      </c>
      <c r="C453">
        <v>80</v>
      </c>
      <c r="D453">
        <v>71.625</v>
      </c>
      <c r="E453">
        <v>50</v>
      </c>
      <c r="F453">
        <v>49.887580872000001</v>
      </c>
      <c r="G453">
        <v>1317.0637207</v>
      </c>
      <c r="H453">
        <v>1311.2949219</v>
      </c>
      <c r="I453">
        <v>1360.8222656</v>
      </c>
      <c r="J453">
        <v>1351.3912353999999</v>
      </c>
      <c r="K453">
        <v>0</v>
      </c>
      <c r="L453">
        <v>1100</v>
      </c>
      <c r="M453">
        <v>1100</v>
      </c>
      <c r="N453">
        <v>0</v>
      </c>
    </row>
    <row r="454" spans="1:14" x14ac:dyDescent="0.25">
      <c r="A454">
        <v>244.80828</v>
      </c>
      <c r="B454" s="1">
        <f>DATE(2010,12,31) + TIME(19,23,55)</f>
        <v>40543.808275462965</v>
      </c>
      <c r="C454">
        <v>80</v>
      </c>
      <c r="D454">
        <v>71.438652039000004</v>
      </c>
      <c r="E454">
        <v>50</v>
      </c>
      <c r="F454">
        <v>49.887901306000003</v>
      </c>
      <c r="G454">
        <v>1316.9559326000001</v>
      </c>
      <c r="H454">
        <v>1311.151001</v>
      </c>
      <c r="I454">
        <v>1360.7840576000001</v>
      </c>
      <c r="J454">
        <v>1351.3568115</v>
      </c>
      <c r="K454">
        <v>0</v>
      </c>
      <c r="L454">
        <v>1100</v>
      </c>
      <c r="M454">
        <v>1100</v>
      </c>
      <c r="N454">
        <v>0</v>
      </c>
    </row>
    <row r="455" spans="1:14" x14ac:dyDescent="0.25">
      <c r="A455">
        <v>245</v>
      </c>
      <c r="B455" s="1">
        <f>DATE(2011,1,1) + TIME(0,0,0)</f>
        <v>40544</v>
      </c>
      <c r="C455">
        <v>80</v>
      </c>
      <c r="D455">
        <v>71.404365540000001</v>
      </c>
      <c r="E455">
        <v>50</v>
      </c>
      <c r="F455">
        <v>49.887928008999999</v>
      </c>
      <c r="G455">
        <v>1316.8537598</v>
      </c>
      <c r="H455">
        <v>1311.0281981999999</v>
      </c>
      <c r="I455">
        <v>1360.7443848</v>
      </c>
      <c r="J455">
        <v>1351.3212891000001</v>
      </c>
      <c r="K455">
        <v>0</v>
      </c>
      <c r="L455">
        <v>1100</v>
      </c>
      <c r="M455">
        <v>1100</v>
      </c>
      <c r="N455">
        <v>0</v>
      </c>
    </row>
    <row r="456" spans="1:14" x14ac:dyDescent="0.25">
      <c r="A456">
        <v>246.94366199999999</v>
      </c>
      <c r="B456" s="1">
        <f>DATE(2011,1,2) + TIME(22,38,52)</f>
        <v>40545.943657407406</v>
      </c>
      <c r="C456">
        <v>80</v>
      </c>
      <c r="D456">
        <v>71.219284058</v>
      </c>
      <c r="E456">
        <v>50</v>
      </c>
      <c r="F456">
        <v>49.888263702000003</v>
      </c>
      <c r="G456">
        <v>1316.828125</v>
      </c>
      <c r="H456">
        <v>1310.9786377</v>
      </c>
      <c r="I456">
        <v>1360.7421875</v>
      </c>
      <c r="J456">
        <v>1351.3190918</v>
      </c>
      <c r="K456">
        <v>0</v>
      </c>
      <c r="L456">
        <v>1100</v>
      </c>
      <c r="M456">
        <v>1100</v>
      </c>
      <c r="N456">
        <v>0</v>
      </c>
    </row>
    <row r="457" spans="1:14" x14ac:dyDescent="0.25">
      <c r="A457">
        <v>248.906915</v>
      </c>
      <c r="B457" s="1">
        <f>DATE(2011,1,4) + TIME(21,45,57)</f>
        <v>40547.906909722224</v>
      </c>
      <c r="C457">
        <v>80</v>
      </c>
      <c r="D457">
        <v>71.026535034000005</v>
      </c>
      <c r="E457">
        <v>50</v>
      </c>
      <c r="F457">
        <v>49.888595580999997</v>
      </c>
      <c r="G457">
        <v>1316.7100829999999</v>
      </c>
      <c r="H457">
        <v>1310.8209228999999</v>
      </c>
      <c r="I457">
        <v>1360.7042236</v>
      </c>
      <c r="J457">
        <v>1351.2850341999999</v>
      </c>
      <c r="K457">
        <v>0</v>
      </c>
      <c r="L457">
        <v>1100</v>
      </c>
      <c r="M457">
        <v>1100</v>
      </c>
      <c r="N457">
        <v>0</v>
      </c>
    </row>
    <row r="458" spans="1:14" x14ac:dyDescent="0.25">
      <c r="A458">
        <v>250.88967400000001</v>
      </c>
      <c r="B458" s="1">
        <f>DATE(2011,1,6) + TIME(21,21,7)</f>
        <v>40549.889664351853</v>
      </c>
      <c r="C458">
        <v>80</v>
      </c>
      <c r="D458">
        <v>70.828681946000003</v>
      </c>
      <c r="E458">
        <v>50</v>
      </c>
      <c r="F458">
        <v>49.888931274000001</v>
      </c>
      <c r="G458">
        <v>1316.5877685999999</v>
      </c>
      <c r="H458">
        <v>1310.6566161999999</v>
      </c>
      <c r="I458">
        <v>1360.6672363</v>
      </c>
      <c r="J458">
        <v>1351.2518310999999</v>
      </c>
      <c r="K458">
        <v>0</v>
      </c>
      <c r="L458">
        <v>1100</v>
      </c>
      <c r="M458">
        <v>1100</v>
      </c>
      <c r="N458">
        <v>0</v>
      </c>
    </row>
    <row r="459" spans="1:14" x14ac:dyDescent="0.25">
      <c r="A459">
        <v>252.89779899999999</v>
      </c>
      <c r="B459" s="1">
        <f>DATE(2011,1,8) + TIME(21,32,49)</f>
        <v>40551.897789351853</v>
      </c>
      <c r="C459">
        <v>80</v>
      </c>
      <c r="D459">
        <v>70.626564025999997</v>
      </c>
      <c r="E459">
        <v>50</v>
      </c>
      <c r="F459">
        <v>49.889266968000001</v>
      </c>
      <c r="G459">
        <v>1316.4619141000001</v>
      </c>
      <c r="H459">
        <v>1310.4865723</v>
      </c>
      <c r="I459">
        <v>1360.6312256000001</v>
      </c>
      <c r="J459">
        <v>1351.2196045000001</v>
      </c>
      <c r="K459">
        <v>0</v>
      </c>
      <c r="L459">
        <v>1100</v>
      </c>
      <c r="M459">
        <v>1100</v>
      </c>
      <c r="N459">
        <v>0</v>
      </c>
    </row>
    <row r="460" spans="1:14" x14ac:dyDescent="0.25">
      <c r="A460">
        <v>254.939618</v>
      </c>
      <c r="B460" s="1">
        <f>DATE(2011,1,10) + TIME(22,33,2)</f>
        <v>40553.939606481479</v>
      </c>
      <c r="C460">
        <v>80</v>
      </c>
      <c r="D460">
        <v>70.419982910000002</v>
      </c>
      <c r="E460">
        <v>50</v>
      </c>
      <c r="F460">
        <v>49.889606475999997</v>
      </c>
      <c r="G460">
        <v>1316.3323975000001</v>
      </c>
      <c r="H460">
        <v>1310.3107910000001</v>
      </c>
      <c r="I460">
        <v>1360.5959473</v>
      </c>
      <c r="J460">
        <v>1351.1879882999999</v>
      </c>
      <c r="K460">
        <v>0</v>
      </c>
      <c r="L460">
        <v>1100</v>
      </c>
      <c r="M460">
        <v>1100</v>
      </c>
      <c r="N460">
        <v>0</v>
      </c>
    </row>
    <row r="461" spans="1:14" x14ac:dyDescent="0.25">
      <c r="A461">
        <v>257.02094799999998</v>
      </c>
      <c r="B461" s="1">
        <f>DATE(2011,1,13) + TIME(0,30,9)</f>
        <v>40556.020937499998</v>
      </c>
      <c r="C461">
        <v>80</v>
      </c>
      <c r="D461">
        <v>70.208358765</v>
      </c>
      <c r="E461">
        <v>50</v>
      </c>
      <c r="F461">
        <v>49.889953613000003</v>
      </c>
      <c r="G461">
        <v>1316.1988524999999</v>
      </c>
      <c r="H461">
        <v>1310.1289062000001</v>
      </c>
      <c r="I461">
        <v>1360.5615233999999</v>
      </c>
      <c r="J461">
        <v>1351.1571045000001</v>
      </c>
      <c r="K461">
        <v>0</v>
      </c>
      <c r="L461">
        <v>1100</v>
      </c>
      <c r="M461">
        <v>1100</v>
      </c>
      <c r="N461">
        <v>0</v>
      </c>
    </row>
    <row r="462" spans="1:14" x14ac:dyDescent="0.25">
      <c r="A462">
        <v>259.15029399999997</v>
      </c>
      <c r="B462" s="1">
        <f>DATE(2011,1,15) + TIME(3,36,25)</f>
        <v>40558.150289351855</v>
      </c>
      <c r="C462">
        <v>80</v>
      </c>
      <c r="D462">
        <v>69.990707396999994</v>
      </c>
      <c r="E462">
        <v>50</v>
      </c>
      <c r="F462">
        <v>49.89030838</v>
      </c>
      <c r="G462">
        <v>1316.0607910000001</v>
      </c>
      <c r="H462">
        <v>1309.9403076000001</v>
      </c>
      <c r="I462">
        <v>1360.5274658000001</v>
      </c>
      <c r="J462">
        <v>1351.1267089999999</v>
      </c>
      <c r="K462">
        <v>0</v>
      </c>
      <c r="L462">
        <v>1100</v>
      </c>
      <c r="M462">
        <v>1100</v>
      </c>
      <c r="N462">
        <v>0</v>
      </c>
    </row>
    <row r="463" spans="1:14" x14ac:dyDescent="0.25">
      <c r="A463">
        <v>261.33995299999998</v>
      </c>
      <c r="B463" s="1">
        <f>DATE(2011,1,17) + TIME(8,9,31)</f>
        <v>40560.339942129627</v>
      </c>
      <c r="C463">
        <v>80</v>
      </c>
      <c r="D463">
        <v>69.765350342000005</v>
      </c>
      <c r="E463">
        <v>50</v>
      </c>
      <c r="F463">
        <v>49.890666961999997</v>
      </c>
      <c r="G463">
        <v>1315.9177245999999</v>
      </c>
      <c r="H463">
        <v>1309.7442627</v>
      </c>
      <c r="I463">
        <v>1360.4937743999999</v>
      </c>
      <c r="J463">
        <v>1351.0966797000001</v>
      </c>
      <c r="K463">
        <v>0</v>
      </c>
      <c r="L463">
        <v>1100</v>
      </c>
      <c r="M463">
        <v>1100</v>
      </c>
      <c r="N463">
        <v>0</v>
      </c>
    </row>
    <row r="464" spans="1:14" x14ac:dyDescent="0.25">
      <c r="A464">
        <v>263.60346900000002</v>
      </c>
      <c r="B464" s="1">
        <f>DATE(2011,1,19) + TIME(14,28,59)</f>
        <v>40562.603460648148</v>
      </c>
      <c r="C464">
        <v>80</v>
      </c>
      <c r="D464">
        <v>69.530677795000003</v>
      </c>
      <c r="E464">
        <v>50</v>
      </c>
      <c r="F464">
        <v>49.891040801999999</v>
      </c>
      <c r="G464">
        <v>1315.7689209</v>
      </c>
      <c r="H464">
        <v>1309.5395507999999</v>
      </c>
      <c r="I464">
        <v>1360.4603271000001</v>
      </c>
      <c r="J464">
        <v>1351.0668945</v>
      </c>
      <c r="K464">
        <v>0</v>
      </c>
      <c r="L464">
        <v>1100</v>
      </c>
      <c r="M464">
        <v>1100</v>
      </c>
      <c r="N464">
        <v>0</v>
      </c>
    </row>
    <row r="465" spans="1:14" x14ac:dyDescent="0.25">
      <c r="A465">
        <v>265.94249600000001</v>
      </c>
      <c r="B465" s="1">
        <f>DATE(2011,1,21) + TIME(22,37,11)</f>
        <v>40564.942488425928</v>
      </c>
      <c r="C465">
        <v>80</v>
      </c>
      <c r="D465">
        <v>69.285240173000005</v>
      </c>
      <c r="E465">
        <v>50</v>
      </c>
      <c r="F465">
        <v>49.891422272</v>
      </c>
      <c r="G465">
        <v>1315.6134033000001</v>
      </c>
      <c r="H465">
        <v>1309.3248291</v>
      </c>
      <c r="I465">
        <v>1360.4268798999999</v>
      </c>
      <c r="J465">
        <v>1351.0371094</v>
      </c>
      <c r="K465">
        <v>0</v>
      </c>
      <c r="L465">
        <v>1100</v>
      </c>
      <c r="M465">
        <v>1100</v>
      </c>
      <c r="N465">
        <v>0</v>
      </c>
    </row>
    <row r="466" spans="1:14" x14ac:dyDescent="0.25">
      <c r="A466">
        <v>268.29659900000001</v>
      </c>
      <c r="B466" s="1">
        <f>DATE(2011,1,24) + TIME(7,7,6)</f>
        <v>40567.296597222223</v>
      </c>
      <c r="C466">
        <v>80</v>
      </c>
      <c r="D466">
        <v>69.030647278000004</v>
      </c>
      <c r="E466">
        <v>50</v>
      </c>
      <c r="F466">
        <v>49.891803740999997</v>
      </c>
      <c r="G466">
        <v>1315.4510498</v>
      </c>
      <c r="H466">
        <v>1309.1003418</v>
      </c>
      <c r="I466">
        <v>1360.3934326000001</v>
      </c>
      <c r="J466">
        <v>1351.0073242000001</v>
      </c>
      <c r="K466">
        <v>0</v>
      </c>
      <c r="L466">
        <v>1100</v>
      </c>
      <c r="M466">
        <v>1100</v>
      </c>
      <c r="N466">
        <v>0</v>
      </c>
    </row>
    <row r="467" spans="1:14" x14ac:dyDescent="0.25">
      <c r="A467">
        <v>270.672144</v>
      </c>
      <c r="B467" s="1">
        <f>DATE(2011,1,26) + TIME(16,7,53)</f>
        <v>40569.6721412037</v>
      </c>
      <c r="C467">
        <v>80</v>
      </c>
      <c r="D467">
        <v>68.767745972</v>
      </c>
      <c r="E467">
        <v>50</v>
      </c>
      <c r="F467">
        <v>49.892185210999997</v>
      </c>
      <c r="G467">
        <v>1315.2850341999999</v>
      </c>
      <c r="H467">
        <v>1308.8698730000001</v>
      </c>
      <c r="I467">
        <v>1360.3607178</v>
      </c>
      <c r="J467">
        <v>1350.9783935999999</v>
      </c>
      <c r="K467">
        <v>0</v>
      </c>
      <c r="L467">
        <v>1100</v>
      </c>
      <c r="M467">
        <v>1100</v>
      </c>
      <c r="N467">
        <v>0</v>
      </c>
    </row>
    <row r="468" spans="1:14" x14ac:dyDescent="0.25">
      <c r="A468">
        <v>273.08251300000001</v>
      </c>
      <c r="B468" s="1">
        <f>DATE(2011,1,29) + TIME(1,58,49)</f>
        <v>40572.082511574074</v>
      </c>
      <c r="C468">
        <v>80</v>
      </c>
      <c r="D468">
        <v>68.495811462000006</v>
      </c>
      <c r="E468">
        <v>50</v>
      </c>
      <c r="F468">
        <v>49.892570495999998</v>
      </c>
      <c r="G468">
        <v>1315.1156006000001</v>
      </c>
      <c r="H468">
        <v>1308.6333007999999</v>
      </c>
      <c r="I468">
        <v>1360.3288574000001</v>
      </c>
      <c r="J468">
        <v>1350.9501952999999</v>
      </c>
      <c r="K468">
        <v>0</v>
      </c>
      <c r="L468">
        <v>1100</v>
      </c>
      <c r="M468">
        <v>1100</v>
      </c>
      <c r="N468">
        <v>0</v>
      </c>
    </row>
    <row r="469" spans="1:14" x14ac:dyDescent="0.25">
      <c r="A469">
        <v>275.53241100000002</v>
      </c>
      <c r="B469" s="1">
        <f>DATE(2011,1,31) + TIME(12,46,40)</f>
        <v>40574.532407407409</v>
      </c>
      <c r="C469">
        <v>80</v>
      </c>
      <c r="D469">
        <v>68.213676453000005</v>
      </c>
      <c r="E469">
        <v>50</v>
      </c>
      <c r="F469">
        <v>49.892959595000001</v>
      </c>
      <c r="G469">
        <v>1314.9420166</v>
      </c>
      <c r="H469">
        <v>1308.3898925999999</v>
      </c>
      <c r="I469">
        <v>1360.2974853999999</v>
      </c>
      <c r="J469">
        <v>1350.9223632999999</v>
      </c>
      <c r="K469">
        <v>0</v>
      </c>
      <c r="L469">
        <v>1100</v>
      </c>
      <c r="M469">
        <v>1100</v>
      </c>
      <c r="N469">
        <v>0</v>
      </c>
    </row>
    <row r="470" spans="1:14" x14ac:dyDescent="0.25">
      <c r="A470">
        <v>276</v>
      </c>
      <c r="B470" s="1">
        <f>DATE(2011,2,1) + TIME(0,0,0)</f>
        <v>40575</v>
      </c>
      <c r="C470">
        <v>80</v>
      </c>
      <c r="D470">
        <v>68.110198975000003</v>
      </c>
      <c r="E470">
        <v>50</v>
      </c>
      <c r="F470">
        <v>49.893024445000002</v>
      </c>
      <c r="G470">
        <v>1314.7790527</v>
      </c>
      <c r="H470">
        <v>1308.1818848</v>
      </c>
      <c r="I470">
        <v>1360.2648925999999</v>
      </c>
      <c r="J470">
        <v>1350.8935547000001</v>
      </c>
      <c r="K470">
        <v>0</v>
      </c>
      <c r="L470">
        <v>1100</v>
      </c>
      <c r="M470">
        <v>1100</v>
      </c>
      <c r="N470">
        <v>0</v>
      </c>
    </row>
    <row r="471" spans="1:14" x14ac:dyDescent="0.25">
      <c r="A471">
        <v>278.50102299999998</v>
      </c>
      <c r="B471" s="1">
        <f>DATE(2011,2,3) + TIME(12,1,28)</f>
        <v>40577.501018518517</v>
      </c>
      <c r="C471">
        <v>80</v>
      </c>
      <c r="D471">
        <v>67.842201232999997</v>
      </c>
      <c r="E471">
        <v>50</v>
      </c>
      <c r="F471">
        <v>49.893424988</v>
      </c>
      <c r="G471">
        <v>1314.7210693</v>
      </c>
      <c r="H471">
        <v>1308.0751952999999</v>
      </c>
      <c r="I471">
        <v>1360.2607422000001</v>
      </c>
      <c r="J471">
        <v>1350.8898925999999</v>
      </c>
      <c r="K471">
        <v>0</v>
      </c>
      <c r="L471">
        <v>1100</v>
      </c>
      <c r="M471">
        <v>1100</v>
      </c>
      <c r="N471">
        <v>0</v>
      </c>
    </row>
    <row r="472" spans="1:14" x14ac:dyDescent="0.25">
      <c r="A472">
        <v>281.03892000000002</v>
      </c>
      <c r="B472" s="1">
        <f>DATE(2011,2,6) + TIME(0,56,2)</f>
        <v>40580.038912037038</v>
      </c>
      <c r="C472">
        <v>80</v>
      </c>
      <c r="D472">
        <v>67.545730590999995</v>
      </c>
      <c r="E472">
        <v>50</v>
      </c>
      <c r="F472">
        <v>49.893825530999997</v>
      </c>
      <c r="G472">
        <v>1314.5427245999999</v>
      </c>
      <c r="H472">
        <v>1307.8255615</v>
      </c>
      <c r="I472">
        <v>1360.2301024999999</v>
      </c>
      <c r="J472">
        <v>1350.8629149999999</v>
      </c>
      <c r="K472">
        <v>0</v>
      </c>
      <c r="L472">
        <v>1100</v>
      </c>
      <c r="M472">
        <v>1100</v>
      </c>
      <c r="N472">
        <v>0</v>
      </c>
    </row>
    <row r="473" spans="1:14" x14ac:dyDescent="0.25">
      <c r="A473">
        <v>283.60697299999998</v>
      </c>
      <c r="B473" s="1">
        <f>DATE(2011,2,8) + TIME(14,34,2)</f>
        <v>40582.60696759259</v>
      </c>
      <c r="C473">
        <v>80</v>
      </c>
      <c r="D473">
        <v>67.229675293</v>
      </c>
      <c r="E473">
        <v>50</v>
      </c>
      <c r="F473">
        <v>49.894222259999999</v>
      </c>
      <c r="G473">
        <v>1314.3572998</v>
      </c>
      <c r="H473">
        <v>1307.5633545000001</v>
      </c>
      <c r="I473">
        <v>1360.199707</v>
      </c>
      <c r="J473">
        <v>1350.8363036999999</v>
      </c>
      <c r="K473">
        <v>0</v>
      </c>
      <c r="L473">
        <v>1100</v>
      </c>
      <c r="M473">
        <v>1100</v>
      </c>
      <c r="N473">
        <v>0</v>
      </c>
    </row>
    <row r="474" spans="1:14" x14ac:dyDescent="0.25">
      <c r="A474">
        <v>286.210444</v>
      </c>
      <c r="B474" s="1">
        <f>DATE(2011,2,11) + TIME(5,3,2)</f>
        <v>40585.210439814815</v>
      </c>
      <c r="C474">
        <v>80</v>
      </c>
      <c r="D474">
        <v>66.897331238000007</v>
      </c>
      <c r="E474">
        <v>50</v>
      </c>
      <c r="F474">
        <v>49.894622802999997</v>
      </c>
      <c r="G474">
        <v>1314.1669922000001</v>
      </c>
      <c r="H474">
        <v>1307.2926024999999</v>
      </c>
      <c r="I474">
        <v>1360.1699219</v>
      </c>
      <c r="J474">
        <v>1350.8101807</v>
      </c>
      <c r="K474">
        <v>0</v>
      </c>
      <c r="L474">
        <v>1100</v>
      </c>
      <c r="M474">
        <v>1100</v>
      </c>
      <c r="N474">
        <v>0</v>
      </c>
    </row>
    <row r="475" spans="1:14" x14ac:dyDescent="0.25">
      <c r="A475">
        <v>288.851719</v>
      </c>
      <c r="B475" s="1">
        <f>DATE(2011,2,13) + TIME(20,26,28)</f>
        <v>40587.851712962962</v>
      </c>
      <c r="C475">
        <v>80</v>
      </c>
      <c r="D475">
        <v>66.549430846999996</v>
      </c>
      <c r="E475">
        <v>50</v>
      </c>
      <c r="F475">
        <v>49.895027161000002</v>
      </c>
      <c r="G475">
        <v>1313.9724120999999</v>
      </c>
      <c r="H475">
        <v>1307.0144043</v>
      </c>
      <c r="I475">
        <v>1360.1403809000001</v>
      </c>
      <c r="J475">
        <v>1350.7843018000001</v>
      </c>
      <c r="K475">
        <v>0</v>
      </c>
      <c r="L475">
        <v>1100</v>
      </c>
      <c r="M475">
        <v>1100</v>
      </c>
      <c r="N475">
        <v>0</v>
      </c>
    </row>
    <row r="476" spans="1:14" x14ac:dyDescent="0.25">
      <c r="A476">
        <v>291.51810399999999</v>
      </c>
      <c r="B476" s="1">
        <f>DATE(2011,2,16) + TIME(12,26,4)</f>
        <v>40590.518101851849</v>
      </c>
      <c r="C476">
        <v>80</v>
      </c>
      <c r="D476">
        <v>66.186492920000006</v>
      </c>
      <c r="E476">
        <v>50</v>
      </c>
      <c r="F476">
        <v>49.895431518999999</v>
      </c>
      <c r="G476">
        <v>1313.7740478999999</v>
      </c>
      <c r="H476">
        <v>1306.7293701000001</v>
      </c>
      <c r="I476">
        <v>1360.1112060999999</v>
      </c>
      <c r="J476">
        <v>1350.7587891000001</v>
      </c>
      <c r="K476">
        <v>0</v>
      </c>
      <c r="L476">
        <v>1100</v>
      </c>
      <c r="M476">
        <v>1100</v>
      </c>
      <c r="N476">
        <v>0</v>
      </c>
    </row>
    <row r="477" spans="1:14" x14ac:dyDescent="0.25">
      <c r="A477">
        <v>294.21553799999998</v>
      </c>
      <c r="B477" s="1">
        <f>DATE(2011,2,19) + TIME(5,10,22)</f>
        <v>40593.215532407405</v>
      </c>
      <c r="C477">
        <v>80</v>
      </c>
      <c r="D477">
        <v>65.808425903</v>
      </c>
      <c r="E477">
        <v>50</v>
      </c>
      <c r="F477">
        <v>49.895835876</v>
      </c>
      <c r="G477">
        <v>1313.5726318</v>
      </c>
      <c r="H477">
        <v>1306.4388428</v>
      </c>
      <c r="I477">
        <v>1360.0823975000001</v>
      </c>
      <c r="J477">
        <v>1350.7336425999999</v>
      </c>
      <c r="K477">
        <v>0</v>
      </c>
      <c r="L477">
        <v>1100</v>
      </c>
      <c r="M477">
        <v>1100</v>
      </c>
      <c r="N477">
        <v>0</v>
      </c>
    </row>
    <row r="478" spans="1:14" x14ac:dyDescent="0.25">
      <c r="A478">
        <v>296.94993099999999</v>
      </c>
      <c r="B478" s="1">
        <f>DATE(2011,2,21) + TIME(22,47,54)</f>
        <v>40595.949930555558</v>
      </c>
      <c r="C478">
        <v>80</v>
      </c>
      <c r="D478">
        <v>65.414405822999996</v>
      </c>
      <c r="E478">
        <v>50</v>
      </c>
      <c r="F478">
        <v>49.896244049000003</v>
      </c>
      <c r="G478">
        <v>1313.3684082</v>
      </c>
      <c r="H478">
        <v>1306.1427002</v>
      </c>
      <c r="I478">
        <v>1360.0538329999999</v>
      </c>
      <c r="J478">
        <v>1350.7087402</v>
      </c>
      <c r="K478">
        <v>0</v>
      </c>
      <c r="L478">
        <v>1100</v>
      </c>
      <c r="M478">
        <v>1100</v>
      </c>
      <c r="N478">
        <v>0</v>
      </c>
    </row>
    <row r="479" spans="1:14" x14ac:dyDescent="0.25">
      <c r="A479">
        <v>299.72708499999999</v>
      </c>
      <c r="B479" s="1">
        <f>DATE(2011,2,24) + TIME(17,27,0)</f>
        <v>40598.727083333331</v>
      </c>
      <c r="C479">
        <v>80</v>
      </c>
      <c r="D479">
        <v>65.003288268999995</v>
      </c>
      <c r="E479">
        <v>50</v>
      </c>
      <c r="F479">
        <v>49.896652222</v>
      </c>
      <c r="G479">
        <v>1313.1611327999999</v>
      </c>
      <c r="H479">
        <v>1305.8406981999999</v>
      </c>
      <c r="I479">
        <v>1360.0253906</v>
      </c>
      <c r="J479">
        <v>1350.684082</v>
      </c>
      <c r="K479">
        <v>0</v>
      </c>
      <c r="L479">
        <v>1100</v>
      </c>
      <c r="M479">
        <v>1100</v>
      </c>
      <c r="N479">
        <v>0</v>
      </c>
    </row>
    <row r="480" spans="1:14" x14ac:dyDescent="0.25">
      <c r="A480">
        <v>302.53274299999998</v>
      </c>
      <c r="B480" s="1">
        <f>DATE(2011,2,27) + TIME(12,47,9)</f>
        <v>40601.532743055555</v>
      </c>
      <c r="C480">
        <v>80</v>
      </c>
      <c r="D480">
        <v>64.575164795000006</v>
      </c>
      <c r="E480">
        <v>50</v>
      </c>
      <c r="F480">
        <v>49.897064209</v>
      </c>
      <c r="G480">
        <v>1312.9506836</v>
      </c>
      <c r="H480">
        <v>1305.5328368999999</v>
      </c>
      <c r="I480">
        <v>1359.9971923999999</v>
      </c>
      <c r="J480">
        <v>1350.6595459</v>
      </c>
      <c r="K480">
        <v>0</v>
      </c>
      <c r="L480">
        <v>1100</v>
      </c>
      <c r="M480">
        <v>1100</v>
      </c>
      <c r="N480">
        <v>0</v>
      </c>
    </row>
    <row r="481" spans="1:14" x14ac:dyDescent="0.25">
      <c r="A481">
        <v>304</v>
      </c>
      <c r="B481" s="1">
        <f>DATE(2011,3,1) + TIME(0,0,0)</f>
        <v>40603</v>
      </c>
      <c r="C481">
        <v>80</v>
      </c>
      <c r="D481">
        <v>64.245735167999996</v>
      </c>
      <c r="E481">
        <v>50</v>
      </c>
      <c r="F481">
        <v>49.897266387999998</v>
      </c>
      <c r="G481">
        <v>1312.744751</v>
      </c>
      <c r="H481">
        <v>1305.2442627</v>
      </c>
      <c r="I481">
        <v>1359.9683838000001</v>
      </c>
      <c r="J481">
        <v>1350.6345214999999</v>
      </c>
      <c r="K481">
        <v>0</v>
      </c>
      <c r="L481">
        <v>1100</v>
      </c>
      <c r="M481">
        <v>1100</v>
      </c>
      <c r="N481">
        <v>0</v>
      </c>
    </row>
    <row r="482" spans="1:14" x14ac:dyDescent="0.25">
      <c r="A482">
        <v>306.84178200000002</v>
      </c>
      <c r="B482" s="1">
        <f>DATE(2011,3,3) + TIME(20,12,9)</f>
        <v>40605.841770833336</v>
      </c>
      <c r="C482">
        <v>80</v>
      </c>
      <c r="D482">
        <v>63.854461669999999</v>
      </c>
      <c r="E482">
        <v>50</v>
      </c>
      <c r="F482">
        <v>49.897682189999998</v>
      </c>
      <c r="G482">
        <v>1312.6145019999999</v>
      </c>
      <c r="H482">
        <v>1305.0313721</v>
      </c>
      <c r="I482">
        <v>1359.9547118999999</v>
      </c>
      <c r="J482">
        <v>1350.6226807</v>
      </c>
      <c r="K482">
        <v>0</v>
      </c>
      <c r="L482">
        <v>1100</v>
      </c>
      <c r="M482">
        <v>1100</v>
      </c>
      <c r="N482">
        <v>0</v>
      </c>
    </row>
    <row r="483" spans="1:14" x14ac:dyDescent="0.25">
      <c r="A483">
        <v>309.74517500000002</v>
      </c>
      <c r="B483" s="1">
        <f>DATE(2011,3,6) + TIME(17,53,3)</f>
        <v>40608.745173611111</v>
      </c>
      <c r="C483">
        <v>80</v>
      </c>
      <c r="D483">
        <v>63.406383513999998</v>
      </c>
      <c r="E483">
        <v>50</v>
      </c>
      <c r="F483">
        <v>49.898101807000003</v>
      </c>
      <c r="G483">
        <v>1312.4074707</v>
      </c>
      <c r="H483">
        <v>1304.7283935999999</v>
      </c>
      <c r="I483">
        <v>1359.9268798999999</v>
      </c>
      <c r="J483">
        <v>1350.5987548999999</v>
      </c>
      <c r="K483">
        <v>0</v>
      </c>
      <c r="L483">
        <v>1100</v>
      </c>
      <c r="M483">
        <v>1100</v>
      </c>
      <c r="N483">
        <v>0</v>
      </c>
    </row>
    <row r="484" spans="1:14" x14ac:dyDescent="0.25">
      <c r="A484">
        <v>312.685608</v>
      </c>
      <c r="B484" s="1">
        <f>DATE(2011,3,9) + TIME(16,27,16)</f>
        <v>40611.685601851852</v>
      </c>
      <c r="C484">
        <v>80</v>
      </c>
      <c r="D484">
        <v>62.924404144</v>
      </c>
      <c r="E484">
        <v>50</v>
      </c>
      <c r="F484">
        <v>49.898517609000002</v>
      </c>
      <c r="G484">
        <v>1312.1922606999999</v>
      </c>
      <c r="H484">
        <v>1304.409668</v>
      </c>
      <c r="I484">
        <v>1359.8989257999999</v>
      </c>
      <c r="J484">
        <v>1350.574707</v>
      </c>
      <c r="K484">
        <v>0</v>
      </c>
      <c r="L484">
        <v>1100</v>
      </c>
      <c r="M484">
        <v>1100</v>
      </c>
      <c r="N484">
        <v>0</v>
      </c>
    </row>
    <row r="485" spans="1:14" x14ac:dyDescent="0.25">
      <c r="A485">
        <v>315.66985299999999</v>
      </c>
      <c r="B485" s="1">
        <f>DATE(2011,3,12) + TIME(16,4,35)</f>
        <v>40614.669849537036</v>
      </c>
      <c r="C485">
        <v>80</v>
      </c>
      <c r="D485">
        <v>62.418144226000003</v>
      </c>
      <c r="E485">
        <v>50</v>
      </c>
      <c r="F485">
        <v>49.898937224999997</v>
      </c>
      <c r="G485">
        <v>1311.9733887</v>
      </c>
      <c r="H485">
        <v>1304.0826416</v>
      </c>
      <c r="I485">
        <v>1359.8710937999999</v>
      </c>
      <c r="J485">
        <v>1350.5506591999999</v>
      </c>
      <c r="K485">
        <v>0</v>
      </c>
      <c r="L485">
        <v>1100</v>
      </c>
      <c r="M485">
        <v>1100</v>
      </c>
      <c r="N485">
        <v>0</v>
      </c>
    </row>
    <row r="486" spans="1:14" x14ac:dyDescent="0.25">
      <c r="A486">
        <v>318.70475800000003</v>
      </c>
      <c r="B486" s="1">
        <f>DATE(2011,3,15) + TIME(16,54,51)</f>
        <v>40617.704756944448</v>
      </c>
      <c r="C486">
        <v>80</v>
      </c>
      <c r="D486">
        <v>61.890598296999997</v>
      </c>
      <c r="E486">
        <v>50</v>
      </c>
      <c r="F486">
        <v>49.899360657000003</v>
      </c>
      <c r="G486">
        <v>1311.7519531</v>
      </c>
      <c r="H486">
        <v>1303.7497559000001</v>
      </c>
      <c r="I486">
        <v>1359.8431396000001</v>
      </c>
      <c r="J486">
        <v>1350.5266113</v>
      </c>
      <c r="K486">
        <v>0</v>
      </c>
      <c r="L486">
        <v>1100</v>
      </c>
      <c r="M486">
        <v>1100</v>
      </c>
      <c r="N486">
        <v>0</v>
      </c>
    </row>
    <row r="487" spans="1:14" x14ac:dyDescent="0.25">
      <c r="A487">
        <v>321.781811</v>
      </c>
      <c r="B487" s="1">
        <f>DATE(2011,3,18) + TIME(18,45,48)</f>
        <v>40620.781805555554</v>
      </c>
      <c r="C487">
        <v>80</v>
      </c>
      <c r="D487">
        <v>61.343345642000003</v>
      </c>
      <c r="E487">
        <v>50</v>
      </c>
      <c r="F487">
        <v>49.899784087999997</v>
      </c>
      <c r="G487">
        <v>1311.5284423999999</v>
      </c>
      <c r="H487">
        <v>1303.4117432</v>
      </c>
      <c r="I487">
        <v>1359.8150635</v>
      </c>
      <c r="J487">
        <v>1350.5024414</v>
      </c>
      <c r="K487">
        <v>0</v>
      </c>
      <c r="L487">
        <v>1100</v>
      </c>
      <c r="M487">
        <v>1100</v>
      </c>
      <c r="N487">
        <v>0</v>
      </c>
    </row>
    <row r="488" spans="1:14" x14ac:dyDescent="0.25">
      <c r="A488">
        <v>324.90231999999997</v>
      </c>
      <c r="B488" s="1">
        <f>DATE(2011,3,21) + TIME(21,39,20)</f>
        <v>40623.902314814812</v>
      </c>
      <c r="C488">
        <v>80</v>
      </c>
      <c r="D488">
        <v>60.777515411000003</v>
      </c>
      <c r="E488">
        <v>50</v>
      </c>
      <c r="F488">
        <v>49.900207520000002</v>
      </c>
      <c r="G488">
        <v>1311.3035889</v>
      </c>
      <c r="H488">
        <v>1303.0700684000001</v>
      </c>
      <c r="I488">
        <v>1359.7868652</v>
      </c>
      <c r="J488">
        <v>1350.4781493999999</v>
      </c>
      <c r="K488">
        <v>0</v>
      </c>
      <c r="L488">
        <v>1100</v>
      </c>
      <c r="M488">
        <v>1100</v>
      </c>
      <c r="N488">
        <v>0</v>
      </c>
    </row>
    <row r="489" spans="1:14" x14ac:dyDescent="0.25">
      <c r="A489">
        <v>328.07464599999997</v>
      </c>
      <c r="B489" s="1">
        <f>DATE(2011,3,25) + TIME(1,47,29)</f>
        <v>40627.074641203704</v>
      </c>
      <c r="C489">
        <v>80</v>
      </c>
      <c r="D489">
        <v>60.193298339999998</v>
      </c>
      <c r="E489">
        <v>50</v>
      </c>
      <c r="F489">
        <v>49.900634766000003</v>
      </c>
      <c r="G489">
        <v>1311.078125</v>
      </c>
      <c r="H489">
        <v>1302.7252197</v>
      </c>
      <c r="I489">
        <v>1359.7585449000001</v>
      </c>
      <c r="J489">
        <v>1350.4538574000001</v>
      </c>
      <c r="K489">
        <v>0</v>
      </c>
      <c r="L489">
        <v>1100</v>
      </c>
      <c r="M489">
        <v>1100</v>
      </c>
      <c r="N489">
        <v>0</v>
      </c>
    </row>
    <row r="490" spans="1:14" x14ac:dyDescent="0.25">
      <c r="A490">
        <v>331.307683</v>
      </c>
      <c r="B490" s="1">
        <f>DATE(2011,3,28) + TIME(7,23,3)</f>
        <v>40630.307673611111</v>
      </c>
      <c r="C490">
        <v>80</v>
      </c>
      <c r="D490">
        <v>59.589824677000003</v>
      </c>
      <c r="E490">
        <v>50</v>
      </c>
      <c r="F490">
        <v>49.901065826</v>
      </c>
      <c r="G490">
        <v>1310.8518065999999</v>
      </c>
      <c r="H490">
        <v>1302.3771973</v>
      </c>
      <c r="I490">
        <v>1359.7299805</v>
      </c>
      <c r="J490">
        <v>1350.4293213000001</v>
      </c>
      <c r="K490">
        <v>0</v>
      </c>
      <c r="L490">
        <v>1100</v>
      </c>
      <c r="M490">
        <v>1100</v>
      </c>
      <c r="N490">
        <v>0</v>
      </c>
    </row>
    <row r="491" spans="1:14" x14ac:dyDescent="0.25">
      <c r="A491">
        <v>334.59952800000002</v>
      </c>
      <c r="B491" s="1">
        <f>DATE(2011,3,31) + TIME(14,23,19)</f>
        <v>40633.59952546296</v>
      </c>
      <c r="C491">
        <v>80</v>
      </c>
      <c r="D491">
        <v>58.967075348000002</v>
      </c>
      <c r="E491">
        <v>50</v>
      </c>
      <c r="F491">
        <v>49.901500702</v>
      </c>
      <c r="G491">
        <v>1310.6245117000001</v>
      </c>
      <c r="H491">
        <v>1302.0256348</v>
      </c>
      <c r="I491">
        <v>1359.7010498</v>
      </c>
      <c r="J491">
        <v>1350.4044189000001</v>
      </c>
      <c r="K491">
        <v>0</v>
      </c>
      <c r="L491">
        <v>1100</v>
      </c>
      <c r="M491">
        <v>1100</v>
      </c>
      <c r="N491">
        <v>0</v>
      </c>
    </row>
    <row r="492" spans="1:14" x14ac:dyDescent="0.25">
      <c r="A492">
        <v>335</v>
      </c>
      <c r="B492" s="1">
        <f>DATE(2011,4,1) + TIME(0,0,0)</f>
        <v>40634</v>
      </c>
      <c r="C492">
        <v>80</v>
      </c>
      <c r="D492">
        <v>58.777667999000002</v>
      </c>
      <c r="E492">
        <v>50</v>
      </c>
      <c r="F492">
        <v>49.901542663999997</v>
      </c>
      <c r="G492">
        <v>1310.4097899999999</v>
      </c>
      <c r="H492">
        <v>1301.7543945</v>
      </c>
      <c r="I492">
        <v>1359.6706543</v>
      </c>
      <c r="J492">
        <v>1350.3781738</v>
      </c>
      <c r="K492">
        <v>0</v>
      </c>
      <c r="L492">
        <v>1100</v>
      </c>
      <c r="M492">
        <v>1100</v>
      </c>
      <c r="N492">
        <v>0</v>
      </c>
    </row>
    <row r="493" spans="1:14" x14ac:dyDescent="0.25">
      <c r="A493">
        <v>338.34436399999998</v>
      </c>
      <c r="B493" s="1">
        <f>DATE(2011,4,4) + TIME(8,15,53)</f>
        <v>40637.344363425924</v>
      </c>
      <c r="C493">
        <v>80</v>
      </c>
      <c r="D493">
        <v>58.211612701</v>
      </c>
      <c r="E493">
        <v>50</v>
      </c>
      <c r="F493">
        <v>49.901988983000003</v>
      </c>
      <c r="G493">
        <v>1310.3609618999999</v>
      </c>
      <c r="H493">
        <v>1301.6091309000001</v>
      </c>
      <c r="I493">
        <v>1359.6683350000001</v>
      </c>
      <c r="J493">
        <v>1350.3762207</v>
      </c>
      <c r="K493">
        <v>0</v>
      </c>
      <c r="L493">
        <v>1100</v>
      </c>
      <c r="M493">
        <v>1100</v>
      </c>
      <c r="N493">
        <v>0</v>
      </c>
    </row>
    <row r="494" spans="1:14" x14ac:dyDescent="0.25">
      <c r="A494">
        <v>341.75989499999997</v>
      </c>
      <c r="B494" s="1">
        <f>DATE(2011,4,7) + TIME(18,14,14)</f>
        <v>40640.759884259256</v>
      </c>
      <c r="C494">
        <v>80</v>
      </c>
      <c r="D494">
        <v>57.577514647999998</v>
      </c>
      <c r="E494">
        <v>50</v>
      </c>
      <c r="F494">
        <v>49.902431487999998</v>
      </c>
      <c r="G494">
        <v>1310.1398925999999</v>
      </c>
      <c r="H494">
        <v>1301.2668457</v>
      </c>
      <c r="I494">
        <v>1359.6387939000001</v>
      </c>
      <c r="J494">
        <v>1350.3509521000001</v>
      </c>
      <c r="K494">
        <v>0</v>
      </c>
      <c r="L494">
        <v>1100</v>
      </c>
      <c r="M494">
        <v>1100</v>
      </c>
      <c r="N494">
        <v>0</v>
      </c>
    </row>
    <row r="495" spans="1:14" x14ac:dyDescent="0.25">
      <c r="A495">
        <v>345.24626799999999</v>
      </c>
      <c r="B495" s="1">
        <f>DATE(2011,4,11) + TIME(5,54,37)</f>
        <v>40644.246261574073</v>
      </c>
      <c r="C495">
        <v>80</v>
      </c>
      <c r="D495">
        <v>56.909660338999998</v>
      </c>
      <c r="E495">
        <v>50</v>
      </c>
      <c r="F495">
        <v>49.902877808</v>
      </c>
      <c r="G495">
        <v>1309.9150391000001</v>
      </c>
      <c r="H495">
        <v>1300.9136963000001</v>
      </c>
      <c r="I495">
        <v>1359.6088867000001</v>
      </c>
      <c r="J495">
        <v>1350.3251952999999</v>
      </c>
      <c r="K495">
        <v>0</v>
      </c>
      <c r="L495">
        <v>1100</v>
      </c>
      <c r="M495">
        <v>1100</v>
      </c>
      <c r="N495">
        <v>0</v>
      </c>
    </row>
    <row r="496" spans="1:14" x14ac:dyDescent="0.25">
      <c r="A496">
        <v>348.79253799999998</v>
      </c>
      <c r="B496" s="1">
        <f>DATE(2011,4,14) + TIME(19,1,15)</f>
        <v>40647.792534722219</v>
      </c>
      <c r="C496">
        <v>80</v>
      </c>
      <c r="D496">
        <v>56.220825195000003</v>
      </c>
      <c r="E496">
        <v>50</v>
      </c>
      <c r="F496">
        <v>49.903324126999998</v>
      </c>
      <c r="G496">
        <v>1309.6895752</v>
      </c>
      <c r="H496">
        <v>1300.5562743999999</v>
      </c>
      <c r="I496">
        <v>1359.5783690999999</v>
      </c>
      <c r="J496">
        <v>1350.2989502</v>
      </c>
      <c r="K496">
        <v>0</v>
      </c>
      <c r="L496">
        <v>1100</v>
      </c>
      <c r="M496">
        <v>1100</v>
      </c>
      <c r="N496">
        <v>0</v>
      </c>
    </row>
    <row r="497" spans="1:14" x14ac:dyDescent="0.25">
      <c r="A497">
        <v>352.38568299999997</v>
      </c>
      <c r="B497" s="1">
        <f>DATE(2011,4,18) + TIME(9,15,22)</f>
        <v>40651.385671296295</v>
      </c>
      <c r="C497">
        <v>80</v>
      </c>
      <c r="D497">
        <v>55.517910004000001</v>
      </c>
      <c r="E497">
        <v>50</v>
      </c>
      <c r="F497">
        <v>49.903774261000002</v>
      </c>
      <c r="G497">
        <v>1309.4652100000001</v>
      </c>
      <c r="H497">
        <v>1300.1982422000001</v>
      </c>
      <c r="I497">
        <v>1359.5474853999999</v>
      </c>
      <c r="J497">
        <v>1350.2723389</v>
      </c>
      <c r="K497">
        <v>0</v>
      </c>
      <c r="L497">
        <v>1100</v>
      </c>
      <c r="M497">
        <v>1100</v>
      </c>
      <c r="N497">
        <v>0</v>
      </c>
    </row>
    <row r="498" spans="1:14" x14ac:dyDescent="0.25">
      <c r="A498">
        <v>356.03644800000001</v>
      </c>
      <c r="B498" s="1">
        <f>DATE(2011,4,22) + TIME(0,52,29)</f>
        <v>40655.036446759259</v>
      </c>
      <c r="C498">
        <v>80</v>
      </c>
      <c r="D498">
        <v>54.804752350000001</v>
      </c>
      <c r="E498">
        <v>50</v>
      </c>
      <c r="F498">
        <v>49.904224395999996</v>
      </c>
      <c r="G498">
        <v>1309.2436522999999</v>
      </c>
      <c r="H498">
        <v>1299.8420410000001</v>
      </c>
      <c r="I498">
        <v>1359.5163574000001</v>
      </c>
      <c r="J498">
        <v>1350.2454834</v>
      </c>
      <c r="K498">
        <v>0</v>
      </c>
      <c r="L498">
        <v>1100</v>
      </c>
      <c r="M498">
        <v>1100</v>
      </c>
      <c r="N498">
        <v>0</v>
      </c>
    </row>
    <row r="499" spans="1:14" x14ac:dyDescent="0.25">
      <c r="A499">
        <v>359.75599499999998</v>
      </c>
      <c r="B499" s="1">
        <f>DATE(2011,4,25) + TIME(18,8,38)</f>
        <v>40658.755995370368</v>
      </c>
      <c r="C499">
        <v>80</v>
      </c>
      <c r="D499">
        <v>54.082424164000003</v>
      </c>
      <c r="E499">
        <v>50</v>
      </c>
      <c r="F499">
        <v>49.904678345000001</v>
      </c>
      <c r="G499">
        <v>1309.0251464999999</v>
      </c>
      <c r="H499">
        <v>1299.4881591999999</v>
      </c>
      <c r="I499">
        <v>1359.4847411999999</v>
      </c>
      <c r="J499">
        <v>1350.2181396000001</v>
      </c>
      <c r="K499">
        <v>0</v>
      </c>
      <c r="L499">
        <v>1100</v>
      </c>
      <c r="M499">
        <v>1100</v>
      </c>
      <c r="N499">
        <v>0</v>
      </c>
    </row>
    <row r="500" spans="1:14" x14ac:dyDescent="0.25">
      <c r="A500">
        <v>363.55662899999999</v>
      </c>
      <c r="B500" s="1">
        <f>DATE(2011,4,29) + TIME(13,21,32)</f>
        <v>40662.556620370371</v>
      </c>
      <c r="C500">
        <v>80</v>
      </c>
      <c r="D500">
        <v>53.351173400999997</v>
      </c>
      <c r="E500">
        <v>50</v>
      </c>
      <c r="F500">
        <v>49.905139923</v>
      </c>
      <c r="G500">
        <v>1308.8096923999999</v>
      </c>
      <c r="H500">
        <v>1299.1365966999999</v>
      </c>
      <c r="I500">
        <v>1359.4527588000001</v>
      </c>
      <c r="J500">
        <v>1350.1904297000001</v>
      </c>
      <c r="K500">
        <v>0</v>
      </c>
      <c r="L500">
        <v>1100</v>
      </c>
      <c r="M500">
        <v>1100</v>
      </c>
      <c r="N500">
        <v>0</v>
      </c>
    </row>
    <row r="501" spans="1:14" x14ac:dyDescent="0.25">
      <c r="A501">
        <v>365</v>
      </c>
      <c r="B501" s="1">
        <f>DATE(2011,5,1) + TIME(0,0,0)</f>
        <v>40664</v>
      </c>
      <c r="C501">
        <v>80</v>
      </c>
      <c r="D501">
        <v>52.853412628000001</v>
      </c>
      <c r="E501">
        <v>50</v>
      </c>
      <c r="F501">
        <v>49.905296325999998</v>
      </c>
      <c r="G501">
        <v>1308.5996094</v>
      </c>
      <c r="H501">
        <v>1298.8308105000001</v>
      </c>
      <c r="I501">
        <v>1359.4194336</v>
      </c>
      <c r="J501">
        <v>1350.161499</v>
      </c>
      <c r="K501">
        <v>0</v>
      </c>
      <c r="L501">
        <v>1100</v>
      </c>
      <c r="M501">
        <v>1100</v>
      </c>
      <c r="N501">
        <v>0</v>
      </c>
    </row>
    <row r="502" spans="1:14" x14ac:dyDescent="0.25">
      <c r="A502">
        <v>365.000001</v>
      </c>
      <c r="B502" s="1">
        <f>DATE(2011,5,1) + TIME(0,0,0)</f>
        <v>40664</v>
      </c>
      <c r="C502">
        <v>80</v>
      </c>
      <c r="D502">
        <v>52.853492737000003</v>
      </c>
      <c r="E502">
        <v>50</v>
      </c>
      <c r="F502">
        <v>49.905246734999999</v>
      </c>
      <c r="G502">
        <v>1319.7364502</v>
      </c>
      <c r="H502">
        <v>1309.0877685999999</v>
      </c>
      <c r="I502">
        <v>1349.7611084</v>
      </c>
      <c r="J502">
        <v>1341.4416504000001</v>
      </c>
      <c r="K502">
        <v>1100</v>
      </c>
      <c r="L502">
        <v>0</v>
      </c>
      <c r="M502">
        <v>0</v>
      </c>
      <c r="N502">
        <v>1100</v>
      </c>
    </row>
    <row r="503" spans="1:14" x14ac:dyDescent="0.25">
      <c r="A503">
        <v>365.00000399999999</v>
      </c>
      <c r="B503" s="1">
        <f>DATE(2011,5,1) + TIME(0,0,0)</f>
        <v>40664</v>
      </c>
      <c r="C503">
        <v>80</v>
      </c>
      <c r="D503">
        <v>52.853710175000003</v>
      </c>
      <c r="E503">
        <v>50</v>
      </c>
      <c r="F503">
        <v>49.905113219999997</v>
      </c>
      <c r="G503">
        <v>1320.8531493999999</v>
      </c>
      <c r="H503">
        <v>1310.3740233999999</v>
      </c>
      <c r="I503">
        <v>1348.692749</v>
      </c>
      <c r="J503">
        <v>1340.3721923999999</v>
      </c>
      <c r="K503">
        <v>1100</v>
      </c>
      <c r="L503">
        <v>0</v>
      </c>
      <c r="M503">
        <v>0</v>
      </c>
      <c r="N503">
        <v>1100</v>
      </c>
    </row>
    <row r="504" spans="1:14" x14ac:dyDescent="0.25">
      <c r="A504">
        <v>365.00001300000002</v>
      </c>
      <c r="B504" s="1">
        <f>DATE(2011,5,1) + TIME(0,0,1)</f>
        <v>40664.000011574077</v>
      </c>
      <c r="C504">
        <v>80</v>
      </c>
      <c r="D504">
        <v>52.854232787999997</v>
      </c>
      <c r="E504">
        <v>50</v>
      </c>
      <c r="F504">
        <v>49.904808043999999</v>
      </c>
      <c r="G504">
        <v>1323.4216309000001</v>
      </c>
      <c r="H504">
        <v>1313.1954346</v>
      </c>
      <c r="I504">
        <v>1346.2952881000001</v>
      </c>
      <c r="J504">
        <v>1337.9735106999999</v>
      </c>
      <c r="K504">
        <v>1100</v>
      </c>
      <c r="L504">
        <v>0</v>
      </c>
      <c r="M504">
        <v>0</v>
      </c>
      <c r="N504">
        <v>1100</v>
      </c>
    </row>
    <row r="505" spans="1:14" x14ac:dyDescent="0.25">
      <c r="A505">
        <v>365.00004000000001</v>
      </c>
      <c r="B505" s="1">
        <f>DATE(2011,5,1) + TIME(0,0,3)</f>
        <v>40664.000034722223</v>
      </c>
      <c r="C505">
        <v>80</v>
      </c>
      <c r="D505">
        <v>52.855304717999999</v>
      </c>
      <c r="E505">
        <v>50</v>
      </c>
      <c r="F505">
        <v>49.904300689999999</v>
      </c>
      <c r="G505">
        <v>1327.8968506000001</v>
      </c>
      <c r="H505">
        <v>1317.8127440999999</v>
      </c>
      <c r="I505">
        <v>1342.2852783000001</v>
      </c>
      <c r="J505">
        <v>1333.9648437999999</v>
      </c>
      <c r="K505">
        <v>1100</v>
      </c>
      <c r="L505">
        <v>0</v>
      </c>
      <c r="M505">
        <v>0</v>
      </c>
      <c r="N505">
        <v>1100</v>
      </c>
    </row>
    <row r="506" spans="1:14" x14ac:dyDescent="0.25">
      <c r="A506">
        <v>365.00012099999998</v>
      </c>
      <c r="B506" s="1">
        <f>DATE(2011,5,1) + TIME(0,0,10)</f>
        <v>40664.000115740739</v>
      </c>
      <c r="C506">
        <v>80</v>
      </c>
      <c r="D506">
        <v>52.857486725000001</v>
      </c>
      <c r="E506">
        <v>50</v>
      </c>
      <c r="F506">
        <v>49.903671265</v>
      </c>
      <c r="G506">
        <v>1333.6008300999999</v>
      </c>
      <c r="H506">
        <v>1323.4547118999999</v>
      </c>
      <c r="I506">
        <v>1337.3823242000001</v>
      </c>
      <c r="J506">
        <v>1329.0703125</v>
      </c>
      <c r="K506">
        <v>1100</v>
      </c>
      <c r="L506">
        <v>0</v>
      </c>
      <c r="M506">
        <v>0</v>
      </c>
      <c r="N506">
        <v>1100</v>
      </c>
    </row>
    <row r="507" spans="1:14" x14ac:dyDescent="0.25">
      <c r="A507">
        <v>365.00036399999999</v>
      </c>
      <c r="B507" s="1">
        <f>DATE(2011,5,1) + TIME(0,0,31)</f>
        <v>40664.000358796293</v>
      </c>
      <c r="C507">
        <v>80</v>
      </c>
      <c r="D507">
        <v>52.862678528000004</v>
      </c>
      <c r="E507">
        <v>50</v>
      </c>
      <c r="F507">
        <v>49.902988434000001</v>
      </c>
      <c r="G507">
        <v>1339.6750488</v>
      </c>
      <c r="H507">
        <v>1329.4191894999999</v>
      </c>
      <c r="I507">
        <v>1332.3173827999999</v>
      </c>
      <c r="J507">
        <v>1324.0187988</v>
      </c>
      <c r="K507">
        <v>1100</v>
      </c>
      <c r="L507">
        <v>0</v>
      </c>
      <c r="M507">
        <v>0</v>
      </c>
      <c r="N507">
        <v>1100</v>
      </c>
    </row>
    <row r="508" spans="1:14" x14ac:dyDescent="0.25">
      <c r="A508">
        <v>365.00109300000003</v>
      </c>
      <c r="B508" s="1">
        <f>DATE(2011,5,1) + TIME(0,1,34)</f>
        <v>40664.001087962963</v>
      </c>
      <c r="C508">
        <v>80</v>
      </c>
      <c r="D508">
        <v>52.876880645999996</v>
      </c>
      <c r="E508">
        <v>50</v>
      </c>
      <c r="F508">
        <v>49.902198792</v>
      </c>
      <c r="G508">
        <v>1345.9967041</v>
      </c>
      <c r="H508">
        <v>1335.6511230000001</v>
      </c>
      <c r="I508">
        <v>1327.1722411999999</v>
      </c>
      <c r="J508">
        <v>1318.8731689000001</v>
      </c>
      <c r="K508">
        <v>1100</v>
      </c>
      <c r="L508">
        <v>0</v>
      </c>
      <c r="M508">
        <v>0</v>
      </c>
      <c r="N508">
        <v>1100</v>
      </c>
    </row>
    <row r="509" spans="1:14" x14ac:dyDescent="0.25">
      <c r="A509">
        <v>365.00328000000002</v>
      </c>
      <c r="B509" s="1">
        <f>DATE(2011,5,1) + TIME(0,4,43)</f>
        <v>40664.003275462965</v>
      </c>
      <c r="C509">
        <v>80</v>
      </c>
      <c r="D509">
        <v>52.918106078999998</v>
      </c>
      <c r="E509">
        <v>50</v>
      </c>
      <c r="F509">
        <v>49.901100159000002</v>
      </c>
      <c r="G509">
        <v>1352.4376221</v>
      </c>
      <c r="H509">
        <v>1342.034668</v>
      </c>
      <c r="I509">
        <v>1321.8790283000001</v>
      </c>
      <c r="J509">
        <v>1313.5339355000001</v>
      </c>
      <c r="K509">
        <v>1100</v>
      </c>
      <c r="L509">
        <v>0</v>
      </c>
      <c r="M509">
        <v>0</v>
      </c>
      <c r="N509">
        <v>1100</v>
      </c>
    </row>
    <row r="510" spans="1:14" x14ac:dyDescent="0.25">
      <c r="A510">
        <v>365.00984099999999</v>
      </c>
      <c r="B510" s="1">
        <f>DATE(2011,5,1) + TIME(0,14,10)</f>
        <v>40664.009837962964</v>
      </c>
      <c r="C510">
        <v>80</v>
      </c>
      <c r="D510">
        <v>53.039878844999997</v>
      </c>
      <c r="E510">
        <v>50</v>
      </c>
      <c r="F510">
        <v>49.899188995000003</v>
      </c>
      <c r="G510">
        <v>1357.9948730000001</v>
      </c>
      <c r="H510">
        <v>1347.5788574000001</v>
      </c>
      <c r="I510">
        <v>1317.0592041</v>
      </c>
      <c r="J510">
        <v>1308.6473389</v>
      </c>
      <c r="K510">
        <v>1100</v>
      </c>
      <c r="L510">
        <v>0</v>
      </c>
      <c r="M510">
        <v>0</v>
      </c>
      <c r="N510">
        <v>1100</v>
      </c>
    </row>
    <row r="511" spans="1:14" x14ac:dyDescent="0.25">
      <c r="A511">
        <v>365.02952399999998</v>
      </c>
      <c r="B511" s="1">
        <f>DATE(2011,5,1) + TIME(0,42,30)</f>
        <v>40664.029513888891</v>
      </c>
      <c r="C511">
        <v>80</v>
      </c>
      <c r="D511">
        <v>53.399116515999999</v>
      </c>
      <c r="E511">
        <v>50</v>
      </c>
      <c r="F511">
        <v>49.894882201999998</v>
      </c>
      <c r="G511">
        <v>1361.4919434000001</v>
      </c>
      <c r="H511">
        <v>1351.1232910000001</v>
      </c>
      <c r="I511">
        <v>1313.8171387</v>
      </c>
      <c r="J511">
        <v>1305.3651123</v>
      </c>
      <c r="K511">
        <v>1100</v>
      </c>
      <c r="L511">
        <v>0</v>
      </c>
      <c r="M511">
        <v>0</v>
      </c>
      <c r="N511">
        <v>1100</v>
      </c>
    </row>
    <row r="512" spans="1:14" x14ac:dyDescent="0.25">
      <c r="A512">
        <v>365.07656800000001</v>
      </c>
      <c r="B512" s="1">
        <f>DATE(2011,5,1) + TIME(1,50,15)</f>
        <v>40664.076562499999</v>
      </c>
      <c r="C512">
        <v>80</v>
      </c>
      <c r="D512">
        <v>54.230278015000003</v>
      </c>
      <c r="E512">
        <v>50</v>
      </c>
      <c r="F512">
        <v>49.885562897</v>
      </c>
      <c r="G512">
        <v>1362.7816161999999</v>
      </c>
      <c r="H512">
        <v>1352.5463867000001</v>
      </c>
      <c r="I512">
        <v>1312.5417480000001</v>
      </c>
      <c r="J512">
        <v>1304.0771483999999</v>
      </c>
      <c r="K512">
        <v>1100</v>
      </c>
      <c r="L512">
        <v>0</v>
      </c>
      <c r="M512">
        <v>0</v>
      </c>
      <c r="N512">
        <v>1100</v>
      </c>
    </row>
    <row r="513" spans="1:14" x14ac:dyDescent="0.25">
      <c r="A513">
        <v>365.12457999999998</v>
      </c>
      <c r="B513" s="1">
        <f>DATE(2011,5,1) + TIME(2,59,23)</f>
        <v>40664.124571759261</v>
      </c>
      <c r="C513">
        <v>80</v>
      </c>
      <c r="D513">
        <v>55.052974700999997</v>
      </c>
      <c r="E513">
        <v>50</v>
      </c>
      <c r="F513">
        <v>49.876258849999999</v>
      </c>
      <c r="G513">
        <v>1362.9915771000001</v>
      </c>
      <c r="H513">
        <v>1352.8710937999999</v>
      </c>
      <c r="I513">
        <v>1312.2996826000001</v>
      </c>
      <c r="J513">
        <v>1303.8325195</v>
      </c>
      <c r="K513">
        <v>1100</v>
      </c>
      <c r="L513">
        <v>0</v>
      </c>
      <c r="M513">
        <v>0</v>
      </c>
      <c r="N513">
        <v>1100</v>
      </c>
    </row>
    <row r="514" spans="1:14" x14ac:dyDescent="0.25">
      <c r="A514">
        <v>365.17358300000001</v>
      </c>
      <c r="B514" s="1">
        <f>DATE(2011,5,1) + TIME(4,9,57)</f>
        <v>40664.173576388886</v>
      </c>
      <c r="C514">
        <v>80</v>
      </c>
      <c r="D514">
        <v>55.866855620999999</v>
      </c>
      <c r="E514">
        <v>50</v>
      </c>
      <c r="F514">
        <v>49.866874695</v>
      </c>
      <c r="G514">
        <v>1362.9459228999999</v>
      </c>
      <c r="H514">
        <v>1352.9360352000001</v>
      </c>
      <c r="I514">
        <v>1312.2624512</v>
      </c>
      <c r="J514">
        <v>1303.7941894999999</v>
      </c>
      <c r="K514">
        <v>1100</v>
      </c>
      <c r="L514">
        <v>0</v>
      </c>
      <c r="M514">
        <v>0</v>
      </c>
      <c r="N514">
        <v>1100</v>
      </c>
    </row>
    <row r="515" spans="1:14" x14ac:dyDescent="0.25">
      <c r="A515">
        <v>365.223615</v>
      </c>
      <c r="B515" s="1">
        <f>DATE(2011,5,1) + TIME(5,22,0)</f>
        <v>40664.223611111112</v>
      </c>
      <c r="C515">
        <v>80</v>
      </c>
      <c r="D515">
        <v>56.671752929999997</v>
      </c>
      <c r="E515">
        <v>50</v>
      </c>
      <c r="F515">
        <v>49.857379913000003</v>
      </c>
      <c r="G515">
        <v>1362.831543</v>
      </c>
      <c r="H515">
        <v>1352.9279785000001</v>
      </c>
      <c r="I515">
        <v>1312.2636719</v>
      </c>
      <c r="J515">
        <v>1303.7947998</v>
      </c>
      <c r="K515">
        <v>1100</v>
      </c>
      <c r="L515">
        <v>0</v>
      </c>
      <c r="M515">
        <v>0</v>
      </c>
      <c r="N515">
        <v>1100</v>
      </c>
    </row>
    <row r="516" spans="1:14" x14ac:dyDescent="0.25">
      <c r="A516">
        <v>365.27466199999998</v>
      </c>
      <c r="B516" s="1">
        <f>DATE(2011,5,1) + TIME(6,35,30)</f>
        <v>40664.274652777778</v>
      </c>
      <c r="C516">
        <v>80</v>
      </c>
      <c r="D516">
        <v>57.466636657999999</v>
      </c>
      <c r="E516">
        <v>50</v>
      </c>
      <c r="F516">
        <v>49.847774506</v>
      </c>
      <c r="G516">
        <v>1362.6993408000001</v>
      </c>
      <c r="H516">
        <v>1352.8977050999999</v>
      </c>
      <c r="I516">
        <v>1312.269043</v>
      </c>
      <c r="J516">
        <v>1303.7994385</v>
      </c>
      <c r="K516">
        <v>1100</v>
      </c>
      <c r="L516">
        <v>0</v>
      </c>
      <c r="M516">
        <v>0</v>
      </c>
      <c r="N516">
        <v>1100</v>
      </c>
    </row>
    <row r="517" spans="1:14" x14ac:dyDescent="0.25">
      <c r="A517">
        <v>365.32674700000001</v>
      </c>
      <c r="B517" s="1">
        <f>DATE(2011,5,1) + TIME(7,50,30)</f>
        <v>40664.326736111114</v>
      </c>
      <c r="C517">
        <v>80</v>
      </c>
      <c r="D517">
        <v>58.251117706000002</v>
      </c>
      <c r="E517">
        <v>50</v>
      </c>
      <c r="F517">
        <v>49.838062286000003</v>
      </c>
      <c r="G517">
        <v>1362.5651855000001</v>
      </c>
      <c r="H517">
        <v>1352.8610839999999</v>
      </c>
      <c r="I517">
        <v>1312.2729492000001</v>
      </c>
      <c r="J517">
        <v>1303.8026123</v>
      </c>
      <c r="K517">
        <v>1100</v>
      </c>
      <c r="L517">
        <v>0</v>
      </c>
      <c r="M517">
        <v>0</v>
      </c>
      <c r="N517">
        <v>1100</v>
      </c>
    </row>
    <row r="518" spans="1:14" x14ac:dyDescent="0.25">
      <c r="A518">
        <v>365.37992200000002</v>
      </c>
      <c r="B518" s="1">
        <f>DATE(2011,5,1) + TIME(9,7,5)</f>
        <v>40664.379918981482</v>
      </c>
      <c r="C518">
        <v>80</v>
      </c>
      <c r="D518">
        <v>59.025188446000001</v>
      </c>
      <c r="E518">
        <v>50</v>
      </c>
      <c r="F518">
        <v>49.828231811999999</v>
      </c>
      <c r="G518">
        <v>1362.434082</v>
      </c>
      <c r="H518">
        <v>1352.8236084</v>
      </c>
      <c r="I518">
        <v>1312.2751464999999</v>
      </c>
      <c r="J518">
        <v>1303.8041992000001</v>
      </c>
      <c r="K518">
        <v>1100</v>
      </c>
      <c r="L518">
        <v>0</v>
      </c>
      <c r="M518">
        <v>0</v>
      </c>
      <c r="N518">
        <v>1100</v>
      </c>
    </row>
    <row r="519" spans="1:14" x14ac:dyDescent="0.25">
      <c r="A519">
        <v>365.43424299999998</v>
      </c>
      <c r="B519" s="1">
        <f>DATE(2011,5,1) + TIME(10,25,18)</f>
        <v>40664.434236111112</v>
      </c>
      <c r="C519">
        <v>80</v>
      </c>
      <c r="D519">
        <v>59.788833617999998</v>
      </c>
      <c r="E519">
        <v>50</v>
      </c>
      <c r="F519">
        <v>49.818279265999998</v>
      </c>
      <c r="G519">
        <v>1362.3079834</v>
      </c>
      <c r="H519">
        <v>1352.7871094</v>
      </c>
      <c r="I519">
        <v>1312.2763672000001</v>
      </c>
      <c r="J519">
        <v>1303.8048096</v>
      </c>
      <c r="K519">
        <v>1100</v>
      </c>
      <c r="L519">
        <v>0</v>
      </c>
      <c r="M519">
        <v>0</v>
      </c>
      <c r="N519">
        <v>1100</v>
      </c>
    </row>
    <row r="520" spans="1:14" x14ac:dyDescent="0.25">
      <c r="A520">
        <v>365.48977000000002</v>
      </c>
      <c r="B520" s="1">
        <f>DATE(2011,5,1) + TIME(11,45,16)</f>
        <v>40664.489768518521</v>
      </c>
      <c r="C520">
        <v>80</v>
      </c>
      <c r="D520">
        <v>60.541618346999996</v>
      </c>
      <c r="E520">
        <v>50</v>
      </c>
      <c r="F520">
        <v>49.808193207000002</v>
      </c>
      <c r="G520">
        <v>1362.1873779</v>
      </c>
      <c r="H520">
        <v>1352.7523193</v>
      </c>
      <c r="I520">
        <v>1312.2772216999999</v>
      </c>
      <c r="J520">
        <v>1303.8049315999999</v>
      </c>
      <c r="K520">
        <v>1100</v>
      </c>
      <c r="L520">
        <v>0</v>
      </c>
      <c r="M520">
        <v>0</v>
      </c>
      <c r="N520">
        <v>1100</v>
      </c>
    </row>
    <row r="521" spans="1:14" x14ac:dyDescent="0.25">
      <c r="A521">
        <v>365.54656499999999</v>
      </c>
      <c r="B521" s="1">
        <f>DATE(2011,5,1) + TIME(13,7,3)</f>
        <v>40664.5465625</v>
      </c>
      <c r="C521">
        <v>80</v>
      </c>
      <c r="D521">
        <v>61.283710480000003</v>
      </c>
      <c r="E521">
        <v>50</v>
      </c>
      <c r="F521">
        <v>49.797973632999998</v>
      </c>
      <c r="G521">
        <v>1362.0722656</v>
      </c>
      <c r="H521">
        <v>1352.7193603999999</v>
      </c>
      <c r="I521">
        <v>1312.2777100000001</v>
      </c>
      <c r="J521">
        <v>1303.8048096</v>
      </c>
      <c r="K521">
        <v>1100</v>
      </c>
      <c r="L521">
        <v>0</v>
      </c>
      <c r="M521">
        <v>0</v>
      </c>
      <c r="N521">
        <v>1100</v>
      </c>
    </row>
    <row r="522" spans="1:14" x14ac:dyDescent="0.25">
      <c r="A522">
        <v>365.60465499999998</v>
      </c>
      <c r="B522" s="1">
        <f>DATE(2011,5,1) + TIME(14,30,42)</f>
        <v>40664.60465277778</v>
      </c>
      <c r="C522">
        <v>80</v>
      </c>
      <c r="D522">
        <v>62.014690399000003</v>
      </c>
      <c r="E522">
        <v>50</v>
      </c>
      <c r="F522">
        <v>49.787612914999997</v>
      </c>
      <c r="G522">
        <v>1361.9625243999999</v>
      </c>
      <c r="H522">
        <v>1352.6885986</v>
      </c>
      <c r="I522">
        <v>1312.2780762</v>
      </c>
      <c r="J522">
        <v>1303.8044434000001</v>
      </c>
      <c r="K522">
        <v>1100</v>
      </c>
      <c r="L522">
        <v>0</v>
      </c>
      <c r="M522">
        <v>0</v>
      </c>
      <c r="N522">
        <v>1100</v>
      </c>
    </row>
    <row r="523" spans="1:14" x14ac:dyDescent="0.25">
      <c r="A523">
        <v>365.66407199999998</v>
      </c>
      <c r="B523" s="1">
        <f>DATE(2011,5,1) + TIME(15,56,15)</f>
        <v>40664.6640625</v>
      </c>
      <c r="C523">
        <v>80</v>
      </c>
      <c r="D523">
        <v>62.734039307000003</v>
      </c>
      <c r="E523">
        <v>50</v>
      </c>
      <c r="F523">
        <v>49.777111052999999</v>
      </c>
      <c r="G523">
        <v>1361.8581543</v>
      </c>
      <c r="H523">
        <v>1352.659668</v>
      </c>
      <c r="I523">
        <v>1312.2783202999999</v>
      </c>
      <c r="J523">
        <v>1303.8039550999999</v>
      </c>
      <c r="K523">
        <v>1100</v>
      </c>
      <c r="L523">
        <v>0</v>
      </c>
      <c r="M523">
        <v>0</v>
      </c>
      <c r="N523">
        <v>1100</v>
      </c>
    </row>
    <row r="524" spans="1:14" x14ac:dyDescent="0.25">
      <c r="A524">
        <v>365.72488600000003</v>
      </c>
      <c r="B524" s="1">
        <f>DATE(2011,5,1) + TIME(17,23,50)</f>
        <v>40664.72488425926</v>
      </c>
      <c r="C524">
        <v>80</v>
      </c>
      <c r="D524">
        <v>63.441688538000001</v>
      </c>
      <c r="E524">
        <v>50</v>
      </c>
      <c r="F524">
        <v>49.766460418999998</v>
      </c>
      <c r="G524">
        <v>1361.7587891000001</v>
      </c>
      <c r="H524">
        <v>1352.6325684000001</v>
      </c>
      <c r="I524">
        <v>1312.2785644999999</v>
      </c>
      <c r="J524">
        <v>1303.8034668</v>
      </c>
      <c r="K524">
        <v>1100</v>
      </c>
      <c r="L524">
        <v>0</v>
      </c>
      <c r="M524">
        <v>0</v>
      </c>
      <c r="N524">
        <v>1100</v>
      </c>
    </row>
    <row r="525" spans="1:14" x14ac:dyDescent="0.25">
      <c r="A525">
        <v>365.78717399999999</v>
      </c>
      <c r="B525" s="1">
        <f>DATE(2011,5,1) + TIME(18,53,31)</f>
        <v>40664.787164351852</v>
      </c>
      <c r="C525">
        <v>80</v>
      </c>
      <c r="D525">
        <v>64.137550353999998</v>
      </c>
      <c r="E525">
        <v>50</v>
      </c>
      <c r="F525">
        <v>49.755649566999999</v>
      </c>
      <c r="G525">
        <v>1361.6641846</v>
      </c>
      <c r="H525">
        <v>1352.6070557</v>
      </c>
      <c r="I525">
        <v>1312.2786865</v>
      </c>
      <c r="J525">
        <v>1303.8027344</v>
      </c>
      <c r="K525">
        <v>1100</v>
      </c>
      <c r="L525">
        <v>0</v>
      </c>
      <c r="M525">
        <v>0</v>
      </c>
      <c r="N525">
        <v>1100</v>
      </c>
    </row>
    <row r="526" spans="1:14" x14ac:dyDescent="0.25">
      <c r="A526">
        <v>365.85101600000002</v>
      </c>
      <c r="B526" s="1">
        <f>DATE(2011,5,1) + TIME(20,25,27)</f>
        <v>40664.851006944446</v>
      </c>
      <c r="C526">
        <v>80</v>
      </c>
      <c r="D526">
        <v>64.821517943999993</v>
      </c>
      <c r="E526">
        <v>50</v>
      </c>
      <c r="F526">
        <v>49.744670868</v>
      </c>
      <c r="G526">
        <v>1361.5740966999999</v>
      </c>
      <c r="H526">
        <v>1352.5832519999999</v>
      </c>
      <c r="I526">
        <v>1312.2788086</v>
      </c>
      <c r="J526">
        <v>1303.802124</v>
      </c>
      <c r="K526">
        <v>1100</v>
      </c>
      <c r="L526">
        <v>0</v>
      </c>
      <c r="M526">
        <v>0</v>
      </c>
      <c r="N526">
        <v>1100</v>
      </c>
    </row>
    <row r="527" spans="1:14" x14ac:dyDescent="0.25">
      <c r="A527">
        <v>365.91649799999999</v>
      </c>
      <c r="B527" s="1">
        <f>DATE(2011,5,1) + TIME(21,59,45)</f>
        <v>40664.916493055556</v>
      </c>
      <c r="C527">
        <v>80</v>
      </c>
      <c r="D527">
        <v>65.493568420000003</v>
      </c>
      <c r="E527">
        <v>50</v>
      </c>
      <c r="F527">
        <v>49.733516692999999</v>
      </c>
      <c r="G527">
        <v>1361.4882812000001</v>
      </c>
      <c r="H527">
        <v>1352.5609131000001</v>
      </c>
      <c r="I527">
        <v>1312.2788086</v>
      </c>
      <c r="J527">
        <v>1303.8013916</v>
      </c>
      <c r="K527">
        <v>1100</v>
      </c>
      <c r="L527">
        <v>0</v>
      </c>
      <c r="M527">
        <v>0</v>
      </c>
      <c r="N527">
        <v>1100</v>
      </c>
    </row>
    <row r="528" spans="1:14" x14ac:dyDescent="0.25">
      <c r="A528">
        <v>365.98370199999999</v>
      </c>
      <c r="B528" s="1">
        <f>DATE(2011,5,1) + TIME(23,36,31)</f>
        <v>40664.98369212963</v>
      </c>
      <c r="C528">
        <v>80</v>
      </c>
      <c r="D528">
        <v>66.153381347999996</v>
      </c>
      <c r="E528">
        <v>50</v>
      </c>
      <c r="F528">
        <v>49.722175598</v>
      </c>
      <c r="G528">
        <v>1361.4066161999999</v>
      </c>
      <c r="H528">
        <v>1352.5399170000001</v>
      </c>
      <c r="I528">
        <v>1312.2788086</v>
      </c>
      <c r="J528">
        <v>1303.8005370999999</v>
      </c>
      <c r="K528">
        <v>1100</v>
      </c>
      <c r="L528">
        <v>0</v>
      </c>
      <c r="M528">
        <v>0</v>
      </c>
      <c r="N528">
        <v>1100</v>
      </c>
    </row>
    <row r="529" spans="1:14" x14ac:dyDescent="0.25">
      <c r="A529">
        <v>366.05273999999997</v>
      </c>
      <c r="B529" s="1">
        <f>DATE(2011,5,2) + TIME(1,15,56)</f>
        <v>40665.052731481483</v>
      </c>
      <c r="C529">
        <v>80</v>
      </c>
      <c r="D529">
        <v>66.800872803000004</v>
      </c>
      <c r="E529">
        <v>50</v>
      </c>
      <c r="F529">
        <v>49.710632324000002</v>
      </c>
      <c r="G529">
        <v>1361.3287353999999</v>
      </c>
      <c r="H529">
        <v>1352.5201416</v>
      </c>
      <c r="I529">
        <v>1312.2788086</v>
      </c>
      <c r="J529">
        <v>1303.7996826000001</v>
      </c>
      <c r="K529">
        <v>1100</v>
      </c>
      <c r="L529">
        <v>0</v>
      </c>
      <c r="M529">
        <v>0</v>
      </c>
      <c r="N529">
        <v>1100</v>
      </c>
    </row>
    <row r="530" spans="1:14" x14ac:dyDescent="0.25">
      <c r="A530">
        <v>366.12372099999999</v>
      </c>
      <c r="B530" s="1">
        <f>DATE(2011,5,2) + TIME(2,58,9)</f>
        <v>40665.123715277776</v>
      </c>
      <c r="C530">
        <v>80</v>
      </c>
      <c r="D530">
        <v>67.435867310000006</v>
      </c>
      <c r="E530">
        <v>50</v>
      </c>
      <c r="F530">
        <v>49.698875426999997</v>
      </c>
      <c r="G530">
        <v>1361.2543945</v>
      </c>
      <c r="H530">
        <v>1352.5014647999999</v>
      </c>
      <c r="I530">
        <v>1312.2786865</v>
      </c>
      <c r="J530">
        <v>1303.7987060999999</v>
      </c>
      <c r="K530">
        <v>1100</v>
      </c>
      <c r="L530">
        <v>0</v>
      </c>
      <c r="M530">
        <v>0</v>
      </c>
      <c r="N530">
        <v>1100</v>
      </c>
    </row>
    <row r="531" spans="1:14" x14ac:dyDescent="0.25">
      <c r="A531">
        <v>366.19675999999998</v>
      </c>
      <c r="B531" s="1">
        <f>DATE(2011,5,2) + TIME(4,43,20)</f>
        <v>40665.196759259263</v>
      </c>
      <c r="C531">
        <v>80</v>
      </c>
      <c r="D531">
        <v>68.058174132999994</v>
      </c>
      <c r="E531">
        <v>50</v>
      </c>
      <c r="F531">
        <v>49.686897278000004</v>
      </c>
      <c r="G531">
        <v>1361.1834716999999</v>
      </c>
      <c r="H531">
        <v>1352.4838867000001</v>
      </c>
      <c r="I531">
        <v>1312.2785644999999</v>
      </c>
      <c r="J531">
        <v>1303.7976074000001</v>
      </c>
      <c r="K531">
        <v>1100</v>
      </c>
      <c r="L531">
        <v>0</v>
      </c>
      <c r="M531">
        <v>0</v>
      </c>
      <c r="N531">
        <v>1100</v>
      </c>
    </row>
    <row r="532" spans="1:14" x14ac:dyDescent="0.25">
      <c r="A532">
        <v>366.27198499999997</v>
      </c>
      <c r="B532" s="1">
        <f>DATE(2011,5,2) + TIME(6,31,39)</f>
        <v>40665.271979166668</v>
      </c>
      <c r="C532">
        <v>80</v>
      </c>
      <c r="D532">
        <v>68.667579650999997</v>
      </c>
      <c r="E532">
        <v>50</v>
      </c>
      <c r="F532">
        <v>49.674674988</v>
      </c>
      <c r="G532">
        <v>1361.1158447</v>
      </c>
      <c r="H532">
        <v>1352.4671631000001</v>
      </c>
      <c r="I532">
        <v>1312.2783202999999</v>
      </c>
      <c r="J532">
        <v>1303.7966309000001</v>
      </c>
      <c r="K532">
        <v>1100</v>
      </c>
      <c r="L532">
        <v>0</v>
      </c>
      <c r="M532">
        <v>0</v>
      </c>
      <c r="N532">
        <v>1100</v>
      </c>
    </row>
    <row r="533" spans="1:14" x14ac:dyDescent="0.25">
      <c r="A533">
        <v>366.34953000000002</v>
      </c>
      <c r="B533" s="1">
        <f>DATE(2011,5,2) + TIME(8,23,19)</f>
        <v>40665.34952546296</v>
      </c>
      <c r="C533">
        <v>80</v>
      </c>
      <c r="D533">
        <v>69.263847350999995</v>
      </c>
      <c r="E533">
        <v>50</v>
      </c>
      <c r="F533">
        <v>49.662197112999998</v>
      </c>
      <c r="G533">
        <v>1361.0512695</v>
      </c>
      <c r="H533">
        <v>1352.4512939000001</v>
      </c>
      <c r="I533">
        <v>1312.2780762</v>
      </c>
      <c r="J533">
        <v>1303.7954102000001</v>
      </c>
      <c r="K533">
        <v>1100</v>
      </c>
      <c r="L533">
        <v>0</v>
      </c>
      <c r="M533">
        <v>0</v>
      </c>
      <c r="N533">
        <v>1100</v>
      </c>
    </row>
    <row r="534" spans="1:14" x14ac:dyDescent="0.25">
      <c r="A534">
        <v>366.42954500000002</v>
      </c>
      <c r="B534" s="1">
        <f>DATE(2011,5,2) + TIME(10,18,32)</f>
        <v>40665.429537037038</v>
      </c>
      <c r="C534">
        <v>80</v>
      </c>
      <c r="D534">
        <v>69.846740722999996</v>
      </c>
      <c r="E534">
        <v>50</v>
      </c>
      <c r="F534">
        <v>49.649452209000003</v>
      </c>
      <c r="G534">
        <v>1360.9895019999999</v>
      </c>
      <c r="H534">
        <v>1352.4360352000001</v>
      </c>
      <c r="I534">
        <v>1312.277832</v>
      </c>
      <c r="J534">
        <v>1303.7943115</v>
      </c>
      <c r="K534">
        <v>1100</v>
      </c>
      <c r="L534">
        <v>0</v>
      </c>
      <c r="M534">
        <v>0</v>
      </c>
      <c r="N534">
        <v>1100</v>
      </c>
    </row>
    <row r="535" spans="1:14" x14ac:dyDescent="0.25">
      <c r="A535">
        <v>366.51218999999998</v>
      </c>
      <c r="B535" s="1">
        <f>DATE(2011,5,2) + TIME(12,17,33)</f>
        <v>40665.512187499997</v>
      </c>
      <c r="C535">
        <v>80</v>
      </c>
      <c r="D535">
        <v>70.415695189999994</v>
      </c>
      <c r="E535">
        <v>50</v>
      </c>
      <c r="F535">
        <v>49.636413574000002</v>
      </c>
      <c r="G535">
        <v>1360.9302978999999</v>
      </c>
      <c r="H535">
        <v>1352.4215088000001</v>
      </c>
      <c r="I535">
        <v>1312.2774658000001</v>
      </c>
      <c r="J535">
        <v>1303.7929687999999</v>
      </c>
      <c r="K535">
        <v>1100</v>
      </c>
      <c r="L535">
        <v>0</v>
      </c>
      <c r="M535">
        <v>0</v>
      </c>
      <c r="N535">
        <v>1100</v>
      </c>
    </row>
    <row r="536" spans="1:14" x14ac:dyDescent="0.25">
      <c r="A536">
        <v>366.59764100000001</v>
      </c>
      <c r="B536" s="1">
        <f>DATE(2011,5,2) + TIME(14,20,36)</f>
        <v>40665.597638888888</v>
      </c>
      <c r="C536">
        <v>80</v>
      </c>
      <c r="D536">
        <v>70.970619201999995</v>
      </c>
      <c r="E536">
        <v>50</v>
      </c>
      <c r="F536">
        <v>49.623065947999997</v>
      </c>
      <c r="G536">
        <v>1360.8737793</v>
      </c>
      <c r="H536">
        <v>1352.4073486</v>
      </c>
      <c r="I536">
        <v>1312.2772216999999</v>
      </c>
      <c r="J536">
        <v>1303.791626</v>
      </c>
      <c r="K536">
        <v>1100</v>
      </c>
      <c r="L536">
        <v>0</v>
      </c>
      <c r="M536">
        <v>0</v>
      </c>
      <c r="N536">
        <v>1100</v>
      </c>
    </row>
    <row r="537" spans="1:14" x14ac:dyDescent="0.25">
      <c r="A537">
        <v>366.68608999999998</v>
      </c>
      <c r="B537" s="1">
        <f>DATE(2011,5,2) + TIME(16,27,58)</f>
        <v>40665.68608796296</v>
      </c>
      <c r="C537">
        <v>80</v>
      </c>
      <c r="D537">
        <v>71.511344910000005</v>
      </c>
      <c r="E537">
        <v>50</v>
      </c>
      <c r="F537">
        <v>49.609390259000001</v>
      </c>
      <c r="G537">
        <v>1360.8194579999999</v>
      </c>
      <c r="H537">
        <v>1352.3936768000001</v>
      </c>
      <c r="I537">
        <v>1312.2767334</v>
      </c>
      <c r="J537">
        <v>1303.7902832</v>
      </c>
      <c r="K537">
        <v>1100</v>
      </c>
      <c r="L537">
        <v>0</v>
      </c>
      <c r="M537">
        <v>0</v>
      </c>
      <c r="N537">
        <v>1100</v>
      </c>
    </row>
    <row r="538" spans="1:14" x14ac:dyDescent="0.25">
      <c r="A538">
        <v>366.77778599999999</v>
      </c>
      <c r="B538" s="1">
        <f>DATE(2011,5,2) + TIME(18,40,0)</f>
        <v>40665.777777777781</v>
      </c>
      <c r="C538">
        <v>80</v>
      </c>
      <c r="D538">
        <v>72.037773131999998</v>
      </c>
      <c r="E538">
        <v>50</v>
      </c>
      <c r="F538">
        <v>49.595355988000001</v>
      </c>
      <c r="G538">
        <v>1360.7672118999999</v>
      </c>
      <c r="H538">
        <v>1352.380249</v>
      </c>
      <c r="I538">
        <v>1312.2763672000001</v>
      </c>
      <c r="J538">
        <v>1303.7888184000001</v>
      </c>
      <c r="K538">
        <v>1100</v>
      </c>
      <c r="L538">
        <v>0</v>
      </c>
      <c r="M538">
        <v>0</v>
      </c>
      <c r="N538">
        <v>1100</v>
      </c>
    </row>
    <row r="539" spans="1:14" x14ac:dyDescent="0.25">
      <c r="A539">
        <v>366.87293399999999</v>
      </c>
      <c r="B539" s="1">
        <f>DATE(2011,5,2) + TIME(20,57,1)</f>
        <v>40665.872928240744</v>
      </c>
      <c r="C539">
        <v>80</v>
      </c>
      <c r="D539">
        <v>72.549423218000001</v>
      </c>
      <c r="E539">
        <v>50</v>
      </c>
      <c r="F539">
        <v>49.580944060999997</v>
      </c>
      <c r="G539">
        <v>1360.7170410000001</v>
      </c>
      <c r="H539">
        <v>1352.3669434000001</v>
      </c>
      <c r="I539">
        <v>1312.2758789</v>
      </c>
      <c r="J539">
        <v>1303.7873535000001</v>
      </c>
      <c r="K539">
        <v>1100</v>
      </c>
      <c r="L539">
        <v>0</v>
      </c>
      <c r="M539">
        <v>0</v>
      </c>
      <c r="N539">
        <v>1100</v>
      </c>
    </row>
    <row r="540" spans="1:14" x14ac:dyDescent="0.25">
      <c r="A540">
        <v>366.97178400000001</v>
      </c>
      <c r="B540" s="1">
        <f>DATE(2011,5,2) + TIME(23,19,22)</f>
        <v>40665.971782407411</v>
      </c>
      <c r="C540">
        <v>80</v>
      </c>
      <c r="D540">
        <v>73.045951842999997</v>
      </c>
      <c r="E540">
        <v>50</v>
      </c>
      <c r="F540">
        <v>49.566127776999998</v>
      </c>
      <c r="G540">
        <v>1360.6687012</v>
      </c>
      <c r="H540">
        <v>1352.3538818</v>
      </c>
      <c r="I540">
        <v>1312.2752685999999</v>
      </c>
      <c r="J540">
        <v>1303.7857666</v>
      </c>
      <c r="K540">
        <v>1100</v>
      </c>
      <c r="L540">
        <v>0</v>
      </c>
      <c r="M540">
        <v>0</v>
      </c>
      <c r="N540">
        <v>1100</v>
      </c>
    </row>
    <row r="541" spans="1:14" x14ac:dyDescent="0.25">
      <c r="A541">
        <v>367.07461999999998</v>
      </c>
      <c r="B541" s="1">
        <f>DATE(2011,5,3) + TIME(1,47,27)</f>
        <v>40666.074618055558</v>
      </c>
      <c r="C541">
        <v>80</v>
      </c>
      <c r="D541">
        <v>73.527038574000002</v>
      </c>
      <c r="E541">
        <v>50</v>
      </c>
      <c r="F541">
        <v>49.550872802999997</v>
      </c>
      <c r="G541">
        <v>1360.6219481999999</v>
      </c>
      <c r="H541">
        <v>1352.3406981999999</v>
      </c>
      <c r="I541">
        <v>1312.2746582</v>
      </c>
      <c r="J541">
        <v>1303.7840576000001</v>
      </c>
      <c r="K541">
        <v>1100</v>
      </c>
      <c r="L541">
        <v>0</v>
      </c>
      <c r="M541">
        <v>0</v>
      </c>
      <c r="N541">
        <v>1100</v>
      </c>
    </row>
    <row r="542" spans="1:14" x14ac:dyDescent="0.25">
      <c r="A542">
        <v>367.181758</v>
      </c>
      <c r="B542" s="1">
        <f>DATE(2011,5,3) + TIME(4,21,43)</f>
        <v>40666.181747685187</v>
      </c>
      <c r="C542">
        <v>80</v>
      </c>
      <c r="D542">
        <v>73.992362975999995</v>
      </c>
      <c r="E542">
        <v>50</v>
      </c>
      <c r="F542">
        <v>49.535148620999998</v>
      </c>
      <c r="G542">
        <v>1360.5766602000001</v>
      </c>
      <c r="H542">
        <v>1352.3273925999999</v>
      </c>
      <c r="I542">
        <v>1312.2740478999999</v>
      </c>
      <c r="J542">
        <v>1303.7823486</v>
      </c>
      <c r="K542">
        <v>1100</v>
      </c>
      <c r="L542">
        <v>0</v>
      </c>
      <c r="M542">
        <v>0</v>
      </c>
      <c r="N542">
        <v>1100</v>
      </c>
    </row>
    <row r="543" spans="1:14" x14ac:dyDescent="0.25">
      <c r="A543">
        <v>367.29354899999998</v>
      </c>
      <c r="B543" s="1">
        <f>DATE(2011,5,3) + TIME(7,2,42)</f>
        <v>40666.293541666666</v>
      </c>
      <c r="C543">
        <v>80</v>
      </c>
      <c r="D543">
        <v>74.441574097</v>
      </c>
      <c r="E543">
        <v>50</v>
      </c>
      <c r="F543">
        <v>49.518920897999998</v>
      </c>
      <c r="G543">
        <v>1360.5327147999999</v>
      </c>
      <c r="H543">
        <v>1352.3138428</v>
      </c>
      <c r="I543">
        <v>1312.2733154</v>
      </c>
      <c r="J543">
        <v>1303.7805175999999</v>
      </c>
      <c r="K543">
        <v>1100</v>
      </c>
      <c r="L543">
        <v>0</v>
      </c>
      <c r="M543">
        <v>0</v>
      </c>
      <c r="N543">
        <v>1100</v>
      </c>
    </row>
    <row r="544" spans="1:14" x14ac:dyDescent="0.25">
      <c r="A544">
        <v>367.41038500000002</v>
      </c>
      <c r="B544" s="1">
        <f>DATE(2011,5,3) + TIME(9,50,57)</f>
        <v>40666.410381944443</v>
      </c>
      <c r="C544">
        <v>80</v>
      </c>
      <c r="D544">
        <v>74.874366760000001</v>
      </c>
      <c r="E544">
        <v>50</v>
      </c>
      <c r="F544">
        <v>49.502140044999997</v>
      </c>
      <c r="G544">
        <v>1360.4899902</v>
      </c>
      <c r="H544">
        <v>1352.2999268000001</v>
      </c>
      <c r="I544">
        <v>1312.2725829999999</v>
      </c>
      <c r="J544">
        <v>1303.7786865</v>
      </c>
      <c r="K544">
        <v>1100</v>
      </c>
      <c r="L544">
        <v>0</v>
      </c>
      <c r="M544">
        <v>0</v>
      </c>
      <c r="N544">
        <v>1100</v>
      </c>
    </row>
    <row r="545" spans="1:14" x14ac:dyDescent="0.25">
      <c r="A545">
        <v>367.53271100000001</v>
      </c>
      <c r="B545" s="1">
        <f>DATE(2011,5,3) + TIME(12,47,6)</f>
        <v>40666.532708333332</v>
      </c>
      <c r="C545">
        <v>80</v>
      </c>
      <c r="D545">
        <v>75.290168761999993</v>
      </c>
      <c r="E545">
        <v>50</v>
      </c>
      <c r="F545">
        <v>49.484771729000002</v>
      </c>
      <c r="G545">
        <v>1360.4481201000001</v>
      </c>
      <c r="H545">
        <v>1352.2855225000001</v>
      </c>
      <c r="I545">
        <v>1312.2718506000001</v>
      </c>
      <c r="J545">
        <v>1303.7767334</v>
      </c>
      <c r="K545">
        <v>1100</v>
      </c>
      <c r="L545">
        <v>0</v>
      </c>
      <c r="M545">
        <v>0</v>
      </c>
      <c r="N545">
        <v>1100</v>
      </c>
    </row>
    <row r="546" spans="1:14" x14ac:dyDescent="0.25">
      <c r="A546">
        <v>367.661024</v>
      </c>
      <c r="B546" s="1">
        <f>DATE(2011,5,3) + TIME(15,51,52)</f>
        <v>40666.66101851852</v>
      </c>
      <c r="C546">
        <v>80</v>
      </c>
      <c r="D546">
        <v>75.688781738000003</v>
      </c>
      <c r="E546">
        <v>50</v>
      </c>
      <c r="F546">
        <v>49.466751099</v>
      </c>
      <c r="G546">
        <v>1360.4072266000001</v>
      </c>
      <c r="H546">
        <v>1352.2706298999999</v>
      </c>
      <c r="I546">
        <v>1312.270874</v>
      </c>
      <c r="J546">
        <v>1303.7746582</v>
      </c>
      <c r="K546">
        <v>1100</v>
      </c>
      <c r="L546">
        <v>0</v>
      </c>
      <c r="M546">
        <v>0</v>
      </c>
      <c r="N546">
        <v>1100</v>
      </c>
    </row>
    <row r="547" spans="1:14" x14ac:dyDescent="0.25">
      <c r="A547">
        <v>367.79589099999998</v>
      </c>
      <c r="B547" s="1">
        <f>DATE(2011,5,3) + TIME(19,6,4)</f>
        <v>40666.79587962963</v>
      </c>
      <c r="C547">
        <v>80</v>
      </c>
      <c r="D547">
        <v>76.069984435999999</v>
      </c>
      <c r="E547">
        <v>50</v>
      </c>
      <c r="F547">
        <v>49.448032378999997</v>
      </c>
      <c r="G547">
        <v>1360.3668213000001</v>
      </c>
      <c r="H547">
        <v>1352.2548827999999</v>
      </c>
      <c r="I547">
        <v>1312.2700195</v>
      </c>
      <c r="J547">
        <v>1303.7725829999999</v>
      </c>
      <c r="K547">
        <v>1100</v>
      </c>
      <c r="L547">
        <v>0</v>
      </c>
      <c r="M547">
        <v>0</v>
      </c>
      <c r="N547">
        <v>1100</v>
      </c>
    </row>
    <row r="548" spans="1:14" x14ac:dyDescent="0.25">
      <c r="A548">
        <v>367.93800499999998</v>
      </c>
      <c r="B548" s="1">
        <f>DATE(2011,5,3) + TIME(22,30,43)</f>
        <v>40666.937997685185</v>
      </c>
      <c r="C548">
        <v>80</v>
      </c>
      <c r="D548">
        <v>76.433563231999997</v>
      </c>
      <c r="E548">
        <v>50</v>
      </c>
      <c r="F548">
        <v>49.428531647</v>
      </c>
      <c r="G548">
        <v>1360.3269043</v>
      </c>
      <c r="H548">
        <v>1352.2384033000001</v>
      </c>
      <c r="I548">
        <v>1312.2689209</v>
      </c>
      <c r="J548">
        <v>1303.7702637</v>
      </c>
      <c r="K548">
        <v>1100</v>
      </c>
      <c r="L548">
        <v>0</v>
      </c>
      <c r="M548">
        <v>0</v>
      </c>
      <c r="N548">
        <v>1100</v>
      </c>
    </row>
    <row r="549" spans="1:14" x14ac:dyDescent="0.25">
      <c r="A549">
        <v>368.08813400000003</v>
      </c>
      <c r="B549" s="1">
        <f>DATE(2011,5,4) + TIME(2,6,54)</f>
        <v>40667.088125000002</v>
      </c>
      <c r="C549">
        <v>80</v>
      </c>
      <c r="D549">
        <v>76.779258728000002</v>
      </c>
      <c r="E549">
        <v>50</v>
      </c>
      <c r="F549">
        <v>49.408180237000003</v>
      </c>
      <c r="G549">
        <v>1360.2873535000001</v>
      </c>
      <c r="H549">
        <v>1352.2209473</v>
      </c>
      <c r="I549">
        <v>1312.2678223</v>
      </c>
      <c r="J549">
        <v>1303.7679443</v>
      </c>
      <c r="K549">
        <v>1100</v>
      </c>
      <c r="L549">
        <v>0</v>
      </c>
      <c r="M549">
        <v>0</v>
      </c>
      <c r="N549">
        <v>1100</v>
      </c>
    </row>
    <row r="550" spans="1:14" x14ac:dyDescent="0.25">
      <c r="A550">
        <v>368.24708700000002</v>
      </c>
      <c r="B550" s="1">
        <f>DATE(2011,5,4) + TIME(5,55,48)</f>
        <v>40667.247083333335</v>
      </c>
      <c r="C550">
        <v>80</v>
      </c>
      <c r="D550">
        <v>77.106658936000002</v>
      </c>
      <c r="E550">
        <v>50</v>
      </c>
      <c r="F550">
        <v>49.386890411000003</v>
      </c>
      <c r="G550">
        <v>1360.2476807</v>
      </c>
      <c r="H550">
        <v>1352.2022704999999</v>
      </c>
      <c r="I550">
        <v>1312.2667236</v>
      </c>
      <c r="J550">
        <v>1303.7653809000001</v>
      </c>
      <c r="K550">
        <v>1100</v>
      </c>
      <c r="L550">
        <v>0</v>
      </c>
      <c r="M550">
        <v>0</v>
      </c>
      <c r="N550">
        <v>1100</v>
      </c>
    </row>
    <row r="551" spans="1:14" x14ac:dyDescent="0.25">
      <c r="A551">
        <v>368.41586699999999</v>
      </c>
      <c r="B551" s="1">
        <f>DATE(2011,5,4) + TIME(9,58,50)</f>
        <v>40667.415856481479</v>
      </c>
      <c r="C551">
        <v>80</v>
      </c>
      <c r="D551">
        <v>77.415512085000003</v>
      </c>
      <c r="E551">
        <v>50</v>
      </c>
      <c r="F551">
        <v>49.364566803000002</v>
      </c>
      <c r="G551">
        <v>1360.2080077999999</v>
      </c>
      <c r="H551">
        <v>1352.1823730000001</v>
      </c>
      <c r="I551">
        <v>1312.2653809000001</v>
      </c>
      <c r="J551">
        <v>1303.7626952999999</v>
      </c>
      <c r="K551">
        <v>1100</v>
      </c>
      <c r="L551">
        <v>0</v>
      </c>
      <c r="M551">
        <v>0</v>
      </c>
      <c r="N551">
        <v>1100</v>
      </c>
    </row>
    <row r="552" spans="1:14" x14ac:dyDescent="0.25">
      <c r="A552">
        <v>368.59564999999998</v>
      </c>
      <c r="B552" s="1">
        <f>DATE(2011,5,4) + TIME(14,17,44)</f>
        <v>40667.595648148148</v>
      </c>
      <c r="C552">
        <v>80</v>
      </c>
      <c r="D552">
        <v>77.705612183</v>
      </c>
      <c r="E552">
        <v>50</v>
      </c>
      <c r="F552">
        <v>49.341091155999997</v>
      </c>
      <c r="G552">
        <v>1360.1679687999999</v>
      </c>
      <c r="H552">
        <v>1352.1611327999999</v>
      </c>
      <c r="I552">
        <v>1312.2639160000001</v>
      </c>
      <c r="J552">
        <v>1303.7598877</v>
      </c>
      <c r="K552">
        <v>1100</v>
      </c>
      <c r="L552">
        <v>0</v>
      </c>
      <c r="M552">
        <v>0</v>
      </c>
      <c r="N552">
        <v>1100</v>
      </c>
    </row>
    <row r="553" spans="1:14" x14ac:dyDescent="0.25">
      <c r="A553">
        <v>368.787825</v>
      </c>
      <c r="B553" s="1">
        <f>DATE(2011,5,4) + TIME(18,54,28)</f>
        <v>40667.787824074076</v>
      </c>
      <c r="C553">
        <v>80</v>
      </c>
      <c r="D553">
        <v>77.976753235000004</v>
      </c>
      <c r="E553">
        <v>50</v>
      </c>
      <c r="F553">
        <v>49.316322327000002</v>
      </c>
      <c r="G553">
        <v>1360.1273193</v>
      </c>
      <c r="H553">
        <v>1352.1381836</v>
      </c>
      <c r="I553">
        <v>1312.2624512</v>
      </c>
      <c r="J553">
        <v>1303.7569579999999</v>
      </c>
      <c r="K553">
        <v>1100</v>
      </c>
      <c r="L553">
        <v>0</v>
      </c>
      <c r="M553">
        <v>0</v>
      </c>
      <c r="N553">
        <v>1100</v>
      </c>
    </row>
    <row r="554" spans="1:14" x14ac:dyDescent="0.25">
      <c r="A554">
        <v>368.994013</v>
      </c>
      <c r="B554" s="1">
        <f>DATE(2011,5,4) + TIME(23,51,22)</f>
        <v>40667.994004629632</v>
      </c>
      <c r="C554">
        <v>80</v>
      </c>
      <c r="D554">
        <v>78.228775024000001</v>
      </c>
      <c r="E554">
        <v>50</v>
      </c>
      <c r="F554">
        <v>49.290107726999999</v>
      </c>
      <c r="G554">
        <v>1360.0856934000001</v>
      </c>
      <c r="H554">
        <v>1352.1134033000001</v>
      </c>
      <c r="I554">
        <v>1312.2607422000001</v>
      </c>
      <c r="J554">
        <v>1303.7537841999999</v>
      </c>
      <c r="K554">
        <v>1100</v>
      </c>
      <c r="L554">
        <v>0</v>
      </c>
      <c r="M554">
        <v>0</v>
      </c>
      <c r="N554">
        <v>1100</v>
      </c>
    </row>
    <row r="555" spans="1:14" x14ac:dyDescent="0.25">
      <c r="A555">
        <v>369.21371900000003</v>
      </c>
      <c r="B555" s="1">
        <f>DATE(2011,5,5) + TIME(5,7,45)</f>
        <v>40668.21371527778</v>
      </c>
      <c r="C555">
        <v>80</v>
      </c>
      <c r="D555">
        <v>78.459342957000004</v>
      </c>
      <c r="E555">
        <v>50</v>
      </c>
      <c r="F555">
        <v>49.262531281000001</v>
      </c>
      <c r="G555">
        <v>1360.0435791</v>
      </c>
      <c r="H555">
        <v>1352.0869141000001</v>
      </c>
      <c r="I555">
        <v>1312.2589111</v>
      </c>
      <c r="J555">
        <v>1303.7503661999999</v>
      </c>
      <c r="K555">
        <v>1100</v>
      </c>
      <c r="L555">
        <v>0</v>
      </c>
      <c r="M555">
        <v>0</v>
      </c>
      <c r="N555">
        <v>1100</v>
      </c>
    </row>
    <row r="556" spans="1:14" x14ac:dyDescent="0.25">
      <c r="A556">
        <v>369.43578500000001</v>
      </c>
      <c r="B556" s="1">
        <f>DATE(2011,5,5) + TIME(10,27,31)</f>
        <v>40668.43577546296</v>
      </c>
      <c r="C556">
        <v>80</v>
      </c>
      <c r="D556">
        <v>78.659118652000004</v>
      </c>
      <c r="E556">
        <v>50</v>
      </c>
      <c r="F556">
        <v>49.234855652</v>
      </c>
      <c r="G556">
        <v>1360.0030518000001</v>
      </c>
      <c r="H556">
        <v>1352.0598144999999</v>
      </c>
      <c r="I556">
        <v>1312.2568358999999</v>
      </c>
      <c r="J556">
        <v>1303.7468262</v>
      </c>
      <c r="K556">
        <v>1100</v>
      </c>
      <c r="L556">
        <v>0</v>
      </c>
      <c r="M556">
        <v>0</v>
      </c>
      <c r="N556">
        <v>1100</v>
      </c>
    </row>
    <row r="557" spans="1:14" x14ac:dyDescent="0.25">
      <c r="A557">
        <v>369.66125199999999</v>
      </c>
      <c r="B557" s="1">
        <f>DATE(2011,5,5) + TIME(15,52,12)</f>
        <v>40668.661249999997</v>
      </c>
      <c r="C557">
        <v>80</v>
      </c>
      <c r="D557">
        <v>78.832603454999997</v>
      </c>
      <c r="E557">
        <v>50</v>
      </c>
      <c r="F557">
        <v>49.206970214999998</v>
      </c>
      <c r="G557">
        <v>1359.9631348</v>
      </c>
      <c r="H557">
        <v>1352.0319824000001</v>
      </c>
      <c r="I557">
        <v>1312.2546387</v>
      </c>
      <c r="J557">
        <v>1303.7431641000001</v>
      </c>
      <c r="K557">
        <v>1100</v>
      </c>
      <c r="L557">
        <v>0</v>
      </c>
      <c r="M557">
        <v>0</v>
      </c>
      <c r="N557">
        <v>1100</v>
      </c>
    </row>
    <row r="558" spans="1:14" x14ac:dyDescent="0.25">
      <c r="A558">
        <v>369.89072099999998</v>
      </c>
      <c r="B558" s="1">
        <f>DATE(2011,5,5) + TIME(21,22,38)</f>
        <v>40668.890717592592</v>
      </c>
      <c r="C558">
        <v>80</v>
      </c>
      <c r="D558">
        <v>78.983230590999995</v>
      </c>
      <c r="E558">
        <v>50</v>
      </c>
      <c r="F558">
        <v>49.178798676</v>
      </c>
      <c r="G558">
        <v>1359.9234618999999</v>
      </c>
      <c r="H558">
        <v>1352.0036620999999</v>
      </c>
      <c r="I558">
        <v>1312.2524414</v>
      </c>
      <c r="J558">
        <v>1303.7393798999999</v>
      </c>
      <c r="K558">
        <v>1100</v>
      </c>
      <c r="L558">
        <v>0</v>
      </c>
      <c r="M558">
        <v>0</v>
      </c>
      <c r="N558">
        <v>1100</v>
      </c>
    </row>
    <row r="559" spans="1:14" x14ac:dyDescent="0.25">
      <c r="A559">
        <v>370.12387100000001</v>
      </c>
      <c r="B559" s="1">
        <f>DATE(2011,5,6) + TIME(2,58,22)</f>
        <v>40669.123865740738</v>
      </c>
      <c r="C559">
        <v>80</v>
      </c>
      <c r="D559">
        <v>79.113487243999998</v>
      </c>
      <c r="E559">
        <v>50</v>
      </c>
      <c r="F559">
        <v>49.150382995999998</v>
      </c>
      <c r="G559">
        <v>1359.8840332</v>
      </c>
      <c r="H559">
        <v>1351.9746094</v>
      </c>
      <c r="I559">
        <v>1312.2501221</v>
      </c>
      <c r="J559">
        <v>1303.7355957</v>
      </c>
      <c r="K559">
        <v>1100</v>
      </c>
      <c r="L559">
        <v>0</v>
      </c>
      <c r="M559">
        <v>0</v>
      </c>
      <c r="N559">
        <v>1100</v>
      </c>
    </row>
    <row r="560" spans="1:14" x14ac:dyDescent="0.25">
      <c r="A560">
        <v>370.36098099999998</v>
      </c>
      <c r="B560" s="1">
        <f>DATE(2011,5,6) + TIME(8,39,48)</f>
        <v>40669.360972222225</v>
      </c>
      <c r="C560">
        <v>80</v>
      </c>
      <c r="D560">
        <v>79.225967406999999</v>
      </c>
      <c r="E560">
        <v>50</v>
      </c>
      <c r="F560">
        <v>49.121688843000001</v>
      </c>
      <c r="G560">
        <v>1359.8449707</v>
      </c>
      <c r="H560">
        <v>1351.9451904</v>
      </c>
      <c r="I560">
        <v>1312.2478027</v>
      </c>
      <c r="J560">
        <v>1303.7318115</v>
      </c>
      <c r="K560">
        <v>1100</v>
      </c>
      <c r="L560">
        <v>0</v>
      </c>
      <c r="M560">
        <v>0</v>
      </c>
      <c r="N560">
        <v>1100</v>
      </c>
    </row>
    <row r="561" spans="1:14" x14ac:dyDescent="0.25">
      <c r="A561">
        <v>370.60258800000003</v>
      </c>
      <c r="B561" s="1">
        <f>DATE(2011,5,6) + TIME(14,27,43)</f>
        <v>40669.602581018517</v>
      </c>
      <c r="C561">
        <v>80</v>
      </c>
      <c r="D561">
        <v>79.323028563999998</v>
      </c>
      <c r="E561">
        <v>50</v>
      </c>
      <c r="F561">
        <v>49.092662810999997</v>
      </c>
      <c r="G561">
        <v>1359.8060303</v>
      </c>
      <c r="H561">
        <v>1351.9152832</v>
      </c>
      <c r="I561">
        <v>1312.2453613</v>
      </c>
      <c r="J561">
        <v>1303.7277832</v>
      </c>
      <c r="K561">
        <v>1100</v>
      </c>
      <c r="L561">
        <v>0</v>
      </c>
      <c r="M561">
        <v>0</v>
      </c>
      <c r="N561">
        <v>1100</v>
      </c>
    </row>
    <row r="562" spans="1:14" x14ac:dyDescent="0.25">
      <c r="A562">
        <v>370.84931999999998</v>
      </c>
      <c r="B562" s="1">
        <f>DATE(2011,5,6) + TIME(20,23,1)</f>
        <v>40669.849317129629</v>
      </c>
      <c r="C562">
        <v>80</v>
      </c>
      <c r="D562">
        <v>79.406715392999999</v>
      </c>
      <c r="E562">
        <v>50</v>
      </c>
      <c r="F562">
        <v>49.063236236999998</v>
      </c>
      <c r="G562">
        <v>1359.7672118999999</v>
      </c>
      <c r="H562">
        <v>1351.8850098</v>
      </c>
      <c r="I562">
        <v>1312.2427978999999</v>
      </c>
      <c r="J562">
        <v>1303.7237548999999</v>
      </c>
      <c r="K562">
        <v>1100</v>
      </c>
      <c r="L562">
        <v>0</v>
      </c>
      <c r="M562">
        <v>0</v>
      </c>
      <c r="N562">
        <v>1100</v>
      </c>
    </row>
    <row r="563" spans="1:14" x14ac:dyDescent="0.25">
      <c r="A563">
        <v>371.10144000000003</v>
      </c>
      <c r="B563" s="1">
        <f>DATE(2011,5,7) + TIME(2,26,4)</f>
        <v>40670.101435185185</v>
      </c>
      <c r="C563">
        <v>80</v>
      </c>
      <c r="D563">
        <v>79.478698730000005</v>
      </c>
      <c r="E563">
        <v>50</v>
      </c>
      <c r="F563">
        <v>49.033386229999998</v>
      </c>
      <c r="G563">
        <v>1359.7282714999999</v>
      </c>
      <c r="H563">
        <v>1351.8543701000001</v>
      </c>
      <c r="I563">
        <v>1312.2401123</v>
      </c>
      <c r="J563">
        <v>1303.7197266000001</v>
      </c>
      <c r="K563">
        <v>1100</v>
      </c>
      <c r="L563">
        <v>0</v>
      </c>
      <c r="M563">
        <v>0</v>
      </c>
      <c r="N563">
        <v>1100</v>
      </c>
    </row>
    <row r="564" spans="1:14" x14ac:dyDescent="0.25">
      <c r="A564">
        <v>371.35840999999999</v>
      </c>
      <c r="B564" s="1">
        <f>DATE(2011,5,7) + TIME(8,36,6)</f>
        <v>40670.358402777776</v>
      </c>
      <c r="C564">
        <v>80</v>
      </c>
      <c r="D564">
        <v>79.540298461999996</v>
      </c>
      <c r="E564">
        <v>50</v>
      </c>
      <c r="F564">
        <v>49.003170013000002</v>
      </c>
      <c r="G564">
        <v>1359.6894531</v>
      </c>
      <c r="H564">
        <v>1351.8232422000001</v>
      </c>
      <c r="I564">
        <v>1312.2374268000001</v>
      </c>
      <c r="J564">
        <v>1303.7154541</v>
      </c>
      <c r="K564">
        <v>1100</v>
      </c>
      <c r="L564">
        <v>0</v>
      </c>
      <c r="M564">
        <v>0</v>
      </c>
      <c r="N564">
        <v>1100</v>
      </c>
    </row>
    <row r="565" spans="1:14" x14ac:dyDescent="0.25">
      <c r="A565">
        <v>371.62077299999999</v>
      </c>
      <c r="B565" s="1">
        <f>DATE(2011,5,7) + TIME(14,53,54)</f>
        <v>40670.620763888888</v>
      </c>
      <c r="C565">
        <v>80</v>
      </c>
      <c r="D565">
        <v>79.592948914000004</v>
      </c>
      <c r="E565">
        <v>50</v>
      </c>
      <c r="F565">
        <v>48.972534179999997</v>
      </c>
      <c r="G565">
        <v>1359.6506348</v>
      </c>
      <c r="H565">
        <v>1351.7919922000001</v>
      </c>
      <c r="I565">
        <v>1312.2346190999999</v>
      </c>
      <c r="J565">
        <v>1303.7110596</v>
      </c>
      <c r="K565">
        <v>1100</v>
      </c>
      <c r="L565">
        <v>0</v>
      </c>
      <c r="M565">
        <v>0</v>
      </c>
      <c r="N565">
        <v>1100</v>
      </c>
    </row>
    <row r="566" spans="1:14" x14ac:dyDescent="0.25">
      <c r="A566">
        <v>371.88913600000001</v>
      </c>
      <c r="B566" s="1">
        <f>DATE(2011,5,7) + TIME(21,20,21)</f>
        <v>40670.889131944445</v>
      </c>
      <c r="C566">
        <v>80</v>
      </c>
      <c r="D566">
        <v>79.637908936000002</v>
      </c>
      <c r="E566">
        <v>50</v>
      </c>
      <c r="F566">
        <v>48.941413879000002</v>
      </c>
      <c r="G566">
        <v>1359.6118164</v>
      </c>
      <c r="H566">
        <v>1351.7604980000001</v>
      </c>
      <c r="I566">
        <v>1312.2318115</v>
      </c>
      <c r="J566">
        <v>1303.7066649999999</v>
      </c>
      <c r="K566">
        <v>1100</v>
      </c>
      <c r="L566">
        <v>0</v>
      </c>
      <c r="M566">
        <v>0</v>
      </c>
      <c r="N566">
        <v>1100</v>
      </c>
    </row>
    <row r="567" spans="1:14" x14ac:dyDescent="0.25">
      <c r="A567">
        <v>372.16403200000002</v>
      </c>
      <c r="B567" s="1">
        <f>DATE(2011,5,8) + TIME(3,56,12)</f>
        <v>40671.164027777777</v>
      </c>
      <c r="C567">
        <v>80</v>
      </c>
      <c r="D567">
        <v>79.676223754999995</v>
      </c>
      <c r="E567">
        <v>50</v>
      </c>
      <c r="F567">
        <v>48.909767150999997</v>
      </c>
      <c r="G567">
        <v>1359.572876</v>
      </c>
      <c r="H567">
        <v>1351.7286377</v>
      </c>
      <c r="I567">
        <v>1312.2287598</v>
      </c>
      <c r="J567">
        <v>1303.7021483999999</v>
      </c>
      <c r="K567">
        <v>1100</v>
      </c>
      <c r="L567">
        <v>0</v>
      </c>
      <c r="M567">
        <v>0</v>
      </c>
      <c r="N567">
        <v>1100</v>
      </c>
    </row>
    <row r="568" spans="1:14" x14ac:dyDescent="0.25">
      <c r="A568">
        <v>372.44603000000001</v>
      </c>
      <c r="B568" s="1">
        <f>DATE(2011,5,8) + TIME(10,42,16)</f>
        <v>40671.446018518516</v>
      </c>
      <c r="C568">
        <v>80</v>
      </c>
      <c r="D568">
        <v>79.708816528</v>
      </c>
      <c r="E568">
        <v>50</v>
      </c>
      <c r="F568">
        <v>48.877532959</v>
      </c>
      <c r="G568">
        <v>1359.5338135</v>
      </c>
      <c r="H568">
        <v>1351.6966553</v>
      </c>
      <c r="I568">
        <v>1312.2257079999999</v>
      </c>
      <c r="J568">
        <v>1303.6973877</v>
      </c>
      <c r="K568">
        <v>1100</v>
      </c>
      <c r="L568">
        <v>0</v>
      </c>
      <c r="M568">
        <v>0</v>
      </c>
      <c r="N568">
        <v>1100</v>
      </c>
    </row>
    <row r="569" spans="1:14" x14ac:dyDescent="0.25">
      <c r="A569">
        <v>372.735792</v>
      </c>
      <c r="B569" s="1">
        <f>DATE(2011,5,8) + TIME(17,39,32)</f>
        <v>40671.73578703704</v>
      </c>
      <c r="C569">
        <v>80</v>
      </c>
      <c r="D569">
        <v>79.736488342000001</v>
      </c>
      <c r="E569">
        <v>50</v>
      </c>
      <c r="F569">
        <v>48.844650268999999</v>
      </c>
      <c r="G569">
        <v>1359.4946289</v>
      </c>
      <c r="H569">
        <v>1351.6644286999999</v>
      </c>
      <c r="I569">
        <v>1312.2225341999999</v>
      </c>
      <c r="J569">
        <v>1303.6926269999999</v>
      </c>
      <c r="K569">
        <v>1100</v>
      </c>
      <c r="L569">
        <v>0</v>
      </c>
      <c r="M569">
        <v>0</v>
      </c>
      <c r="N569">
        <v>1100</v>
      </c>
    </row>
    <row r="570" spans="1:14" x14ac:dyDescent="0.25">
      <c r="A570">
        <v>373.03404</v>
      </c>
      <c r="B570" s="1">
        <f>DATE(2011,5,9) + TIME(0,49,1)</f>
        <v>40672.034039351849</v>
      </c>
      <c r="C570">
        <v>80</v>
      </c>
      <c r="D570">
        <v>79.759925842000001</v>
      </c>
      <c r="E570">
        <v>50</v>
      </c>
      <c r="F570">
        <v>48.811058043999999</v>
      </c>
      <c r="G570">
        <v>1359.4552002</v>
      </c>
      <c r="H570">
        <v>1351.6319579999999</v>
      </c>
      <c r="I570">
        <v>1312.2192382999999</v>
      </c>
      <c r="J570">
        <v>1303.6876221</v>
      </c>
      <c r="K570">
        <v>1100</v>
      </c>
      <c r="L570">
        <v>0</v>
      </c>
      <c r="M570">
        <v>0</v>
      </c>
      <c r="N570">
        <v>1100</v>
      </c>
    </row>
    <row r="571" spans="1:14" x14ac:dyDescent="0.25">
      <c r="A571">
        <v>373.34156400000001</v>
      </c>
      <c r="B571" s="1">
        <f>DATE(2011,5,9) + TIME(8,11,51)</f>
        <v>40672.341562499998</v>
      </c>
      <c r="C571">
        <v>80</v>
      </c>
      <c r="D571">
        <v>79.779739379999995</v>
      </c>
      <c r="E571">
        <v>50</v>
      </c>
      <c r="F571">
        <v>48.776679993000002</v>
      </c>
      <c r="G571">
        <v>1359.4155272999999</v>
      </c>
      <c r="H571">
        <v>1351.5991211</v>
      </c>
      <c r="I571">
        <v>1312.2158202999999</v>
      </c>
      <c r="J571">
        <v>1303.6823730000001</v>
      </c>
      <c r="K571">
        <v>1100</v>
      </c>
      <c r="L571">
        <v>0</v>
      </c>
      <c r="M571">
        <v>0</v>
      </c>
      <c r="N571">
        <v>1100</v>
      </c>
    </row>
    <row r="572" spans="1:14" x14ac:dyDescent="0.25">
      <c r="A572">
        <v>373.65924100000001</v>
      </c>
      <c r="B572" s="1">
        <f>DATE(2011,5,9) + TIME(15,49,18)</f>
        <v>40672.659236111111</v>
      </c>
      <c r="C572">
        <v>80</v>
      </c>
      <c r="D572">
        <v>79.796447753999999</v>
      </c>
      <c r="E572">
        <v>50</v>
      </c>
      <c r="F572">
        <v>48.741436004999997</v>
      </c>
      <c r="G572">
        <v>1359.3754882999999</v>
      </c>
      <c r="H572">
        <v>1351.5660399999999</v>
      </c>
      <c r="I572">
        <v>1312.2121582</v>
      </c>
      <c r="J572">
        <v>1303.677124</v>
      </c>
      <c r="K572">
        <v>1100</v>
      </c>
      <c r="L572">
        <v>0</v>
      </c>
      <c r="M572">
        <v>0</v>
      </c>
      <c r="N572">
        <v>1100</v>
      </c>
    </row>
    <row r="573" spans="1:14" x14ac:dyDescent="0.25">
      <c r="A573">
        <v>373.98804200000001</v>
      </c>
      <c r="B573" s="1">
        <f>DATE(2011,5,9) + TIME(23,42,46)</f>
        <v>40672.988032407404</v>
      </c>
      <c r="C573">
        <v>80</v>
      </c>
      <c r="D573">
        <v>79.810501099000007</v>
      </c>
      <c r="E573">
        <v>50</v>
      </c>
      <c r="F573">
        <v>48.705245972</v>
      </c>
      <c r="G573">
        <v>1359.3352050999999</v>
      </c>
      <c r="H573">
        <v>1351.5327147999999</v>
      </c>
      <c r="I573">
        <v>1312.2084961</v>
      </c>
      <c r="J573">
        <v>1303.6715088000001</v>
      </c>
      <c r="K573">
        <v>1100</v>
      </c>
      <c r="L573">
        <v>0</v>
      </c>
      <c r="M573">
        <v>0</v>
      </c>
      <c r="N573">
        <v>1100</v>
      </c>
    </row>
    <row r="574" spans="1:14" x14ac:dyDescent="0.25">
      <c r="A574">
        <v>374.32762000000002</v>
      </c>
      <c r="B574" s="1">
        <f>DATE(2011,5,10) + TIME(7,51,46)</f>
        <v>40673.327615740738</v>
      </c>
      <c r="C574">
        <v>80</v>
      </c>
      <c r="D574">
        <v>79.822257996000005</v>
      </c>
      <c r="E574">
        <v>50</v>
      </c>
      <c r="F574">
        <v>48.668140411000003</v>
      </c>
      <c r="G574">
        <v>1359.2944336</v>
      </c>
      <c r="H574">
        <v>1351.4989014</v>
      </c>
      <c r="I574">
        <v>1312.2045897999999</v>
      </c>
      <c r="J574">
        <v>1303.6657714999999</v>
      </c>
      <c r="K574">
        <v>1100</v>
      </c>
      <c r="L574">
        <v>0</v>
      </c>
      <c r="M574">
        <v>0</v>
      </c>
      <c r="N574">
        <v>1100</v>
      </c>
    </row>
    <row r="575" spans="1:14" x14ac:dyDescent="0.25">
      <c r="A575">
        <v>374.67798800000003</v>
      </c>
      <c r="B575" s="1">
        <f>DATE(2011,5,10) + TIME(16,16,18)</f>
        <v>40673.677986111114</v>
      </c>
      <c r="C575">
        <v>80</v>
      </c>
      <c r="D575">
        <v>79.832054138000004</v>
      </c>
      <c r="E575">
        <v>50</v>
      </c>
      <c r="F575">
        <v>48.630130768000001</v>
      </c>
      <c r="G575">
        <v>1359.253418</v>
      </c>
      <c r="H575">
        <v>1351.4649658000001</v>
      </c>
      <c r="I575">
        <v>1312.2005615</v>
      </c>
      <c r="J575">
        <v>1303.659668</v>
      </c>
      <c r="K575">
        <v>1100</v>
      </c>
      <c r="L575">
        <v>0</v>
      </c>
      <c r="M575">
        <v>0</v>
      </c>
      <c r="N575">
        <v>1100</v>
      </c>
    </row>
    <row r="576" spans="1:14" x14ac:dyDescent="0.25">
      <c r="A576">
        <v>375.04014699999999</v>
      </c>
      <c r="B576" s="1">
        <f>DATE(2011,5,11) + TIME(0,57,48)</f>
        <v>40674.040138888886</v>
      </c>
      <c r="C576">
        <v>80</v>
      </c>
      <c r="D576">
        <v>79.840194702000005</v>
      </c>
      <c r="E576">
        <v>50</v>
      </c>
      <c r="F576">
        <v>48.591129303000002</v>
      </c>
      <c r="G576">
        <v>1359.2120361</v>
      </c>
      <c r="H576">
        <v>1351.4306641000001</v>
      </c>
      <c r="I576">
        <v>1312.1962891000001</v>
      </c>
      <c r="J576">
        <v>1303.6534423999999</v>
      </c>
      <c r="K576">
        <v>1100</v>
      </c>
      <c r="L576">
        <v>0</v>
      </c>
      <c r="M576">
        <v>0</v>
      </c>
      <c r="N576">
        <v>1100</v>
      </c>
    </row>
    <row r="577" spans="1:14" x14ac:dyDescent="0.25">
      <c r="A577">
        <v>375.41517399999998</v>
      </c>
      <c r="B577" s="1">
        <f>DATE(2011,5,11) + TIME(9,57,51)</f>
        <v>40674.415173611109</v>
      </c>
      <c r="C577">
        <v>80</v>
      </c>
      <c r="D577">
        <v>79.846954346000004</v>
      </c>
      <c r="E577">
        <v>50</v>
      </c>
      <c r="F577">
        <v>48.551044464</v>
      </c>
      <c r="G577">
        <v>1359.1704102000001</v>
      </c>
      <c r="H577">
        <v>1351.3962402</v>
      </c>
      <c r="I577">
        <v>1312.1918945</v>
      </c>
      <c r="J577">
        <v>1303.6469727000001</v>
      </c>
      <c r="K577">
        <v>1100</v>
      </c>
      <c r="L577">
        <v>0</v>
      </c>
      <c r="M577">
        <v>0</v>
      </c>
      <c r="N577">
        <v>1100</v>
      </c>
    </row>
    <row r="578" spans="1:14" x14ac:dyDescent="0.25">
      <c r="A578">
        <v>375.80428000000001</v>
      </c>
      <c r="B578" s="1">
        <f>DATE(2011,5,11) + TIME(19,18,9)</f>
        <v>40674.804270833331</v>
      </c>
      <c r="C578">
        <v>80</v>
      </c>
      <c r="D578">
        <v>79.852561950999998</v>
      </c>
      <c r="E578">
        <v>50</v>
      </c>
      <c r="F578">
        <v>48.509780884000001</v>
      </c>
      <c r="G578">
        <v>1359.1282959</v>
      </c>
      <c r="H578">
        <v>1351.3615723</v>
      </c>
      <c r="I578">
        <v>1312.1872559000001</v>
      </c>
      <c r="J578">
        <v>1303.6402588000001</v>
      </c>
      <c r="K578">
        <v>1100</v>
      </c>
      <c r="L578">
        <v>0</v>
      </c>
      <c r="M578">
        <v>0</v>
      </c>
      <c r="N578">
        <v>1100</v>
      </c>
    </row>
    <row r="579" spans="1:14" x14ac:dyDescent="0.25">
      <c r="A579">
        <v>376.20882999999998</v>
      </c>
      <c r="B579" s="1">
        <f>DATE(2011,5,12) + TIME(5,0,42)</f>
        <v>40675.208819444444</v>
      </c>
      <c r="C579">
        <v>80</v>
      </c>
      <c r="D579">
        <v>79.857215881000002</v>
      </c>
      <c r="E579">
        <v>50</v>
      </c>
      <c r="F579">
        <v>48.467220306000002</v>
      </c>
      <c r="G579">
        <v>1359.0858154</v>
      </c>
      <c r="H579">
        <v>1351.3265381000001</v>
      </c>
      <c r="I579">
        <v>1312.1824951000001</v>
      </c>
      <c r="J579">
        <v>1303.6331786999999</v>
      </c>
      <c r="K579">
        <v>1100</v>
      </c>
      <c r="L579">
        <v>0</v>
      </c>
      <c r="M579">
        <v>0</v>
      </c>
      <c r="N579">
        <v>1100</v>
      </c>
    </row>
    <row r="580" spans="1:14" x14ac:dyDescent="0.25">
      <c r="A580">
        <v>376.63037300000002</v>
      </c>
      <c r="B580" s="1">
        <f>DATE(2011,5,12) + TIME(15,7,44)</f>
        <v>40675.630370370367</v>
      </c>
      <c r="C580">
        <v>80</v>
      </c>
      <c r="D580">
        <v>79.861061096</v>
      </c>
      <c r="E580">
        <v>50</v>
      </c>
      <c r="F580">
        <v>48.423240661999998</v>
      </c>
      <c r="G580">
        <v>1359.0428466999999</v>
      </c>
      <c r="H580">
        <v>1351.2911377</v>
      </c>
      <c r="I580">
        <v>1312.1773682</v>
      </c>
      <c r="J580">
        <v>1303.6257324000001</v>
      </c>
      <c r="K580">
        <v>1100</v>
      </c>
      <c r="L580">
        <v>0</v>
      </c>
      <c r="M580">
        <v>0</v>
      </c>
      <c r="N580">
        <v>1100</v>
      </c>
    </row>
    <row r="581" spans="1:14" x14ac:dyDescent="0.25">
      <c r="A581">
        <v>377.06723099999999</v>
      </c>
      <c r="B581" s="1">
        <f>DATE(2011,5,13) + TIME(1,36,48)</f>
        <v>40676.06722222222</v>
      </c>
      <c r="C581">
        <v>80</v>
      </c>
      <c r="D581">
        <v>79.864227295000006</v>
      </c>
      <c r="E581">
        <v>50</v>
      </c>
      <c r="F581">
        <v>48.377986907999997</v>
      </c>
      <c r="G581">
        <v>1358.9991454999999</v>
      </c>
      <c r="H581">
        <v>1351.2553711</v>
      </c>
      <c r="I581">
        <v>1312.1721190999999</v>
      </c>
      <c r="J581">
        <v>1303.6179199000001</v>
      </c>
      <c r="K581">
        <v>1100</v>
      </c>
      <c r="L581">
        <v>0</v>
      </c>
      <c r="M581">
        <v>0</v>
      </c>
      <c r="N581">
        <v>1100</v>
      </c>
    </row>
    <row r="582" spans="1:14" x14ac:dyDescent="0.25">
      <c r="A582">
        <v>377.50975399999999</v>
      </c>
      <c r="B582" s="1">
        <f>DATE(2011,5,13) + TIME(12,14,2)</f>
        <v>40676.509745370371</v>
      </c>
      <c r="C582">
        <v>80</v>
      </c>
      <c r="D582">
        <v>79.866790770999998</v>
      </c>
      <c r="E582">
        <v>50</v>
      </c>
      <c r="F582">
        <v>48.332279204999999</v>
      </c>
      <c r="G582">
        <v>1358.9552002</v>
      </c>
      <c r="H582">
        <v>1351.2192382999999</v>
      </c>
      <c r="I582">
        <v>1312.1665039</v>
      </c>
      <c r="J582">
        <v>1303.6098632999999</v>
      </c>
      <c r="K582">
        <v>1100</v>
      </c>
      <c r="L582">
        <v>0</v>
      </c>
      <c r="M582">
        <v>0</v>
      </c>
      <c r="N582">
        <v>1100</v>
      </c>
    </row>
    <row r="583" spans="1:14" x14ac:dyDescent="0.25">
      <c r="A583">
        <v>377.95655900000003</v>
      </c>
      <c r="B583" s="1">
        <f>DATE(2011,5,13) + TIME(22,57,26)</f>
        <v>40676.956550925926</v>
      </c>
      <c r="C583">
        <v>80</v>
      </c>
      <c r="D583">
        <v>79.868850707999997</v>
      </c>
      <c r="E583">
        <v>50</v>
      </c>
      <c r="F583">
        <v>48.286254882999998</v>
      </c>
      <c r="G583">
        <v>1358.9118652</v>
      </c>
      <c r="H583">
        <v>1351.1838379000001</v>
      </c>
      <c r="I583">
        <v>1312.1607666</v>
      </c>
      <c r="J583">
        <v>1303.6015625</v>
      </c>
      <c r="K583">
        <v>1100</v>
      </c>
      <c r="L583">
        <v>0</v>
      </c>
      <c r="M583">
        <v>0</v>
      </c>
      <c r="N583">
        <v>1100</v>
      </c>
    </row>
    <row r="584" spans="1:14" x14ac:dyDescent="0.25">
      <c r="A584">
        <v>378.408794</v>
      </c>
      <c r="B584" s="1">
        <f>DATE(2011,5,14) + TIME(9,48,39)</f>
        <v>40677.408784722225</v>
      </c>
      <c r="C584">
        <v>80</v>
      </c>
      <c r="D584">
        <v>79.870536803999997</v>
      </c>
      <c r="E584">
        <v>50</v>
      </c>
      <c r="F584">
        <v>48.239856719999999</v>
      </c>
      <c r="G584">
        <v>1358.8693848</v>
      </c>
      <c r="H584">
        <v>1351.1490478999999</v>
      </c>
      <c r="I584">
        <v>1312.1549072</v>
      </c>
      <c r="J584">
        <v>1303.5931396000001</v>
      </c>
      <c r="K584">
        <v>1100</v>
      </c>
      <c r="L584">
        <v>0</v>
      </c>
      <c r="M584">
        <v>0</v>
      </c>
      <c r="N584">
        <v>1100</v>
      </c>
    </row>
    <row r="585" spans="1:14" x14ac:dyDescent="0.25">
      <c r="A585">
        <v>378.86745500000001</v>
      </c>
      <c r="B585" s="1">
        <f>DATE(2011,5,14) + TIME(20,49,8)</f>
        <v>40677.8674537037</v>
      </c>
      <c r="C585">
        <v>80</v>
      </c>
      <c r="D585">
        <v>79.871917725000003</v>
      </c>
      <c r="E585">
        <v>50</v>
      </c>
      <c r="F585">
        <v>48.193019866999997</v>
      </c>
      <c r="G585">
        <v>1358.8273925999999</v>
      </c>
      <c r="H585">
        <v>1351.1148682</v>
      </c>
      <c r="I585">
        <v>1312.1489257999999</v>
      </c>
      <c r="J585">
        <v>1303.5844727000001</v>
      </c>
      <c r="K585">
        <v>1100</v>
      </c>
      <c r="L585">
        <v>0</v>
      </c>
      <c r="M585">
        <v>0</v>
      </c>
      <c r="N585">
        <v>1100</v>
      </c>
    </row>
    <row r="586" spans="1:14" x14ac:dyDescent="0.25">
      <c r="A586">
        <v>379.33365700000002</v>
      </c>
      <c r="B586" s="1">
        <f>DATE(2011,5,15) + TIME(8,0,27)</f>
        <v>40678.333645833336</v>
      </c>
      <c r="C586">
        <v>80</v>
      </c>
      <c r="D586">
        <v>79.873054503999995</v>
      </c>
      <c r="E586">
        <v>50</v>
      </c>
      <c r="F586">
        <v>48.145671843999999</v>
      </c>
      <c r="G586">
        <v>1358.7858887</v>
      </c>
      <c r="H586">
        <v>1351.0811768000001</v>
      </c>
      <c r="I586">
        <v>1312.1428223</v>
      </c>
      <c r="J586">
        <v>1303.5756836</v>
      </c>
      <c r="K586">
        <v>1100</v>
      </c>
      <c r="L586">
        <v>0</v>
      </c>
      <c r="M586">
        <v>0</v>
      </c>
      <c r="N586">
        <v>1100</v>
      </c>
    </row>
    <row r="587" spans="1:14" x14ac:dyDescent="0.25">
      <c r="A587">
        <v>379.80546700000002</v>
      </c>
      <c r="B587" s="1">
        <f>DATE(2011,5,15) + TIME(19,19,52)</f>
        <v>40678.805462962962</v>
      </c>
      <c r="C587">
        <v>80</v>
      </c>
      <c r="D587">
        <v>79.874000549000002</v>
      </c>
      <c r="E587">
        <v>50</v>
      </c>
      <c r="F587">
        <v>48.097976684999999</v>
      </c>
      <c r="G587">
        <v>1358.7448730000001</v>
      </c>
      <c r="H587">
        <v>1351.0478516000001</v>
      </c>
      <c r="I587">
        <v>1312.1365966999999</v>
      </c>
      <c r="J587">
        <v>1303.5665283000001</v>
      </c>
      <c r="K587">
        <v>1100</v>
      </c>
      <c r="L587">
        <v>0</v>
      </c>
      <c r="M587">
        <v>0</v>
      </c>
      <c r="N587">
        <v>1100</v>
      </c>
    </row>
    <row r="588" spans="1:14" x14ac:dyDescent="0.25">
      <c r="A588">
        <v>380.28325599999999</v>
      </c>
      <c r="B588" s="1">
        <f>DATE(2011,5,16) + TIME(6,47,53)</f>
        <v>40679.283252314817</v>
      </c>
      <c r="C588">
        <v>80</v>
      </c>
      <c r="D588">
        <v>79.874778747999997</v>
      </c>
      <c r="E588">
        <v>50</v>
      </c>
      <c r="F588">
        <v>48.049922942999999</v>
      </c>
      <c r="G588">
        <v>1358.7043457</v>
      </c>
      <c r="H588">
        <v>1351.0150146000001</v>
      </c>
      <c r="I588">
        <v>1312.1301269999999</v>
      </c>
      <c r="J588">
        <v>1303.557251</v>
      </c>
      <c r="K588">
        <v>1100</v>
      </c>
      <c r="L588">
        <v>0</v>
      </c>
      <c r="M588">
        <v>0</v>
      </c>
      <c r="N588">
        <v>1100</v>
      </c>
    </row>
    <row r="589" spans="1:14" x14ac:dyDescent="0.25">
      <c r="A589">
        <v>380.76814400000001</v>
      </c>
      <c r="B589" s="1">
        <f>DATE(2011,5,16) + TIME(18,26,7)</f>
        <v>40679.768136574072</v>
      </c>
      <c r="C589">
        <v>80</v>
      </c>
      <c r="D589">
        <v>79.875434874999996</v>
      </c>
      <c r="E589">
        <v>50</v>
      </c>
      <c r="F589">
        <v>48.001426696999999</v>
      </c>
      <c r="G589">
        <v>1358.6643065999999</v>
      </c>
      <c r="H589">
        <v>1350.9826660000001</v>
      </c>
      <c r="I589">
        <v>1312.1236572</v>
      </c>
      <c r="J589">
        <v>1303.5477295000001</v>
      </c>
      <c r="K589">
        <v>1100</v>
      </c>
      <c r="L589">
        <v>0</v>
      </c>
      <c r="M589">
        <v>0</v>
      </c>
      <c r="N589">
        <v>1100</v>
      </c>
    </row>
    <row r="590" spans="1:14" x14ac:dyDescent="0.25">
      <c r="A590">
        <v>381.26102700000001</v>
      </c>
      <c r="B590" s="1">
        <f>DATE(2011,5,17) + TIME(6,15,52)</f>
        <v>40680.261018518519</v>
      </c>
      <c r="C590">
        <v>80</v>
      </c>
      <c r="D590">
        <v>79.875984192000004</v>
      </c>
      <c r="E590">
        <v>50</v>
      </c>
      <c r="F590">
        <v>47.952430724999999</v>
      </c>
      <c r="G590">
        <v>1358.6246338000001</v>
      </c>
      <c r="H590">
        <v>1350.9508057</v>
      </c>
      <c r="I590">
        <v>1312.1169434000001</v>
      </c>
      <c r="J590">
        <v>1303.5379639</v>
      </c>
      <c r="K590">
        <v>1100</v>
      </c>
      <c r="L590">
        <v>0</v>
      </c>
      <c r="M590">
        <v>0</v>
      </c>
      <c r="N590">
        <v>1100</v>
      </c>
    </row>
    <row r="591" spans="1:14" x14ac:dyDescent="0.25">
      <c r="A591">
        <v>381.76299999999998</v>
      </c>
      <c r="B591" s="1">
        <f>DATE(2011,5,17) + TIME(18,18,43)</f>
        <v>40680.762997685182</v>
      </c>
      <c r="C591">
        <v>80</v>
      </c>
      <c r="D591">
        <v>79.876441955999994</v>
      </c>
      <c r="E591">
        <v>50</v>
      </c>
      <c r="F591">
        <v>47.902851105000003</v>
      </c>
      <c r="G591">
        <v>1358.5854492000001</v>
      </c>
      <c r="H591">
        <v>1350.9191894999999</v>
      </c>
      <c r="I591">
        <v>1312.1099853999999</v>
      </c>
      <c r="J591">
        <v>1303.5279541</v>
      </c>
      <c r="K591">
        <v>1100</v>
      </c>
      <c r="L591">
        <v>0</v>
      </c>
      <c r="M591">
        <v>0</v>
      </c>
      <c r="N591">
        <v>1100</v>
      </c>
    </row>
    <row r="592" spans="1:14" x14ac:dyDescent="0.25">
      <c r="A592">
        <v>382.27522299999998</v>
      </c>
      <c r="B592" s="1">
        <f>DATE(2011,5,18) + TIME(6,36,19)</f>
        <v>40681.275219907409</v>
      </c>
      <c r="C592">
        <v>80</v>
      </c>
      <c r="D592">
        <v>79.876838684000006</v>
      </c>
      <c r="E592">
        <v>50</v>
      </c>
      <c r="F592">
        <v>47.852592467999997</v>
      </c>
      <c r="G592">
        <v>1358.5463867000001</v>
      </c>
      <c r="H592">
        <v>1350.8878173999999</v>
      </c>
      <c r="I592">
        <v>1312.1029053</v>
      </c>
      <c r="J592">
        <v>1303.5177002</v>
      </c>
      <c r="K592">
        <v>1100</v>
      </c>
      <c r="L592">
        <v>0</v>
      </c>
      <c r="M592">
        <v>0</v>
      </c>
      <c r="N592">
        <v>1100</v>
      </c>
    </row>
    <row r="593" spans="1:14" x14ac:dyDescent="0.25">
      <c r="A593">
        <v>382.79893199999998</v>
      </c>
      <c r="B593" s="1">
        <f>DATE(2011,5,18) + TIME(19,10,27)</f>
        <v>40681.79892361111</v>
      </c>
      <c r="C593">
        <v>80</v>
      </c>
      <c r="D593">
        <v>79.877166747999993</v>
      </c>
      <c r="E593">
        <v>50</v>
      </c>
      <c r="F593">
        <v>47.801567077999998</v>
      </c>
      <c r="G593">
        <v>1358.5074463000001</v>
      </c>
      <c r="H593">
        <v>1350.8565673999999</v>
      </c>
      <c r="I593">
        <v>1312.0957031</v>
      </c>
      <c r="J593">
        <v>1303.5070800999999</v>
      </c>
      <c r="K593">
        <v>1100</v>
      </c>
      <c r="L593">
        <v>0</v>
      </c>
      <c r="M593">
        <v>0</v>
      </c>
      <c r="N593">
        <v>1100</v>
      </c>
    </row>
    <row r="594" spans="1:14" x14ac:dyDescent="0.25">
      <c r="A594">
        <v>383.33546799999999</v>
      </c>
      <c r="B594" s="1">
        <f>DATE(2011,5,19) + TIME(8,3,4)</f>
        <v>40682.335462962961</v>
      </c>
      <c r="C594">
        <v>80</v>
      </c>
      <c r="D594">
        <v>79.877456664999997</v>
      </c>
      <c r="E594">
        <v>50</v>
      </c>
      <c r="F594">
        <v>47.749668120999999</v>
      </c>
      <c r="G594">
        <v>1358.4686279</v>
      </c>
      <c r="H594">
        <v>1350.8254394999999</v>
      </c>
      <c r="I594">
        <v>1312.0881348</v>
      </c>
      <c r="J594">
        <v>1303.4960937999999</v>
      </c>
      <c r="K594">
        <v>1100</v>
      </c>
      <c r="L594">
        <v>0</v>
      </c>
      <c r="M594">
        <v>0</v>
      </c>
      <c r="N594">
        <v>1100</v>
      </c>
    </row>
    <row r="595" spans="1:14" x14ac:dyDescent="0.25">
      <c r="A595">
        <v>383.88629100000003</v>
      </c>
      <c r="B595" s="1">
        <f>DATE(2011,5,19) + TIME(21,16,15)</f>
        <v>40682.886284722219</v>
      </c>
      <c r="C595">
        <v>80</v>
      </c>
      <c r="D595">
        <v>79.877700806000007</v>
      </c>
      <c r="E595">
        <v>50</v>
      </c>
      <c r="F595">
        <v>47.696777343999997</v>
      </c>
      <c r="G595">
        <v>1358.4298096</v>
      </c>
      <c r="H595">
        <v>1350.7944336</v>
      </c>
      <c r="I595">
        <v>1312.0803223</v>
      </c>
      <c r="J595">
        <v>1303.4846190999999</v>
      </c>
      <c r="K595">
        <v>1100</v>
      </c>
      <c r="L595">
        <v>0</v>
      </c>
      <c r="M595">
        <v>0</v>
      </c>
      <c r="N595">
        <v>1100</v>
      </c>
    </row>
    <row r="596" spans="1:14" x14ac:dyDescent="0.25">
      <c r="A596">
        <v>384.45300600000002</v>
      </c>
      <c r="B596" s="1">
        <f>DATE(2011,5,20) + TIME(10,52,19)</f>
        <v>40683.452997685185</v>
      </c>
      <c r="C596">
        <v>80</v>
      </c>
      <c r="D596">
        <v>79.877906799000002</v>
      </c>
      <c r="E596">
        <v>50</v>
      </c>
      <c r="F596">
        <v>47.642772675000003</v>
      </c>
      <c r="G596">
        <v>1358.3907471</v>
      </c>
      <c r="H596">
        <v>1350.7634277</v>
      </c>
      <c r="I596">
        <v>1312.0722656</v>
      </c>
      <c r="J596">
        <v>1303.4727783000001</v>
      </c>
      <c r="K596">
        <v>1100</v>
      </c>
      <c r="L596">
        <v>0</v>
      </c>
      <c r="M596">
        <v>0</v>
      </c>
      <c r="N596">
        <v>1100</v>
      </c>
    </row>
    <row r="597" spans="1:14" x14ac:dyDescent="0.25">
      <c r="A597">
        <v>385.03543500000001</v>
      </c>
      <c r="B597" s="1">
        <f>DATE(2011,5,21) + TIME(0,51,1)</f>
        <v>40684.035428240742</v>
      </c>
      <c r="C597">
        <v>80</v>
      </c>
      <c r="D597">
        <v>79.878082274999997</v>
      </c>
      <c r="E597">
        <v>50</v>
      </c>
      <c r="F597">
        <v>47.587657927999999</v>
      </c>
      <c r="G597">
        <v>1358.3516846</v>
      </c>
      <c r="H597">
        <v>1350.7321777</v>
      </c>
      <c r="I597">
        <v>1312.0637207</v>
      </c>
      <c r="J597">
        <v>1303.4604492000001</v>
      </c>
      <c r="K597">
        <v>1100</v>
      </c>
      <c r="L597">
        <v>0</v>
      </c>
      <c r="M597">
        <v>0</v>
      </c>
      <c r="N597">
        <v>1100</v>
      </c>
    </row>
    <row r="598" spans="1:14" x14ac:dyDescent="0.25">
      <c r="A598">
        <v>385.63066800000001</v>
      </c>
      <c r="B598" s="1">
        <f>DATE(2011,5,21) + TIME(15,8,9)</f>
        <v>40684.630659722221</v>
      </c>
      <c r="C598">
        <v>80</v>
      </c>
      <c r="D598">
        <v>79.878227233999993</v>
      </c>
      <c r="E598">
        <v>50</v>
      </c>
      <c r="F598">
        <v>47.531635283999996</v>
      </c>
      <c r="G598">
        <v>1358.3123779</v>
      </c>
      <c r="H598">
        <v>1350.7009277</v>
      </c>
      <c r="I598">
        <v>1312.0549315999999</v>
      </c>
      <c r="J598">
        <v>1303.4476318</v>
      </c>
      <c r="K598">
        <v>1100</v>
      </c>
      <c r="L598">
        <v>0</v>
      </c>
      <c r="M598">
        <v>0</v>
      </c>
      <c r="N598">
        <v>1100</v>
      </c>
    </row>
    <row r="599" spans="1:14" x14ac:dyDescent="0.25">
      <c r="A599">
        <v>386.24021699999997</v>
      </c>
      <c r="B599" s="1">
        <f>DATE(2011,5,22) + TIME(5,45,54)</f>
        <v>40685.240208333336</v>
      </c>
      <c r="C599">
        <v>80</v>
      </c>
      <c r="D599">
        <v>79.878349303999997</v>
      </c>
      <c r="E599">
        <v>50</v>
      </c>
      <c r="F599">
        <v>47.474609375</v>
      </c>
      <c r="G599">
        <v>1358.2730713000001</v>
      </c>
      <c r="H599">
        <v>1350.6699219</v>
      </c>
      <c r="I599">
        <v>1312.0458983999999</v>
      </c>
      <c r="J599">
        <v>1303.4343262</v>
      </c>
      <c r="K599">
        <v>1100</v>
      </c>
      <c r="L599">
        <v>0</v>
      </c>
      <c r="M599">
        <v>0</v>
      </c>
      <c r="N599">
        <v>1100</v>
      </c>
    </row>
    <row r="600" spans="1:14" x14ac:dyDescent="0.25">
      <c r="A600">
        <v>386.86564600000003</v>
      </c>
      <c r="B600" s="1">
        <f>DATE(2011,5,22) + TIME(20,46,31)</f>
        <v>40685.865636574075</v>
      </c>
      <c r="C600">
        <v>80</v>
      </c>
      <c r="D600">
        <v>79.878456115999995</v>
      </c>
      <c r="E600">
        <v>50</v>
      </c>
      <c r="F600">
        <v>47.416469573999997</v>
      </c>
      <c r="G600">
        <v>1358.2338867000001</v>
      </c>
      <c r="H600">
        <v>1350.6387939000001</v>
      </c>
      <c r="I600">
        <v>1312.0363769999999</v>
      </c>
      <c r="J600">
        <v>1303.4204102000001</v>
      </c>
      <c r="K600">
        <v>1100</v>
      </c>
      <c r="L600">
        <v>0</v>
      </c>
      <c r="M600">
        <v>0</v>
      </c>
      <c r="N600">
        <v>1100</v>
      </c>
    </row>
    <row r="601" spans="1:14" x14ac:dyDescent="0.25">
      <c r="A601">
        <v>387.50865900000002</v>
      </c>
      <c r="B601" s="1">
        <f>DATE(2011,5,23) + TIME(12,12,28)</f>
        <v>40686.508657407408</v>
      </c>
      <c r="C601">
        <v>80</v>
      </c>
      <c r="D601">
        <v>79.878540039000001</v>
      </c>
      <c r="E601">
        <v>50</v>
      </c>
      <c r="F601">
        <v>47.357101440000001</v>
      </c>
      <c r="G601">
        <v>1358.1945800999999</v>
      </c>
      <c r="H601">
        <v>1350.6076660000001</v>
      </c>
      <c r="I601">
        <v>1312.0266113</v>
      </c>
      <c r="J601">
        <v>1303.4060059000001</v>
      </c>
      <c r="K601">
        <v>1100</v>
      </c>
      <c r="L601">
        <v>0</v>
      </c>
      <c r="M601">
        <v>0</v>
      </c>
      <c r="N601">
        <v>1100</v>
      </c>
    </row>
    <row r="602" spans="1:14" x14ac:dyDescent="0.25">
      <c r="A602">
        <v>388.17117500000001</v>
      </c>
      <c r="B602" s="1">
        <f>DATE(2011,5,24) + TIME(4,6,29)</f>
        <v>40687.171168981484</v>
      </c>
      <c r="C602">
        <v>80</v>
      </c>
      <c r="D602">
        <v>79.878608704000001</v>
      </c>
      <c r="E602">
        <v>50</v>
      </c>
      <c r="F602">
        <v>47.296360016000001</v>
      </c>
      <c r="G602">
        <v>1358.1550293</v>
      </c>
      <c r="H602">
        <v>1350.5764160000001</v>
      </c>
      <c r="I602">
        <v>1312.0163574000001</v>
      </c>
      <c r="J602">
        <v>1303.3909911999999</v>
      </c>
      <c r="K602">
        <v>1100</v>
      </c>
      <c r="L602">
        <v>0</v>
      </c>
      <c r="M602">
        <v>0</v>
      </c>
      <c r="N602">
        <v>1100</v>
      </c>
    </row>
    <row r="603" spans="1:14" x14ac:dyDescent="0.25">
      <c r="A603">
        <v>388.85095200000001</v>
      </c>
      <c r="B603" s="1">
        <f>DATE(2011,5,24) + TIME(20,25,22)</f>
        <v>40687.850949074076</v>
      </c>
      <c r="C603">
        <v>80</v>
      </c>
      <c r="D603">
        <v>79.878662109000004</v>
      </c>
      <c r="E603">
        <v>50</v>
      </c>
      <c r="F603">
        <v>47.234386444000002</v>
      </c>
      <c r="G603">
        <v>1358.1152344</v>
      </c>
      <c r="H603">
        <v>1350.5450439000001</v>
      </c>
      <c r="I603">
        <v>1312.0057373</v>
      </c>
      <c r="J603">
        <v>1303.3753661999999</v>
      </c>
      <c r="K603">
        <v>1100</v>
      </c>
      <c r="L603">
        <v>0</v>
      </c>
      <c r="M603">
        <v>0</v>
      </c>
      <c r="N603">
        <v>1100</v>
      </c>
    </row>
    <row r="604" spans="1:14" x14ac:dyDescent="0.25">
      <c r="A604">
        <v>389.53882700000003</v>
      </c>
      <c r="B604" s="1">
        <f>DATE(2011,5,25) + TIME(12,55,54)</f>
        <v>40688.538819444446</v>
      </c>
      <c r="C604">
        <v>80</v>
      </c>
      <c r="D604">
        <v>79.878707886000001</v>
      </c>
      <c r="E604">
        <v>50</v>
      </c>
      <c r="F604">
        <v>47.171798705999997</v>
      </c>
      <c r="G604">
        <v>1358.0753173999999</v>
      </c>
      <c r="H604">
        <v>1350.5135498</v>
      </c>
      <c r="I604">
        <v>1311.9946289</v>
      </c>
      <c r="J604">
        <v>1303.3590088000001</v>
      </c>
      <c r="K604">
        <v>1100</v>
      </c>
      <c r="L604">
        <v>0</v>
      </c>
      <c r="M604">
        <v>0</v>
      </c>
      <c r="N604">
        <v>1100</v>
      </c>
    </row>
    <row r="605" spans="1:14" x14ac:dyDescent="0.25">
      <c r="A605">
        <v>390.23523299999999</v>
      </c>
      <c r="B605" s="1">
        <f>DATE(2011,5,26) + TIME(5,38,44)</f>
        <v>40689.235231481478</v>
      </c>
      <c r="C605">
        <v>80</v>
      </c>
      <c r="D605">
        <v>79.878738403</v>
      </c>
      <c r="E605">
        <v>50</v>
      </c>
      <c r="F605">
        <v>47.108619689999998</v>
      </c>
      <c r="G605">
        <v>1358.0358887</v>
      </c>
      <c r="H605">
        <v>1350.4825439000001</v>
      </c>
      <c r="I605">
        <v>1311.9831543</v>
      </c>
      <c r="J605">
        <v>1303.3422852000001</v>
      </c>
      <c r="K605">
        <v>1100</v>
      </c>
      <c r="L605">
        <v>0</v>
      </c>
      <c r="M605">
        <v>0</v>
      </c>
      <c r="N605">
        <v>1100</v>
      </c>
    </row>
    <row r="606" spans="1:14" x14ac:dyDescent="0.25">
      <c r="A606">
        <v>390.93658599999998</v>
      </c>
      <c r="B606" s="1">
        <f>DATE(2011,5,26) + TIME(22,28,41)</f>
        <v>40689.936585648145</v>
      </c>
      <c r="C606">
        <v>80</v>
      </c>
      <c r="D606">
        <v>79.878761291999993</v>
      </c>
      <c r="E606">
        <v>50</v>
      </c>
      <c r="F606">
        <v>47.045124053999999</v>
      </c>
      <c r="G606">
        <v>1357.9968262</v>
      </c>
      <c r="H606">
        <v>1350.4519043</v>
      </c>
      <c r="I606">
        <v>1311.9714355000001</v>
      </c>
      <c r="J606">
        <v>1303.3250731999999</v>
      </c>
      <c r="K606">
        <v>1100</v>
      </c>
      <c r="L606">
        <v>0</v>
      </c>
      <c r="M606">
        <v>0</v>
      </c>
      <c r="N606">
        <v>1100</v>
      </c>
    </row>
    <row r="607" spans="1:14" x14ac:dyDescent="0.25">
      <c r="A607">
        <v>391.64469400000002</v>
      </c>
      <c r="B607" s="1">
        <f>DATE(2011,5,27) + TIME(15,28,21)</f>
        <v>40690.644687499997</v>
      </c>
      <c r="C607">
        <v>80</v>
      </c>
      <c r="D607">
        <v>79.878776549999998</v>
      </c>
      <c r="E607">
        <v>50</v>
      </c>
      <c r="F607">
        <v>46.981243134000003</v>
      </c>
      <c r="G607">
        <v>1357.958374</v>
      </c>
      <c r="H607">
        <v>1350.4217529</v>
      </c>
      <c r="I607">
        <v>1311.9594727000001</v>
      </c>
      <c r="J607">
        <v>1303.3073730000001</v>
      </c>
      <c r="K607">
        <v>1100</v>
      </c>
      <c r="L607">
        <v>0</v>
      </c>
      <c r="M607">
        <v>0</v>
      </c>
      <c r="N607">
        <v>1100</v>
      </c>
    </row>
    <row r="608" spans="1:14" x14ac:dyDescent="0.25">
      <c r="A608">
        <v>392.36112300000002</v>
      </c>
      <c r="B608" s="1">
        <f>DATE(2011,5,28) + TIME(8,40,1)</f>
        <v>40691.361122685186</v>
      </c>
      <c r="C608">
        <v>80</v>
      </c>
      <c r="D608">
        <v>79.878784179999997</v>
      </c>
      <c r="E608">
        <v>50</v>
      </c>
      <c r="F608">
        <v>46.916889191000003</v>
      </c>
      <c r="G608">
        <v>1357.9202881000001</v>
      </c>
      <c r="H608">
        <v>1350.3919678</v>
      </c>
      <c r="I608">
        <v>1311.9472656</v>
      </c>
      <c r="J608">
        <v>1303.2891846</v>
      </c>
      <c r="K608">
        <v>1100</v>
      </c>
      <c r="L608">
        <v>0</v>
      </c>
      <c r="M608">
        <v>0</v>
      </c>
      <c r="N608">
        <v>1100</v>
      </c>
    </row>
    <row r="609" spans="1:14" x14ac:dyDescent="0.25">
      <c r="A609">
        <v>393.08739200000002</v>
      </c>
      <c r="B609" s="1">
        <f>DATE(2011,5,29) + TIME(2,5,50)</f>
        <v>40692.087384259263</v>
      </c>
      <c r="C609">
        <v>80</v>
      </c>
      <c r="D609">
        <v>79.878784179999997</v>
      </c>
      <c r="E609">
        <v>50</v>
      </c>
      <c r="F609">
        <v>46.851974487</v>
      </c>
      <c r="G609">
        <v>1357.8826904</v>
      </c>
      <c r="H609">
        <v>1350.3624268000001</v>
      </c>
      <c r="I609">
        <v>1311.9346923999999</v>
      </c>
      <c r="J609">
        <v>1303.2706298999999</v>
      </c>
      <c r="K609">
        <v>1100</v>
      </c>
      <c r="L609">
        <v>0</v>
      </c>
      <c r="M609">
        <v>0</v>
      </c>
      <c r="N609">
        <v>1100</v>
      </c>
    </row>
    <row r="610" spans="1:14" x14ac:dyDescent="0.25">
      <c r="A610">
        <v>393.82520099999999</v>
      </c>
      <c r="B610" s="1">
        <f>DATE(2011,5,29) + TIME(19,48,17)</f>
        <v>40692.825196759259</v>
      </c>
      <c r="C610">
        <v>80</v>
      </c>
      <c r="D610">
        <v>79.878791809000006</v>
      </c>
      <c r="E610">
        <v>50</v>
      </c>
      <c r="F610">
        <v>46.786380768000001</v>
      </c>
      <c r="G610">
        <v>1357.8453368999999</v>
      </c>
      <c r="H610">
        <v>1350.3332519999999</v>
      </c>
      <c r="I610">
        <v>1311.9217529</v>
      </c>
      <c r="J610">
        <v>1303.2513428</v>
      </c>
      <c r="K610">
        <v>1100</v>
      </c>
      <c r="L610">
        <v>0</v>
      </c>
      <c r="M610">
        <v>0</v>
      </c>
      <c r="N610">
        <v>1100</v>
      </c>
    </row>
    <row r="611" spans="1:14" x14ac:dyDescent="0.25">
      <c r="A611">
        <v>394.57632999999998</v>
      </c>
      <c r="B611" s="1">
        <f>DATE(2011,5,30) + TIME(13,49,54)</f>
        <v>40693.576319444444</v>
      </c>
      <c r="C611">
        <v>80</v>
      </c>
      <c r="D611">
        <v>79.878784179999997</v>
      </c>
      <c r="E611">
        <v>50</v>
      </c>
      <c r="F611">
        <v>46.719989777000002</v>
      </c>
      <c r="G611">
        <v>1357.8082274999999</v>
      </c>
      <c r="H611">
        <v>1350.3043213000001</v>
      </c>
      <c r="I611">
        <v>1311.9084473</v>
      </c>
      <c r="J611">
        <v>1303.2315673999999</v>
      </c>
      <c r="K611">
        <v>1100</v>
      </c>
      <c r="L611">
        <v>0</v>
      </c>
      <c r="M611">
        <v>0</v>
      </c>
      <c r="N611">
        <v>1100</v>
      </c>
    </row>
    <row r="612" spans="1:14" x14ac:dyDescent="0.25">
      <c r="A612">
        <v>395.34265299999998</v>
      </c>
      <c r="B612" s="1">
        <f>DATE(2011,5,31) + TIME(8,13,25)</f>
        <v>40694.342650462961</v>
      </c>
      <c r="C612">
        <v>80</v>
      </c>
      <c r="D612">
        <v>79.878784179999997</v>
      </c>
      <c r="E612">
        <v>50</v>
      </c>
      <c r="F612">
        <v>46.652652740000001</v>
      </c>
      <c r="G612">
        <v>1357.7712402</v>
      </c>
      <c r="H612">
        <v>1350.2753906</v>
      </c>
      <c r="I612">
        <v>1311.8947754000001</v>
      </c>
      <c r="J612">
        <v>1303.2110596</v>
      </c>
      <c r="K612">
        <v>1100</v>
      </c>
      <c r="L612">
        <v>0</v>
      </c>
      <c r="M612">
        <v>0</v>
      </c>
      <c r="N612">
        <v>1100</v>
      </c>
    </row>
    <row r="613" spans="1:14" x14ac:dyDescent="0.25">
      <c r="A613">
        <v>396</v>
      </c>
      <c r="B613" s="1">
        <f>DATE(2011,6,1) + TIME(0,0,0)</f>
        <v>40695</v>
      </c>
      <c r="C613">
        <v>80</v>
      </c>
      <c r="D613">
        <v>79.878768921000002</v>
      </c>
      <c r="E613">
        <v>50</v>
      </c>
      <c r="F613">
        <v>46.592464446999998</v>
      </c>
      <c r="G613">
        <v>1357.7341309000001</v>
      </c>
      <c r="H613">
        <v>1350.2464600000001</v>
      </c>
      <c r="I613">
        <v>1311.880249</v>
      </c>
      <c r="J613">
        <v>1303.1903076000001</v>
      </c>
      <c r="K613">
        <v>1100</v>
      </c>
      <c r="L613">
        <v>0</v>
      </c>
      <c r="M613">
        <v>0</v>
      </c>
      <c r="N613">
        <v>1100</v>
      </c>
    </row>
    <row r="614" spans="1:14" x14ac:dyDescent="0.25">
      <c r="A614">
        <v>396.78356000000002</v>
      </c>
      <c r="B614" s="1">
        <f>DATE(2011,6,1) + TIME(18,48,19)</f>
        <v>40695.783553240741</v>
      </c>
      <c r="C614">
        <v>80</v>
      </c>
      <c r="D614">
        <v>79.878761291999993</v>
      </c>
      <c r="E614">
        <v>50</v>
      </c>
      <c r="F614">
        <v>46.524772644000002</v>
      </c>
      <c r="G614">
        <v>1357.703125</v>
      </c>
      <c r="H614">
        <v>1350.222168</v>
      </c>
      <c r="I614">
        <v>1311.8681641000001</v>
      </c>
      <c r="J614">
        <v>1303.1708983999999</v>
      </c>
      <c r="K614">
        <v>1100</v>
      </c>
      <c r="L614">
        <v>0</v>
      </c>
      <c r="M614">
        <v>0</v>
      </c>
      <c r="N614">
        <v>1100</v>
      </c>
    </row>
    <row r="615" spans="1:14" x14ac:dyDescent="0.25">
      <c r="A615">
        <v>397.60485499999999</v>
      </c>
      <c r="B615" s="1">
        <f>DATE(2011,6,2) + TIME(14,30,59)</f>
        <v>40696.604849537034</v>
      </c>
      <c r="C615">
        <v>80</v>
      </c>
      <c r="D615">
        <v>79.878761291999993</v>
      </c>
      <c r="E615">
        <v>50</v>
      </c>
      <c r="F615">
        <v>46.454563141000001</v>
      </c>
      <c r="G615">
        <v>1357.666626</v>
      </c>
      <c r="H615">
        <v>1350.1938477000001</v>
      </c>
      <c r="I615">
        <v>1311.8532714999999</v>
      </c>
      <c r="J615">
        <v>1303.1484375</v>
      </c>
      <c r="K615">
        <v>1100</v>
      </c>
      <c r="L615">
        <v>0</v>
      </c>
      <c r="M615">
        <v>0</v>
      </c>
      <c r="N615">
        <v>1100</v>
      </c>
    </row>
    <row r="616" spans="1:14" x14ac:dyDescent="0.25">
      <c r="A616">
        <v>398.44978500000002</v>
      </c>
      <c r="B616" s="1">
        <f>DATE(2011,6,3) + TIME(10,47,41)</f>
        <v>40697.449780092589</v>
      </c>
      <c r="C616">
        <v>80</v>
      </c>
      <c r="D616">
        <v>79.878753661999994</v>
      </c>
      <c r="E616">
        <v>50</v>
      </c>
      <c r="F616">
        <v>46.382560730000002</v>
      </c>
      <c r="G616">
        <v>1357.6292725000001</v>
      </c>
      <c r="H616">
        <v>1350.1647949000001</v>
      </c>
      <c r="I616">
        <v>1311.8374022999999</v>
      </c>
      <c r="J616">
        <v>1303.1246338000001</v>
      </c>
      <c r="K616">
        <v>1100</v>
      </c>
      <c r="L616">
        <v>0</v>
      </c>
      <c r="M616">
        <v>0</v>
      </c>
      <c r="N616">
        <v>1100</v>
      </c>
    </row>
    <row r="617" spans="1:14" x14ac:dyDescent="0.25">
      <c r="A617">
        <v>399.31672400000002</v>
      </c>
      <c r="B617" s="1">
        <f>DATE(2011,6,4) + TIME(7,36,4)</f>
        <v>40698.316712962966</v>
      </c>
      <c r="C617">
        <v>80</v>
      </c>
      <c r="D617">
        <v>79.878746032999999</v>
      </c>
      <c r="E617">
        <v>50</v>
      </c>
      <c r="F617">
        <v>46.308864593999999</v>
      </c>
      <c r="G617">
        <v>1357.5915527</v>
      </c>
      <c r="H617">
        <v>1350.135376</v>
      </c>
      <c r="I617">
        <v>1311.8208007999999</v>
      </c>
      <c r="J617">
        <v>1303.0997314000001</v>
      </c>
      <c r="K617">
        <v>1100</v>
      </c>
      <c r="L617">
        <v>0</v>
      </c>
      <c r="M617">
        <v>0</v>
      </c>
      <c r="N617">
        <v>1100</v>
      </c>
    </row>
    <row r="618" spans="1:14" x14ac:dyDescent="0.25">
      <c r="A618">
        <v>400.200399</v>
      </c>
      <c r="B618" s="1">
        <f>DATE(2011,6,5) + TIME(4,48,34)</f>
        <v>40699.20039351852</v>
      </c>
      <c r="C618">
        <v>80</v>
      </c>
      <c r="D618">
        <v>79.878738403</v>
      </c>
      <c r="E618">
        <v>50</v>
      </c>
      <c r="F618">
        <v>46.233806610000002</v>
      </c>
      <c r="G618">
        <v>1357.5535889</v>
      </c>
      <c r="H618">
        <v>1350.105957</v>
      </c>
      <c r="I618">
        <v>1311.8035889</v>
      </c>
      <c r="J618">
        <v>1303.0736084</v>
      </c>
      <c r="K618">
        <v>1100</v>
      </c>
      <c r="L618">
        <v>0</v>
      </c>
      <c r="M618">
        <v>0</v>
      </c>
      <c r="N618">
        <v>1100</v>
      </c>
    </row>
    <row r="619" spans="1:14" x14ac:dyDescent="0.25">
      <c r="A619">
        <v>401.10312800000003</v>
      </c>
      <c r="B619" s="1">
        <f>DATE(2011,6,6) + TIME(2,28,30)</f>
        <v>40700.103125000001</v>
      </c>
      <c r="C619">
        <v>80</v>
      </c>
      <c r="D619">
        <v>79.878730774000005</v>
      </c>
      <c r="E619">
        <v>50</v>
      </c>
      <c r="F619">
        <v>46.157302856000001</v>
      </c>
      <c r="G619">
        <v>1357.515625</v>
      </c>
      <c r="H619">
        <v>1350.0765381000001</v>
      </c>
      <c r="I619">
        <v>1311.7857666</v>
      </c>
      <c r="J619">
        <v>1303.0465088000001</v>
      </c>
      <c r="K619">
        <v>1100</v>
      </c>
      <c r="L619">
        <v>0</v>
      </c>
      <c r="M619">
        <v>0</v>
      </c>
      <c r="N619">
        <v>1100</v>
      </c>
    </row>
    <row r="620" spans="1:14" x14ac:dyDescent="0.25">
      <c r="A620">
        <v>402.02191499999998</v>
      </c>
      <c r="B620" s="1">
        <f>DATE(2011,6,7) + TIME(0,31,33)</f>
        <v>40701.021909722222</v>
      </c>
      <c r="C620">
        <v>80</v>
      </c>
      <c r="D620">
        <v>79.878723144999995</v>
      </c>
      <c r="E620">
        <v>50</v>
      </c>
      <c r="F620">
        <v>46.079544067</v>
      </c>
      <c r="G620">
        <v>1357.4777832</v>
      </c>
      <c r="H620">
        <v>1350.0471190999999</v>
      </c>
      <c r="I620">
        <v>1311.7672118999999</v>
      </c>
      <c r="J620">
        <v>1303.0184326000001</v>
      </c>
      <c r="K620">
        <v>1100</v>
      </c>
      <c r="L620">
        <v>0</v>
      </c>
      <c r="M620">
        <v>0</v>
      </c>
      <c r="N620">
        <v>1100</v>
      </c>
    </row>
    <row r="621" spans="1:14" x14ac:dyDescent="0.25">
      <c r="A621">
        <v>402.948373</v>
      </c>
      <c r="B621" s="1">
        <f>DATE(2011,6,7) + TIME(22,45,39)</f>
        <v>40701.948368055557</v>
      </c>
      <c r="C621">
        <v>80</v>
      </c>
      <c r="D621">
        <v>79.878715514999996</v>
      </c>
      <c r="E621">
        <v>50</v>
      </c>
      <c r="F621">
        <v>46.001049041999998</v>
      </c>
      <c r="G621">
        <v>1357.4399414</v>
      </c>
      <c r="H621">
        <v>1350.0177002</v>
      </c>
      <c r="I621">
        <v>1311.7480469</v>
      </c>
      <c r="J621">
        <v>1302.9892577999999</v>
      </c>
      <c r="K621">
        <v>1100</v>
      </c>
      <c r="L621">
        <v>0</v>
      </c>
      <c r="M621">
        <v>0</v>
      </c>
      <c r="N621">
        <v>1100</v>
      </c>
    </row>
    <row r="622" spans="1:14" x14ac:dyDescent="0.25">
      <c r="A622">
        <v>403.88440300000002</v>
      </c>
      <c r="B622" s="1">
        <f>DATE(2011,6,8) + TIME(21,13,32)</f>
        <v>40702.884398148148</v>
      </c>
      <c r="C622">
        <v>80</v>
      </c>
      <c r="D622">
        <v>79.878707886000001</v>
      </c>
      <c r="E622">
        <v>50</v>
      </c>
      <c r="F622">
        <v>45.921798705999997</v>
      </c>
      <c r="G622">
        <v>1357.4024658000001</v>
      </c>
      <c r="H622">
        <v>1349.9887695</v>
      </c>
      <c r="I622">
        <v>1311.7283935999999</v>
      </c>
      <c r="J622">
        <v>1302.9593506000001</v>
      </c>
      <c r="K622">
        <v>1100</v>
      </c>
      <c r="L622">
        <v>0</v>
      </c>
      <c r="M622">
        <v>0</v>
      </c>
      <c r="N622">
        <v>1100</v>
      </c>
    </row>
    <row r="623" spans="1:14" x14ac:dyDescent="0.25">
      <c r="A623">
        <v>404.83225399999998</v>
      </c>
      <c r="B623" s="1">
        <f>DATE(2011,6,9) + TIME(19,58,26)</f>
        <v>40703.832245370373</v>
      </c>
      <c r="C623">
        <v>80</v>
      </c>
      <c r="D623">
        <v>79.878707886000001</v>
      </c>
      <c r="E623">
        <v>50</v>
      </c>
      <c r="F623">
        <v>45.841709137000002</v>
      </c>
      <c r="G623">
        <v>1357.3654785000001</v>
      </c>
      <c r="H623">
        <v>1349.9600829999999</v>
      </c>
      <c r="I623">
        <v>1311.7082519999999</v>
      </c>
      <c r="J623">
        <v>1302.9284668</v>
      </c>
      <c r="K623">
        <v>1100</v>
      </c>
      <c r="L623">
        <v>0</v>
      </c>
      <c r="M623">
        <v>0</v>
      </c>
      <c r="N623">
        <v>1100</v>
      </c>
    </row>
    <row r="624" spans="1:14" x14ac:dyDescent="0.25">
      <c r="A624">
        <v>405.794242</v>
      </c>
      <c r="B624" s="1">
        <f>DATE(2011,6,10) + TIME(19,3,42)</f>
        <v>40704.794236111113</v>
      </c>
      <c r="C624">
        <v>80</v>
      </c>
      <c r="D624">
        <v>79.878700256000002</v>
      </c>
      <c r="E624">
        <v>50</v>
      </c>
      <c r="F624">
        <v>45.760658264</v>
      </c>
      <c r="G624">
        <v>1357.3286132999999</v>
      </c>
      <c r="H624">
        <v>1349.9315185999999</v>
      </c>
      <c r="I624">
        <v>1311.6875</v>
      </c>
      <c r="J624">
        <v>1302.8966064000001</v>
      </c>
      <c r="K624">
        <v>1100</v>
      </c>
      <c r="L624">
        <v>0</v>
      </c>
      <c r="M624">
        <v>0</v>
      </c>
      <c r="N624">
        <v>1100</v>
      </c>
    </row>
    <row r="625" spans="1:14" x14ac:dyDescent="0.25">
      <c r="A625">
        <v>406.77250900000001</v>
      </c>
      <c r="B625" s="1">
        <f>DATE(2011,6,11) + TIME(18,32,24)</f>
        <v>40705.772499999999</v>
      </c>
      <c r="C625">
        <v>80</v>
      </c>
      <c r="D625">
        <v>79.878700256000002</v>
      </c>
      <c r="E625">
        <v>50</v>
      </c>
      <c r="F625">
        <v>45.678504943999997</v>
      </c>
      <c r="G625">
        <v>1357.2919922000001</v>
      </c>
      <c r="H625">
        <v>1349.9031981999999</v>
      </c>
      <c r="I625">
        <v>1311.6661377</v>
      </c>
      <c r="J625">
        <v>1302.8637695</v>
      </c>
      <c r="K625">
        <v>1100</v>
      </c>
      <c r="L625">
        <v>0</v>
      </c>
      <c r="M625">
        <v>0</v>
      </c>
      <c r="N625">
        <v>1100</v>
      </c>
    </row>
    <row r="626" spans="1:14" x14ac:dyDescent="0.25">
      <c r="A626">
        <v>407.75887699999998</v>
      </c>
      <c r="B626" s="1">
        <f>DATE(2011,6,12) + TIME(18,12,46)</f>
        <v>40706.75886574074</v>
      </c>
      <c r="C626">
        <v>80</v>
      </c>
      <c r="D626">
        <v>79.878700256000002</v>
      </c>
      <c r="E626">
        <v>50</v>
      </c>
      <c r="F626">
        <v>45.595668793000002</v>
      </c>
      <c r="G626">
        <v>1357.2554932</v>
      </c>
      <c r="H626">
        <v>1349.8748779</v>
      </c>
      <c r="I626">
        <v>1311.6441649999999</v>
      </c>
      <c r="J626">
        <v>1302.8297118999999</v>
      </c>
      <c r="K626">
        <v>1100</v>
      </c>
      <c r="L626">
        <v>0</v>
      </c>
      <c r="M626">
        <v>0</v>
      </c>
      <c r="N626">
        <v>1100</v>
      </c>
    </row>
    <row r="627" spans="1:14" x14ac:dyDescent="0.25">
      <c r="A627">
        <v>408.75608499999998</v>
      </c>
      <c r="B627" s="1">
        <f>DATE(2011,6,13) + TIME(18,8,45)</f>
        <v>40707.756076388891</v>
      </c>
      <c r="C627">
        <v>80</v>
      </c>
      <c r="D627">
        <v>79.878700256000002</v>
      </c>
      <c r="E627">
        <v>50</v>
      </c>
      <c r="F627">
        <v>45.512046814000001</v>
      </c>
      <c r="G627">
        <v>1357.2192382999999</v>
      </c>
      <c r="H627">
        <v>1349.8468018000001</v>
      </c>
      <c r="I627">
        <v>1311.621582</v>
      </c>
      <c r="J627">
        <v>1302.7947998</v>
      </c>
      <c r="K627">
        <v>1100</v>
      </c>
      <c r="L627">
        <v>0</v>
      </c>
      <c r="M627">
        <v>0</v>
      </c>
      <c r="N627">
        <v>1100</v>
      </c>
    </row>
    <row r="628" spans="1:14" x14ac:dyDescent="0.25">
      <c r="A628">
        <v>409.76641100000001</v>
      </c>
      <c r="B628" s="1">
        <f>DATE(2011,6,14) + TIME(18,23,37)</f>
        <v>40708.766400462962</v>
      </c>
      <c r="C628">
        <v>80</v>
      </c>
      <c r="D628">
        <v>79.878707886000001</v>
      </c>
      <c r="E628">
        <v>50</v>
      </c>
      <c r="F628">
        <v>45.427505492999998</v>
      </c>
      <c r="G628">
        <v>1357.1833495999999</v>
      </c>
      <c r="H628">
        <v>1349.8190918</v>
      </c>
      <c r="I628">
        <v>1311.5985106999999</v>
      </c>
      <c r="J628">
        <v>1302.7587891000001</v>
      </c>
      <c r="K628">
        <v>1100</v>
      </c>
      <c r="L628">
        <v>0</v>
      </c>
      <c r="M628">
        <v>0</v>
      </c>
      <c r="N628">
        <v>1100</v>
      </c>
    </row>
    <row r="629" spans="1:14" x14ac:dyDescent="0.25">
      <c r="A629">
        <v>410.79195499999997</v>
      </c>
      <c r="B629" s="1">
        <f>DATE(2011,6,15) + TIME(19,0,24)</f>
        <v>40709.791944444441</v>
      </c>
      <c r="C629">
        <v>80</v>
      </c>
      <c r="D629">
        <v>79.878707886000001</v>
      </c>
      <c r="E629">
        <v>50</v>
      </c>
      <c r="F629">
        <v>45.341903686999999</v>
      </c>
      <c r="G629">
        <v>1357.1475829999999</v>
      </c>
      <c r="H629">
        <v>1349.7913818</v>
      </c>
      <c r="I629">
        <v>1311.574707</v>
      </c>
      <c r="J629">
        <v>1302.7216797000001</v>
      </c>
      <c r="K629">
        <v>1100</v>
      </c>
      <c r="L629">
        <v>0</v>
      </c>
      <c r="M629">
        <v>0</v>
      </c>
      <c r="N629">
        <v>1100</v>
      </c>
    </row>
    <row r="630" spans="1:14" x14ac:dyDescent="0.25">
      <c r="A630">
        <v>411.83515899999998</v>
      </c>
      <c r="B630" s="1">
        <f>DATE(2011,6,16) + TIME(20,2,37)</f>
        <v>40710.835150462961</v>
      </c>
      <c r="C630">
        <v>80</v>
      </c>
      <c r="D630">
        <v>79.878723144999995</v>
      </c>
      <c r="E630">
        <v>50</v>
      </c>
      <c r="F630">
        <v>45.255073547000002</v>
      </c>
      <c r="G630">
        <v>1357.1119385</v>
      </c>
      <c r="H630">
        <v>1349.7637939000001</v>
      </c>
      <c r="I630">
        <v>1311.5501709</v>
      </c>
      <c r="J630">
        <v>1302.6834716999999</v>
      </c>
      <c r="K630">
        <v>1100</v>
      </c>
      <c r="L630">
        <v>0</v>
      </c>
      <c r="M630">
        <v>0</v>
      </c>
      <c r="N630">
        <v>1100</v>
      </c>
    </row>
    <row r="631" spans="1:14" x14ac:dyDescent="0.25">
      <c r="A631">
        <v>412.89861300000001</v>
      </c>
      <c r="B631" s="1">
        <f>DATE(2011,6,17) + TIME(21,34,0)</f>
        <v>40711.898611111108</v>
      </c>
      <c r="C631">
        <v>80</v>
      </c>
      <c r="D631">
        <v>79.878730774000005</v>
      </c>
      <c r="E631">
        <v>50</v>
      </c>
      <c r="F631">
        <v>45.166812897</v>
      </c>
      <c r="G631">
        <v>1357.0764160000001</v>
      </c>
      <c r="H631">
        <v>1349.7363281</v>
      </c>
      <c r="I631">
        <v>1311.5249022999999</v>
      </c>
      <c r="J631">
        <v>1302.6437988</v>
      </c>
      <c r="K631">
        <v>1100</v>
      </c>
      <c r="L631">
        <v>0</v>
      </c>
      <c r="M631">
        <v>0</v>
      </c>
      <c r="N631">
        <v>1100</v>
      </c>
    </row>
    <row r="632" spans="1:14" x14ac:dyDescent="0.25">
      <c r="A632">
        <v>413.98512699999998</v>
      </c>
      <c r="B632" s="1">
        <f>DATE(2011,6,18) + TIME(23,38,34)</f>
        <v>40712.985115740739</v>
      </c>
      <c r="C632">
        <v>80</v>
      </c>
      <c r="D632">
        <v>79.878746032999999</v>
      </c>
      <c r="E632">
        <v>50</v>
      </c>
      <c r="F632">
        <v>45.076900481999999</v>
      </c>
      <c r="G632">
        <v>1357.0407714999999</v>
      </c>
      <c r="H632">
        <v>1349.7087402</v>
      </c>
      <c r="I632">
        <v>1311.4987793</v>
      </c>
      <c r="J632">
        <v>1302.6026611</v>
      </c>
      <c r="K632">
        <v>1100</v>
      </c>
      <c r="L632">
        <v>0</v>
      </c>
      <c r="M632">
        <v>0</v>
      </c>
      <c r="N632">
        <v>1100</v>
      </c>
    </row>
    <row r="633" spans="1:14" x14ac:dyDescent="0.25">
      <c r="A633">
        <v>415.097779</v>
      </c>
      <c r="B633" s="1">
        <f>DATE(2011,6,20) + TIME(2,20,48)</f>
        <v>40714.097777777781</v>
      </c>
      <c r="C633">
        <v>80</v>
      </c>
      <c r="D633">
        <v>79.878761291999993</v>
      </c>
      <c r="E633">
        <v>50</v>
      </c>
      <c r="F633">
        <v>44.985095977999997</v>
      </c>
      <c r="G633">
        <v>1357.0048827999999</v>
      </c>
      <c r="H633">
        <v>1349.6810303</v>
      </c>
      <c r="I633">
        <v>1311.4718018000001</v>
      </c>
      <c r="J633">
        <v>1302.5599365</v>
      </c>
      <c r="K633">
        <v>1100</v>
      </c>
      <c r="L633">
        <v>0</v>
      </c>
      <c r="M633">
        <v>0</v>
      </c>
      <c r="N633">
        <v>1100</v>
      </c>
    </row>
    <row r="634" spans="1:14" x14ac:dyDescent="0.25">
      <c r="A634">
        <v>416.23991100000001</v>
      </c>
      <c r="B634" s="1">
        <f>DATE(2011,6,21) + TIME(5,45,28)</f>
        <v>40715.239907407406</v>
      </c>
      <c r="C634">
        <v>80</v>
      </c>
      <c r="D634">
        <v>79.878776549999998</v>
      </c>
      <c r="E634">
        <v>50</v>
      </c>
      <c r="F634">
        <v>44.891136168999999</v>
      </c>
      <c r="G634">
        <v>1356.9688721</v>
      </c>
      <c r="H634">
        <v>1349.6531981999999</v>
      </c>
      <c r="I634">
        <v>1311.4437256000001</v>
      </c>
      <c r="J634">
        <v>1302.5155029</v>
      </c>
      <c r="K634">
        <v>1100</v>
      </c>
      <c r="L634">
        <v>0</v>
      </c>
      <c r="M634">
        <v>0</v>
      </c>
      <c r="N634">
        <v>1100</v>
      </c>
    </row>
    <row r="635" spans="1:14" x14ac:dyDescent="0.25">
      <c r="A635">
        <v>417.39465000000001</v>
      </c>
      <c r="B635" s="1">
        <f>DATE(2011,6,22) + TIME(9,28,17)</f>
        <v>40716.394641203704</v>
      </c>
      <c r="C635">
        <v>80</v>
      </c>
      <c r="D635">
        <v>79.878791809000006</v>
      </c>
      <c r="E635">
        <v>50</v>
      </c>
      <c r="F635">
        <v>44.795783997000001</v>
      </c>
      <c r="G635">
        <v>1356.9326172000001</v>
      </c>
      <c r="H635">
        <v>1349.6251221</v>
      </c>
      <c r="I635">
        <v>1311.4145507999999</v>
      </c>
      <c r="J635">
        <v>1302.4692382999999</v>
      </c>
      <c r="K635">
        <v>1100</v>
      </c>
      <c r="L635">
        <v>0</v>
      </c>
      <c r="M635">
        <v>0</v>
      </c>
      <c r="N635">
        <v>1100</v>
      </c>
    </row>
    <row r="636" spans="1:14" x14ac:dyDescent="0.25">
      <c r="A636">
        <v>418.55929700000002</v>
      </c>
      <c r="B636" s="1">
        <f>DATE(2011,6,23) + TIME(13,25,23)</f>
        <v>40717.559293981481</v>
      </c>
      <c r="C636">
        <v>80</v>
      </c>
      <c r="D636">
        <v>79.878814696999996</v>
      </c>
      <c r="E636">
        <v>50</v>
      </c>
      <c r="F636">
        <v>44.699295044000003</v>
      </c>
      <c r="G636">
        <v>1356.8964844</v>
      </c>
      <c r="H636">
        <v>1349.597168</v>
      </c>
      <c r="I636">
        <v>1311.3845214999999</v>
      </c>
      <c r="J636">
        <v>1302.4216309000001</v>
      </c>
      <c r="K636">
        <v>1100</v>
      </c>
      <c r="L636">
        <v>0</v>
      </c>
      <c r="M636">
        <v>0</v>
      </c>
      <c r="N636">
        <v>1100</v>
      </c>
    </row>
    <row r="637" spans="1:14" x14ac:dyDescent="0.25">
      <c r="A637">
        <v>419.73660799999999</v>
      </c>
      <c r="B637" s="1">
        <f>DATE(2011,6,24) + TIME(17,40,42)</f>
        <v>40718.736597222225</v>
      </c>
      <c r="C637">
        <v>80</v>
      </c>
      <c r="D637">
        <v>79.878837584999999</v>
      </c>
      <c r="E637">
        <v>50</v>
      </c>
      <c r="F637">
        <v>44.601631165000001</v>
      </c>
      <c r="G637">
        <v>1356.8607178</v>
      </c>
      <c r="H637">
        <v>1349.5694579999999</v>
      </c>
      <c r="I637">
        <v>1311.3538818</v>
      </c>
      <c r="J637">
        <v>1302.3726807</v>
      </c>
      <c r="K637">
        <v>1100</v>
      </c>
      <c r="L637">
        <v>0</v>
      </c>
      <c r="M637">
        <v>0</v>
      </c>
      <c r="N637">
        <v>1100</v>
      </c>
    </row>
    <row r="638" spans="1:14" x14ac:dyDescent="0.25">
      <c r="A638">
        <v>420.92948899999999</v>
      </c>
      <c r="B638" s="1">
        <f>DATE(2011,6,25) + TIME(22,18,27)</f>
        <v>40719.929479166669</v>
      </c>
      <c r="C638">
        <v>80</v>
      </c>
      <c r="D638">
        <v>79.878868103000002</v>
      </c>
      <c r="E638">
        <v>50</v>
      </c>
      <c r="F638">
        <v>44.502666472999998</v>
      </c>
      <c r="G638">
        <v>1356.8251952999999</v>
      </c>
      <c r="H638">
        <v>1349.5418701000001</v>
      </c>
      <c r="I638">
        <v>1311.3225098</v>
      </c>
      <c r="J638">
        <v>1302.3222656</v>
      </c>
      <c r="K638">
        <v>1100</v>
      </c>
      <c r="L638">
        <v>0</v>
      </c>
      <c r="M638">
        <v>0</v>
      </c>
      <c r="N638">
        <v>1100</v>
      </c>
    </row>
    <row r="639" spans="1:14" x14ac:dyDescent="0.25">
      <c r="A639">
        <v>422.14095200000003</v>
      </c>
      <c r="B639" s="1">
        <f>DATE(2011,6,27) + TIME(3,22,58)</f>
        <v>40721.140949074077</v>
      </c>
      <c r="C639">
        <v>80</v>
      </c>
      <c r="D639">
        <v>79.878890991000006</v>
      </c>
      <c r="E639">
        <v>50</v>
      </c>
      <c r="F639">
        <v>44.402217864999997</v>
      </c>
      <c r="G639">
        <v>1356.7896728999999</v>
      </c>
      <c r="H639">
        <v>1349.5144043</v>
      </c>
      <c r="I639">
        <v>1311.2904053</v>
      </c>
      <c r="J639">
        <v>1302.2705077999999</v>
      </c>
      <c r="K639">
        <v>1100</v>
      </c>
      <c r="L639">
        <v>0</v>
      </c>
      <c r="M639">
        <v>0</v>
      </c>
      <c r="N639">
        <v>1100</v>
      </c>
    </row>
    <row r="640" spans="1:14" x14ac:dyDescent="0.25">
      <c r="A640">
        <v>423.37419699999998</v>
      </c>
      <c r="B640" s="1">
        <f>DATE(2011,6,28) + TIME(8,58,50)</f>
        <v>40722.374189814815</v>
      </c>
      <c r="C640">
        <v>80</v>
      </c>
      <c r="D640">
        <v>79.878921508999994</v>
      </c>
      <c r="E640">
        <v>50</v>
      </c>
      <c r="F640">
        <v>44.300064087000003</v>
      </c>
      <c r="G640">
        <v>1356.7543945</v>
      </c>
      <c r="H640">
        <v>1349.4870605000001</v>
      </c>
      <c r="I640">
        <v>1311.2573242000001</v>
      </c>
      <c r="J640">
        <v>1302.2170410000001</v>
      </c>
      <c r="K640">
        <v>1100</v>
      </c>
      <c r="L640">
        <v>0</v>
      </c>
      <c r="M640">
        <v>0</v>
      </c>
      <c r="N640">
        <v>1100</v>
      </c>
    </row>
    <row r="641" spans="1:14" x14ac:dyDescent="0.25">
      <c r="A641">
        <v>424.618629</v>
      </c>
      <c r="B641" s="1">
        <f>DATE(2011,6,29) + TIME(14,50,49)</f>
        <v>40723.618622685186</v>
      </c>
      <c r="C641">
        <v>80</v>
      </c>
      <c r="D641">
        <v>79.878959656000006</v>
      </c>
      <c r="E641">
        <v>50</v>
      </c>
      <c r="F641">
        <v>44.196662903000004</v>
      </c>
      <c r="G641">
        <v>1356.7188721</v>
      </c>
      <c r="H641">
        <v>1349.4595947</v>
      </c>
      <c r="I641">
        <v>1311.2231445</v>
      </c>
      <c r="J641">
        <v>1302.1618652</v>
      </c>
      <c r="K641">
        <v>1100</v>
      </c>
      <c r="L641">
        <v>0</v>
      </c>
      <c r="M641">
        <v>0</v>
      </c>
      <c r="N641">
        <v>1100</v>
      </c>
    </row>
    <row r="642" spans="1:14" x14ac:dyDescent="0.25">
      <c r="A642">
        <v>425.876351</v>
      </c>
      <c r="B642" s="1">
        <f>DATE(2011,6,30) + TIME(21,1,56)</f>
        <v>40724.876342592594</v>
      </c>
      <c r="C642">
        <v>80</v>
      </c>
      <c r="D642">
        <v>79.878990173000005</v>
      </c>
      <c r="E642">
        <v>50</v>
      </c>
      <c r="F642">
        <v>44.091979979999998</v>
      </c>
      <c r="G642">
        <v>1356.6837158000001</v>
      </c>
      <c r="H642">
        <v>1349.432251</v>
      </c>
      <c r="I642">
        <v>1311.1883545000001</v>
      </c>
      <c r="J642">
        <v>1302.1052245999999</v>
      </c>
      <c r="K642">
        <v>1100</v>
      </c>
      <c r="L642">
        <v>0</v>
      </c>
      <c r="M642">
        <v>0</v>
      </c>
      <c r="N642">
        <v>1100</v>
      </c>
    </row>
    <row r="643" spans="1:14" x14ac:dyDescent="0.25">
      <c r="A643">
        <v>426</v>
      </c>
      <c r="B643" s="1">
        <f>DATE(2011,7,1) + TIME(0,0,0)</f>
        <v>40725</v>
      </c>
      <c r="C643">
        <v>80</v>
      </c>
      <c r="D643">
        <v>79.878982543999996</v>
      </c>
      <c r="E643">
        <v>50</v>
      </c>
      <c r="F643">
        <v>44.075984955000003</v>
      </c>
      <c r="G643">
        <v>1356.6490478999999</v>
      </c>
      <c r="H643">
        <v>1349.4055175999999</v>
      </c>
      <c r="I643">
        <v>1311.1542969</v>
      </c>
      <c r="J643">
        <v>1302.0629882999999</v>
      </c>
      <c r="K643">
        <v>1100</v>
      </c>
      <c r="L643">
        <v>0</v>
      </c>
      <c r="M643">
        <v>0</v>
      </c>
      <c r="N643">
        <v>1100</v>
      </c>
    </row>
    <row r="644" spans="1:14" x14ac:dyDescent="0.25">
      <c r="A644">
        <v>427.27382999999998</v>
      </c>
      <c r="B644" s="1">
        <f>DATE(2011,7,2) + TIME(6,34,18)</f>
        <v>40726.273819444446</v>
      </c>
      <c r="C644">
        <v>80</v>
      </c>
      <c r="D644">
        <v>79.879028320000003</v>
      </c>
      <c r="E644">
        <v>50</v>
      </c>
      <c r="F644">
        <v>43.972076416</v>
      </c>
      <c r="G644">
        <v>1356.6451416</v>
      </c>
      <c r="H644">
        <v>1349.4023437999999</v>
      </c>
      <c r="I644">
        <v>1311.1488036999999</v>
      </c>
      <c r="J644">
        <v>1302.0401611</v>
      </c>
      <c r="K644">
        <v>1100</v>
      </c>
      <c r="L644">
        <v>0</v>
      </c>
      <c r="M644">
        <v>0</v>
      </c>
      <c r="N644">
        <v>1100</v>
      </c>
    </row>
    <row r="645" spans="1:14" x14ac:dyDescent="0.25">
      <c r="A645">
        <v>428.568714</v>
      </c>
      <c r="B645" s="1">
        <f>DATE(2011,7,3) + TIME(13,38,56)</f>
        <v>40727.568703703706</v>
      </c>
      <c r="C645">
        <v>80</v>
      </c>
      <c r="D645">
        <v>79.879074097</v>
      </c>
      <c r="E645">
        <v>50</v>
      </c>
      <c r="F645">
        <v>43.865623474000003</v>
      </c>
      <c r="G645">
        <v>1356.6104736</v>
      </c>
      <c r="H645">
        <v>1349.3754882999999</v>
      </c>
      <c r="I645">
        <v>1311.1125488</v>
      </c>
      <c r="J645">
        <v>1301.9808350000001</v>
      </c>
      <c r="K645">
        <v>1100</v>
      </c>
      <c r="L645">
        <v>0</v>
      </c>
      <c r="M645">
        <v>0</v>
      </c>
      <c r="N645">
        <v>1100</v>
      </c>
    </row>
    <row r="646" spans="1:14" x14ac:dyDescent="0.25">
      <c r="A646">
        <v>429.88604299999997</v>
      </c>
      <c r="B646" s="1">
        <f>DATE(2011,7,4) + TIME(21,15,54)</f>
        <v>40728.886041666665</v>
      </c>
      <c r="C646">
        <v>80</v>
      </c>
      <c r="D646">
        <v>79.879112243999998</v>
      </c>
      <c r="E646">
        <v>50</v>
      </c>
      <c r="F646">
        <v>43.756797790999997</v>
      </c>
      <c r="G646">
        <v>1356.5755615</v>
      </c>
      <c r="H646">
        <v>1349.3483887</v>
      </c>
      <c r="I646">
        <v>1311.0753173999999</v>
      </c>
      <c r="J646">
        <v>1301.9195557</v>
      </c>
      <c r="K646">
        <v>1100</v>
      </c>
      <c r="L646">
        <v>0</v>
      </c>
      <c r="M646">
        <v>0</v>
      </c>
      <c r="N646">
        <v>1100</v>
      </c>
    </row>
    <row r="647" spans="1:14" x14ac:dyDescent="0.25">
      <c r="A647">
        <v>431.22931499999999</v>
      </c>
      <c r="B647" s="1">
        <f>DATE(2011,7,6) + TIME(5,30,12)</f>
        <v>40730.229305555556</v>
      </c>
      <c r="C647">
        <v>80</v>
      </c>
      <c r="D647">
        <v>79.879158020000006</v>
      </c>
      <c r="E647">
        <v>50</v>
      </c>
      <c r="F647">
        <v>43.645553589000002</v>
      </c>
      <c r="G647">
        <v>1356.5406493999999</v>
      </c>
      <c r="H647">
        <v>1349.3212891000001</v>
      </c>
      <c r="I647">
        <v>1311.0368652</v>
      </c>
      <c r="J647">
        <v>1301.8560791</v>
      </c>
      <c r="K647">
        <v>1100</v>
      </c>
      <c r="L647">
        <v>0</v>
      </c>
      <c r="M647">
        <v>0</v>
      </c>
      <c r="N647">
        <v>1100</v>
      </c>
    </row>
    <row r="648" spans="1:14" x14ac:dyDescent="0.25">
      <c r="A648">
        <v>432.60227700000002</v>
      </c>
      <c r="B648" s="1">
        <f>DATE(2011,7,7) + TIME(14,27,16)</f>
        <v>40731.602268518516</v>
      </c>
      <c r="C648">
        <v>80</v>
      </c>
      <c r="D648">
        <v>79.879211425999998</v>
      </c>
      <c r="E648">
        <v>50</v>
      </c>
      <c r="F648">
        <v>43.531738281000003</v>
      </c>
      <c r="G648">
        <v>1356.5056152</v>
      </c>
      <c r="H648">
        <v>1349.2939452999999</v>
      </c>
      <c r="I648">
        <v>1310.9973144999999</v>
      </c>
      <c r="J648">
        <v>1301.7905272999999</v>
      </c>
      <c r="K648">
        <v>1100</v>
      </c>
      <c r="L648">
        <v>0</v>
      </c>
      <c r="M648">
        <v>0</v>
      </c>
      <c r="N648">
        <v>1100</v>
      </c>
    </row>
    <row r="649" spans="1:14" x14ac:dyDescent="0.25">
      <c r="A649">
        <v>434.00869699999998</v>
      </c>
      <c r="B649" s="1">
        <f>DATE(2011,7,9) + TIME(0,12,31)</f>
        <v>40733.008692129632</v>
      </c>
      <c r="C649">
        <v>80</v>
      </c>
      <c r="D649">
        <v>79.879264832000004</v>
      </c>
      <c r="E649">
        <v>50</v>
      </c>
      <c r="F649">
        <v>43.415130615000002</v>
      </c>
      <c r="G649">
        <v>1356.4703368999999</v>
      </c>
      <c r="H649">
        <v>1349.2664795000001</v>
      </c>
      <c r="I649">
        <v>1310.956543</v>
      </c>
      <c r="J649">
        <v>1301.7225341999999</v>
      </c>
      <c r="K649">
        <v>1100</v>
      </c>
      <c r="L649">
        <v>0</v>
      </c>
      <c r="M649">
        <v>0</v>
      </c>
      <c r="N649">
        <v>1100</v>
      </c>
    </row>
    <row r="650" spans="1:14" x14ac:dyDescent="0.25">
      <c r="A650">
        <v>435.42577199999999</v>
      </c>
      <c r="B650" s="1">
        <f>DATE(2011,7,10) + TIME(10,13,6)</f>
        <v>40734.425763888888</v>
      </c>
      <c r="C650">
        <v>80</v>
      </c>
      <c r="D650">
        <v>79.879318237000007</v>
      </c>
      <c r="E650">
        <v>50</v>
      </c>
      <c r="F650">
        <v>43.296749114999997</v>
      </c>
      <c r="G650">
        <v>1356.4346923999999</v>
      </c>
      <c r="H650">
        <v>1349.2387695</v>
      </c>
      <c r="I650">
        <v>1310.9145507999999</v>
      </c>
      <c r="J650">
        <v>1301.6523437999999</v>
      </c>
      <c r="K650">
        <v>1100</v>
      </c>
      <c r="L650">
        <v>0</v>
      </c>
      <c r="M650">
        <v>0</v>
      </c>
      <c r="N650">
        <v>1100</v>
      </c>
    </row>
    <row r="651" spans="1:14" x14ac:dyDescent="0.25">
      <c r="A651">
        <v>436.85685599999999</v>
      </c>
      <c r="B651" s="1">
        <f>DATE(2011,7,11) + TIME(20,33,52)</f>
        <v>40735.856851851851</v>
      </c>
      <c r="C651">
        <v>80</v>
      </c>
      <c r="D651">
        <v>79.879371642999999</v>
      </c>
      <c r="E651">
        <v>50</v>
      </c>
      <c r="F651">
        <v>43.176734924000002</v>
      </c>
      <c r="G651">
        <v>1356.3992920000001</v>
      </c>
      <c r="H651">
        <v>1349.2111815999999</v>
      </c>
      <c r="I651">
        <v>1310.8717041</v>
      </c>
      <c r="J651">
        <v>1301.5804443</v>
      </c>
      <c r="K651">
        <v>1100</v>
      </c>
      <c r="L651">
        <v>0</v>
      </c>
      <c r="M651">
        <v>0</v>
      </c>
      <c r="N651">
        <v>1100</v>
      </c>
    </row>
    <row r="652" spans="1:14" x14ac:dyDescent="0.25">
      <c r="A652">
        <v>438.30554100000001</v>
      </c>
      <c r="B652" s="1">
        <f>DATE(2011,7,13) + TIME(7,19,58)</f>
        <v>40737.305532407408</v>
      </c>
      <c r="C652">
        <v>80</v>
      </c>
      <c r="D652">
        <v>79.879432678000001</v>
      </c>
      <c r="E652">
        <v>50</v>
      </c>
      <c r="F652">
        <v>43.055053710999999</v>
      </c>
      <c r="G652">
        <v>1356.3641356999999</v>
      </c>
      <c r="H652">
        <v>1349.1837158000001</v>
      </c>
      <c r="I652">
        <v>1310.828125</v>
      </c>
      <c r="J652">
        <v>1301.5069579999999</v>
      </c>
      <c r="K652">
        <v>1100</v>
      </c>
      <c r="L652">
        <v>0</v>
      </c>
      <c r="M652">
        <v>0</v>
      </c>
      <c r="N652">
        <v>1100</v>
      </c>
    </row>
    <row r="653" spans="1:14" x14ac:dyDescent="0.25">
      <c r="A653">
        <v>439.77561100000003</v>
      </c>
      <c r="B653" s="1">
        <f>DATE(2011,7,14) + TIME(18,36,52)</f>
        <v>40738.775601851848</v>
      </c>
      <c r="C653">
        <v>80</v>
      </c>
      <c r="D653">
        <v>79.879493713000002</v>
      </c>
      <c r="E653">
        <v>50</v>
      </c>
      <c r="F653">
        <v>42.931549072000003</v>
      </c>
      <c r="G653">
        <v>1356.3291016000001</v>
      </c>
      <c r="H653">
        <v>1349.1563721</v>
      </c>
      <c r="I653">
        <v>1310.7838135</v>
      </c>
      <c r="J653">
        <v>1301.4316406</v>
      </c>
      <c r="K653">
        <v>1100</v>
      </c>
      <c r="L653">
        <v>0</v>
      </c>
      <c r="M653">
        <v>0</v>
      </c>
      <c r="N653">
        <v>1100</v>
      </c>
    </row>
    <row r="654" spans="1:14" x14ac:dyDescent="0.25">
      <c r="A654">
        <v>441.270984</v>
      </c>
      <c r="B654" s="1">
        <f>DATE(2011,7,16) + TIME(6,30,13)</f>
        <v>40740.270983796298</v>
      </c>
      <c r="C654">
        <v>80</v>
      </c>
      <c r="D654">
        <v>79.879554748999993</v>
      </c>
      <c r="E654">
        <v>50</v>
      </c>
      <c r="F654">
        <v>42.806018829000003</v>
      </c>
      <c r="G654">
        <v>1356.2939452999999</v>
      </c>
      <c r="H654">
        <v>1349.1289062000001</v>
      </c>
      <c r="I654">
        <v>1310.7385254000001</v>
      </c>
      <c r="J654">
        <v>1301.3543701000001</v>
      </c>
      <c r="K654">
        <v>1100</v>
      </c>
      <c r="L654">
        <v>0</v>
      </c>
      <c r="M654">
        <v>0</v>
      </c>
      <c r="N654">
        <v>1100</v>
      </c>
    </row>
    <row r="655" spans="1:14" x14ac:dyDescent="0.25">
      <c r="A655">
        <v>442.795816</v>
      </c>
      <c r="B655" s="1">
        <f>DATE(2011,7,17) + TIME(19,5,58)</f>
        <v>40741.795810185184</v>
      </c>
      <c r="C655">
        <v>80</v>
      </c>
      <c r="D655">
        <v>79.879623413000004</v>
      </c>
      <c r="E655">
        <v>50</v>
      </c>
      <c r="F655">
        <v>42.678207397000001</v>
      </c>
      <c r="G655">
        <v>1356.2587891000001</v>
      </c>
      <c r="H655">
        <v>1349.1014404</v>
      </c>
      <c r="I655">
        <v>1310.6921387</v>
      </c>
      <c r="J655">
        <v>1301.2750243999999</v>
      </c>
      <c r="K655">
        <v>1100</v>
      </c>
      <c r="L655">
        <v>0</v>
      </c>
      <c r="M655">
        <v>0</v>
      </c>
      <c r="N655">
        <v>1100</v>
      </c>
    </row>
    <row r="656" spans="1:14" x14ac:dyDescent="0.25">
      <c r="A656">
        <v>444.33908400000001</v>
      </c>
      <c r="B656" s="1">
        <f>DATE(2011,7,19) + TIME(8,8,16)</f>
        <v>40743.339074074072</v>
      </c>
      <c r="C656">
        <v>80</v>
      </c>
      <c r="D656">
        <v>79.879692078000005</v>
      </c>
      <c r="E656">
        <v>50</v>
      </c>
      <c r="F656">
        <v>42.548553466999998</v>
      </c>
      <c r="G656">
        <v>1356.2233887</v>
      </c>
      <c r="H656">
        <v>1349.0736084</v>
      </c>
      <c r="I656">
        <v>1310.6447754000001</v>
      </c>
      <c r="J656">
        <v>1301.1936035000001</v>
      </c>
      <c r="K656">
        <v>1100</v>
      </c>
      <c r="L656">
        <v>0</v>
      </c>
      <c r="M656">
        <v>0</v>
      </c>
      <c r="N656">
        <v>1100</v>
      </c>
    </row>
    <row r="657" spans="1:14" x14ac:dyDescent="0.25">
      <c r="A657">
        <v>445.8997</v>
      </c>
      <c r="B657" s="1">
        <f>DATE(2011,7,20) + TIME(21,35,34)</f>
        <v>40744.899699074071</v>
      </c>
      <c r="C657">
        <v>80</v>
      </c>
      <c r="D657">
        <v>79.879768372000001</v>
      </c>
      <c r="E657">
        <v>50</v>
      </c>
      <c r="F657">
        <v>42.417278289999999</v>
      </c>
      <c r="G657">
        <v>1356.1881103999999</v>
      </c>
      <c r="H657">
        <v>1349.0460204999999</v>
      </c>
      <c r="I657">
        <v>1310.5966797000001</v>
      </c>
      <c r="J657">
        <v>1301.1103516000001</v>
      </c>
      <c r="K657">
        <v>1100</v>
      </c>
      <c r="L657">
        <v>0</v>
      </c>
      <c r="M657">
        <v>0</v>
      </c>
      <c r="N657">
        <v>1100</v>
      </c>
    </row>
    <row r="658" spans="1:14" x14ac:dyDescent="0.25">
      <c r="A658">
        <v>447.48134299999998</v>
      </c>
      <c r="B658" s="1">
        <f>DATE(2011,7,22) + TIME(11,33,8)</f>
        <v>40746.481342592589</v>
      </c>
      <c r="C658">
        <v>80</v>
      </c>
      <c r="D658">
        <v>79.879837035999998</v>
      </c>
      <c r="E658">
        <v>50</v>
      </c>
      <c r="F658">
        <v>42.284358978</v>
      </c>
      <c r="G658">
        <v>1356.152832</v>
      </c>
      <c r="H658">
        <v>1349.0183105000001</v>
      </c>
      <c r="I658">
        <v>1310.5478516000001</v>
      </c>
      <c r="J658">
        <v>1301.0253906</v>
      </c>
      <c r="K658">
        <v>1100</v>
      </c>
      <c r="L658">
        <v>0</v>
      </c>
      <c r="M658">
        <v>0</v>
      </c>
      <c r="N658">
        <v>1100</v>
      </c>
    </row>
    <row r="659" spans="1:14" x14ac:dyDescent="0.25">
      <c r="A659">
        <v>449.08779299999998</v>
      </c>
      <c r="B659" s="1">
        <f>DATE(2011,7,24) + TIME(2,6,25)</f>
        <v>40748.087789351855</v>
      </c>
      <c r="C659">
        <v>80</v>
      </c>
      <c r="D659">
        <v>79.879920959000003</v>
      </c>
      <c r="E659">
        <v>50</v>
      </c>
      <c r="F659">
        <v>42.149696349999999</v>
      </c>
      <c r="G659">
        <v>1356.1176757999999</v>
      </c>
      <c r="H659">
        <v>1348.9906006000001</v>
      </c>
      <c r="I659">
        <v>1310.4982910000001</v>
      </c>
      <c r="J659">
        <v>1300.9385986</v>
      </c>
      <c r="K659">
        <v>1100</v>
      </c>
      <c r="L659">
        <v>0</v>
      </c>
      <c r="M659">
        <v>0</v>
      </c>
      <c r="N659">
        <v>1100</v>
      </c>
    </row>
    <row r="660" spans="1:14" x14ac:dyDescent="0.25">
      <c r="A660">
        <v>450.72335800000002</v>
      </c>
      <c r="B660" s="1">
        <f>DATE(2011,7,25) + TIME(17,21,38)</f>
        <v>40749.723356481481</v>
      </c>
      <c r="C660">
        <v>80</v>
      </c>
      <c r="D660">
        <v>79.879997252999999</v>
      </c>
      <c r="E660">
        <v>50</v>
      </c>
      <c r="F660">
        <v>42.013130187999998</v>
      </c>
      <c r="G660">
        <v>1356.0822754000001</v>
      </c>
      <c r="H660">
        <v>1348.9627685999999</v>
      </c>
      <c r="I660">
        <v>1310.4479980000001</v>
      </c>
      <c r="J660">
        <v>1300.8498535000001</v>
      </c>
      <c r="K660">
        <v>1100</v>
      </c>
      <c r="L660">
        <v>0</v>
      </c>
      <c r="M660">
        <v>0</v>
      </c>
      <c r="N660">
        <v>1100</v>
      </c>
    </row>
    <row r="661" spans="1:14" x14ac:dyDescent="0.25">
      <c r="A661">
        <v>452.39224200000001</v>
      </c>
      <c r="B661" s="1">
        <f>DATE(2011,7,27) + TIME(9,24,49)</f>
        <v>40751.392233796294</v>
      </c>
      <c r="C661">
        <v>80</v>
      </c>
      <c r="D661">
        <v>79.880081176999994</v>
      </c>
      <c r="E661">
        <v>50</v>
      </c>
      <c r="F661">
        <v>41.874492644999997</v>
      </c>
      <c r="G661">
        <v>1356.046875</v>
      </c>
      <c r="H661">
        <v>1348.9348144999999</v>
      </c>
      <c r="I661">
        <v>1310.3967285000001</v>
      </c>
      <c r="J661">
        <v>1300.7591553</v>
      </c>
      <c r="K661">
        <v>1100</v>
      </c>
      <c r="L661">
        <v>0</v>
      </c>
      <c r="M661">
        <v>0</v>
      </c>
      <c r="N661">
        <v>1100</v>
      </c>
    </row>
    <row r="662" spans="1:14" x14ac:dyDescent="0.25">
      <c r="A662">
        <v>454.07902000000001</v>
      </c>
      <c r="B662" s="1">
        <f>DATE(2011,7,29) + TIME(1,53,47)</f>
        <v>40753.079016203701</v>
      </c>
      <c r="C662">
        <v>80</v>
      </c>
      <c r="D662">
        <v>79.880172728999995</v>
      </c>
      <c r="E662">
        <v>50</v>
      </c>
      <c r="F662">
        <v>41.734481811999999</v>
      </c>
      <c r="G662">
        <v>1356.0111084</v>
      </c>
      <c r="H662">
        <v>1348.9066161999999</v>
      </c>
      <c r="I662">
        <v>1310.3446045000001</v>
      </c>
      <c r="J662">
        <v>1300.6662598</v>
      </c>
      <c r="K662">
        <v>1100</v>
      </c>
      <c r="L662">
        <v>0</v>
      </c>
      <c r="M662">
        <v>0</v>
      </c>
      <c r="N662">
        <v>1100</v>
      </c>
    </row>
    <row r="663" spans="1:14" x14ac:dyDescent="0.25">
      <c r="A663">
        <v>455.78646199999997</v>
      </c>
      <c r="B663" s="1">
        <f>DATE(2011,7,30) + TIME(18,52,30)</f>
        <v>40754.786458333336</v>
      </c>
      <c r="C663">
        <v>80</v>
      </c>
      <c r="D663">
        <v>79.880256653000004</v>
      </c>
      <c r="E663">
        <v>50</v>
      </c>
      <c r="F663">
        <v>41.593368529999999</v>
      </c>
      <c r="G663">
        <v>1355.9754639</v>
      </c>
      <c r="H663">
        <v>1348.8785399999999</v>
      </c>
      <c r="I663">
        <v>1310.2921143000001</v>
      </c>
      <c r="J663">
        <v>1300.5720214999999</v>
      </c>
      <c r="K663">
        <v>1100</v>
      </c>
      <c r="L663">
        <v>0</v>
      </c>
      <c r="M663">
        <v>0</v>
      </c>
      <c r="N663">
        <v>1100</v>
      </c>
    </row>
    <row r="664" spans="1:14" x14ac:dyDescent="0.25">
      <c r="A664">
        <v>457</v>
      </c>
      <c r="B664" s="1">
        <f>DATE(2011,8,1) + TIME(0,0,0)</f>
        <v>40756</v>
      </c>
      <c r="C664">
        <v>80</v>
      </c>
      <c r="D664">
        <v>79.880302428999997</v>
      </c>
      <c r="E664">
        <v>50</v>
      </c>
      <c r="F664">
        <v>41.477329253999997</v>
      </c>
      <c r="G664">
        <v>1355.9395752</v>
      </c>
      <c r="H664">
        <v>1348.8500977000001</v>
      </c>
      <c r="I664">
        <v>1310.2402344</v>
      </c>
      <c r="J664">
        <v>1300.4825439000001</v>
      </c>
      <c r="K664">
        <v>1100</v>
      </c>
      <c r="L664">
        <v>0</v>
      </c>
      <c r="M664">
        <v>0</v>
      </c>
      <c r="N664">
        <v>1100</v>
      </c>
    </row>
    <row r="665" spans="1:14" x14ac:dyDescent="0.25">
      <c r="A665">
        <v>458.726945</v>
      </c>
      <c r="B665" s="1">
        <f>DATE(2011,8,2) + TIME(17,26,48)</f>
        <v>40757.726944444446</v>
      </c>
      <c r="C665">
        <v>80</v>
      </c>
      <c r="D665">
        <v>79.880409240999995</v>
      </c>
      <c r="E665">
        <v>50</v>
      </c>
      <c r="F665">
        <v>41.343395233000003</v>
      </c>
      <c r="G665">
        <v>1355.9146728999999</v>
      </c>
      <c r="H665">
        <v>1348.8303223</v>
      </c>
      <c r="I665">
        <v>1310.2000731999999</v>
      </c>
      <c r="J665">
        <v>1300.4040527</v>
      </c>
      <c r="K665">
        <v>1100</v>
      </c>
      <c r="L665">
        <v>0</v>
      </c>
      <c r="M665">
        <v>0</v>
      </c>
      <c r="N665">
        <v>1100</v>
      </c>
    </row>
    <row r="666" spans="1:14" x14ac:dyDescent="0.25">
      <c r="A666">
        <v>460.49253399999998</v>
      </c>
      <c r="B666" s="1">
        <f>DATE(2011,8,4) + TIME(11,49,14)</f>
        <v>40759.492523148147</v>
      </c>
      <c r="C666">
        <v>80</v>
      </c>
      <c r="D666">
        <v>79.880508422999995</v>
      </c>
      <c r="E666">
        <v>50</v>
      </c>
      <c r="F666">
        <v>41.205013274999999</v>
      </c>
      <c r="G666">
        <v>1355.8793945</v>
      </c>
      <c r="H666">
        <v>1348.8023682</v>
      </c>
      <c r="I666">
        <v>1310.1478271000001</v>
      </c>
      <c r="J666">
        <v>1300.3088379000001</v>
      </c>
      <c r="K666">
        <v>1100</v>
      </c>
      <c r="L666">
        <v>0</v>
      </c>
      <c r="M666">
        <v>0</v>
      </c>
      <c r="N666">
        <v>1100</v>
      </c>
    </row>
    <row r="667" spans="1:14" x14ac:dyDescent="0.25">
      <c r="A667">
        <v>462.27632</v>
      </c>
      <c r="B667" s="1">
        <f>DATE(2011,8,6) + TIME(6,37,54)</f>
        <v>40761.276319444441</v>
      </c>
      <c r="C667">
        <v>80</v>
      </c>
      <c r="D667">
        <v>79.880607604999994</v>
      </c>
      <c r="E667">
        <v>50</v>
      </c>
      <c r="F667">
        <v>41.064586638999998</v>
      </c>
      <c r="G667">
        <v>1355.84375</v>
      </c>
      <c r="H667">
        <v>1348.7739257999999</v>
      </c>
      <c r="I667">
        <v>1310.0944824000001</v>
      </c>
      <c r="J667">
        <v>1300.2109375</v>
      </c>
      <c r="K667">
        <v>1100</v>
      </c>
      <c r="L667">
        <v>0</v>
      </c>
      <c r="M667">
        <v>0</v>
      </c>
      <c r="N667">
        <v>1100</v>
      </c>
    </row>
    <row r="668" spans="1:14" x14ac:dyDescent="0.25">
      <c r="A668">
        <v>464.08201400000002</v>
      </c>
      <c r="B668" s="1">
        <f>DATE(2011,8,8) + TIME(1,58,6)</f>
        <v>40763.082013888888</v>
      </c>
      <c r="C668">
        <v>80</v>
      </c>
      <c r="D668">
        <v>79.880706786999994</v>
      </c>
      <c r="E668">
        <v>50</v>
      </c>
      <c r="F668">
        <v>40.923397064</v>
      </c>
      <c r="G668">
        <v>1355.8081055</v>
      </c>
      <c r="H668">
        <v>1348.7456055</v>
      </c>
      <c r="I668">
        <v>1310.0408935999999</v>
      </c>
      <c r="J668">
        <v>1300.1115723</v>
      </c>
      <c r="K668">
        <v>1100</v>
      </c>
      <c r="L668">
        <v>0</v>
      </c>
      <c r="M668">
        <v>0</v>
      </c>
      <c r="N668">
        <v>1100</v>
      </c>
    </row>
    <row r="669" spans="1:14" x14ac:dyDescent="0.25">
      <c r="A669">
        <v>465.914063</v>
      </c>
      <c r="B669" s="1">
        <f>DATE(2011,8,9) + TIME(21,56,15)</f>
        <v>40764.9140625</v>
      </c>
      <c r="C669">
        <v>80</v>
      </c>
      <c r="D669">
        <v>79.880813599000007</v>
      </c>
      <c r="E669">
        <v>50</v>
      </c>
      <c r="F669">
        <v>40.782180785999998</v>
      </c>
      <c r="G669">
        <v>1355.7724608999999</v>
      </c>
      <c r="H669">
        <v>1348.7170410000001</v>
      </c>
      <c r="I669">
        <v>1309.9871826000001</v>
      </c>
      <c r="J669">
        <v>1300.0111084</v>
      </c>
      <c r="K669">
        <v>1100</v>
      </c>
      <c r="L669">
        <v>0</v>
      </c>
      <c r="M669">
        <v>0</v>
      </c>
      <c r="N669">
        <v>1100</v>
      </c>
    </row>
    <row r="670" spans="1:14" x14ac:dyDescent="0.25">
      <c r="A670">
        <v>467.777196</v>
      </c>
      <c r="B670" s="1">
        <f>DATE(2011,8,11) + TIME(18,39,9)</f>
        <v>40766.777187500003</v>
      </c>
      <c r="C670">
        <v>80</v>
      </c>
      <c r="D670">
        <v>79.880920410000002</v>
      </c>
      <c r="E670">
        <v>50</v>
      </c>
      <c r="F670">
        <v>40.641410827999998</v>
      </c>
      <c r="G670">
        <v>1355.7365723</v>
      </c>
      <c r="H670">
        <v>1348.6883545000001</v>
      </c>
      <c r="I670">
        <v>1309.9334716999999</v>
      </c>
      <c r="J670">
        <v>1299.909668</v>
      </c>
      <c r="K670">
        <v>1100</v>
      </c>
      <c r="L670">
        <v>0</v>
      </c>
      <c r="M670">
        <v>0</v>
      </c>
      <c r="N670">
        <v>1100</v>
      </c>
    </row>
    <row r="671" spans="1:14" x14ac:dyDescent="0.25">
      <c r="A671">
        <v>469.676582</v>
      </c>
      <c r="B671" s="1">
        <f>DATE(2011,8,13) + TIME(16,14,16)</f>
        <v>40768.676574074074</v>
      </c>
      <c r="C671">
        <v>80</v>
      </c>
      <c r="D671">
        <v>79.881034850999995</v>
      </c>
      <c r="E671">
        <v>50</v>
      </c>
      <c r="F671">
        <v>40.501461028999998</v>
      </c>
      <c r="G671">
        <v>1355.7005615</v>
      </c>
      <c r="H671">
        <v>1348.6595459</v>
      </c>
      <c r="I671">
        <v>1309.8796387</v>
      </c>
      <c r="J671">
        <v>1299.8071289</v>
      </c>
      <c r="K671">
        <v>1100</v>
      </c>
      <c r="L671">
        <v>0</v>
      </c>
      <c r="M671">
        <v>0</v>
      </c>
      <c r="N671">
        <v>1100</v>
      </c>
    </row>
    <row r="672" spans="1:14" x14ac:dyDescent="0.25">
      <c r="A672">
        <v>471.58925199999999</v>
      </c>
      <c r="B672" s="1">
        <f>DATE(2011,8,15) + TIME(14,8,31)</f>
        <v>40770.589247685188</v>
      </c>
      <c r="C672">
        <v>80</v>
      </c>
      <c r="D672">
        <v>79.881149292000003</v>
      </c>
      <c r="E672">
        <v>50</v>
      </c>
      <c r="F672">
        <v>40.363739013999997</v>
      </c>
      <c r="G672">
        <v>1355.6641846</v>
      </c>
      <c r="H672">
        <v>1348.6303711</v>
      </c>
      <c r="I672">
        <v>1309.8258057</v>
      </c>
      <c r="J672">
        <v>1299.7039795000001</v>
      </c>
      <c r="K672">
        <v>1100</v>
      </c>
      <c r="L672">
        <v>0</v>
      </c>
      <c r="M672">
        <v>0</v>
      </c>
      <c r="N672">
        <v>1100</v>
      </c>
    </row>
    <row r="673" spans="1:14" x14ac:dyDescent="0.25">
      <c r="A673">
        <v>473.51903399999998</v>
      </c>
      <c r="B673" s="1">
        <f>DATE(2011,8,17) + TIME(12,27,24)</f>
        <v>40772.51902777778</v>
      </c>
      <c r="C673">
        <v>80</v>
      </c>
      <c r="D673">
        <v>79.881263732999997</v>
      </c>
      <c r="E673">
        <v>50</v>
      </c>
      <c r="F673">
        <v>40.229141235</v>
      </c>
      <c r="G673">
        <v>1355.6279297000001</v>
      </c>
      <c r="H673">
        <v>1348.6011963000001</v>
      </c>
      <c r="I673">
        <v>1309.7727050999999</v>
      </c>
      <c r="J673">
        <v>1299.6009521000001</v>
      </c>
      <c r="K673">
        <v>1100</v>
      </c>
      <c r="L673">
        <v>0</v>
      </c>
      <c r="M673">
        <v>0</v>
      </c>
      <c r="N673">
        <v>1100</v>
      </c>
    </row>
    <row r="674" spans="1:14" x14ac:dyDescent="0.25">
      <c r="A674">
        <v>475.47071499999998</v>
      </c>
      <c r="B674" s="1">
        <f>DATE(2011,8,19) + TIME(11,17,49)</f>
        <v>40774.470706018517</v>
      </c>
      <c r="C674">
        <v>80</v>
      </c>
      <c r="D674">
        <v>79.881378174000005</v>
      </c>
      <c r="E674">
        <v>50</v>
      </c>
      <c r="F674">
        <v>40.098365784000002</v>
      </c>
      <c r="G674">
        <v>1355.5917969</v>
      </c>
      <c r="H674">
        <v>1348.5720214999999</v>
      </c>
      <c r="I674">
        <v>1309.7203368999999</v>
      </c>
      <c r="J674">
        <v>1299.4984131000001</v>
      </c>
      <c r="K674">
        <v>1100</v>
      </c>
      <c r="L674">
        <v>0</v>
      </c>
      <c r="M674">
        <v>0</v>
      </c>
      <c r="N674">
        <v>1100</v>
      </c>
    </row>
    <row r="675" spans="1:14" x14ac:dyDescent="0.25">
      <c r="A675">
        <v>477.44929200000001</v>
      </c>
      <c r="B675" s="1">
        <f>DATE(2011,8,21) + TIME(10,46,58)</f>
        <v>40776.449282407404</v>
      </c>
      <c r="C675">
        <v>80</v>
      </c>
      <c r="D675">
        <v>79.881500243999994</v>
      </c>
      <c r="E675">
        <v>50</v>
      </c>
      <c r="F675">
        <v>39.971992493000002</v>
      </c>
      <c r="G675">
        <v>1355.5555420000001</v>
      </c>
      <c r="H675">
        <v>1348.5427245999999</v>
      </c>
      <c r="I675">
        <v>1309.6687012</v>
      </c>
      <c r="J675">
        <v>1299.3963623</v>
      </c>
      <c r="K675">
        <v>1100</v>
      </c>
      <c r="L675">
        <v>0</v>
      </c>
      <c r="M675">
        <v>0</v>
      </c>
      <c r="N675">
        <v>1100</v>
      </c>
    </row>
    <row r="676" spans="1:14" x14ac:dyDescent="0.25">
      <c r="A676">
        <v>479.46009400000003</v>
      </c>
      <c r="B676" s="1">
        <f>DATE(2011,8,23) + TIME(11,2,32)</f>
        <v>40778.460092592592</v>
      </c>
      <c r="C676">
        <v>80</v>
      </c>
      <c r="D676">
        <v>79.881622313999998</v>
      </c>
      <c r="E676">
        <v>50</v>
      </c>
      <c r="F676">
        <v>39.850627899000003</v>
      </c>
      <c r="G676">
        <v>1355.5191649999999</v>
      </c>
      <c r="H676">
        <v>1348.5131836</v>
      </c>
      <c r="I676">
        <v>1309.6177978999999</v>
      </c>
      <c r="J676">
        <v>1299.2949219</v>
      </c>
      <c r="K676">
        <v>1100</v>
      </c>
      <c r="L676">
        <v>0</v>
      </c>
      <c r="M676">
        <v>0</v>
      </c>
      <c r="N676">
        <v>1100</v>
      </c>
    </row>
    <row r="677" spans="1:14" x14ac:dyDescent="0.25">
      <c r="A677">
        <v>481.508713</v>
      </c>
      <c r="B677" s="1">
        <f>DATE(2011,8,25) + TIME(12,12,32)</f>
        <v>40780.508703703701</v>
      </c>
      <c r="C677">
        <v>80</v>
      </c>
      <c r="D677">
        <v>79.881752014</v>
      </c>
      <c r="E677">
        <v>50</v>
      </c>
      <c r="F677">
        <v>39.734931946000003</v>
      </c>
      <c r="G677">
        <v>1355.4824219</v>
      </c>
      <c r="H677">
        <v>1348.4833983999999</v>
      </c>
      <c r="I677">
        <v>1309.5678711</v>
      </c>
      <c r="J677">
        <v>1299.1942139</v>
      </c>
      <c r="K677">
        <v>1100</v>
      </c>
      <c r="L677">
        <v>0</v>
      </c>
      <c r="M677">
        <v>0</v>
      </c>
      <c r="N677">
        <v>1100</v>
      </c>
    </row>
    <row r="678" spans="1:14" x14ac:dyDescent="0.25">
      <c r="A678">
        <v>483.57288699999998</v>
      </c>
      <c r="B678" s="1">
        <f>DATE(2011,8,27) + TIME(13,44,57)</f>
        <v>40782.572881944441</v>
      </c>
      <c r="C678">
        <v>80</v>
      </c>
      <c r="D678">
        <v>79.881881714000002</v>
      </c>
      <c r="E678">
        <v>50</v>
      </c>
      <c r="F678">
        <v>39.626419067</v>
      </c>
      <c r="G678">
        <v>1355.4454346</v>
      </c>
      <c r="H678">
        <v>1348.4532471</v>
      </c>
      <c r="I678">
        <v>1309.5187988</v>
      </c>
      <c r="J678">
        <v>1299.0946045000001</v>
      </c>
      <c r="K678">
        <v>1100</v>
      </c>
      <c r="L678">
        <v>0</v>
      </c>
      <c r="M678">
        <v>0</v>
      </c>
      <c r="N678">
        <v>1100</v>
      </c>
    </row>
    <row r="679" spans="1:14" x14ac:dyDescent="0.25">
      <c r="A679">
        <v>485.65778599999999</v>
      </c>
      <c r="B679" s="1">
        <f>DATE(2011,8,29) + TIME(15,47,12)</f>
        <v>40784.657777777778</v>
      </c>
      <c r="C679">
        <v>80</v>
      </c>
      <c r="D679">
        <v>79.882011414000004</v>
      </c>
      <c r="E679">
        <v>50</v>
      </c>
      <c r="F679">
        <v>39.526248932000001</v>
      </c>
      <c r="G679">
        <v>1355.4084473</v>
      </c>
      <c r="H679">
        <v>1348.4230957</v>
      </c>
      <c r="I679">
        <v>1309.4713135</v>
      </c>
      <c r="J679">
        <v>1298.9969481999999</v>
      </c>
      <c r="K679">
        <v>1100</v>
      </c>
      <c r="L679">
        <v>0</v>
      </c>
      <c r="M679">
        <v>0</v>
      </c>
      <c r="N679">
        <v>1100</v>
      </c>
    </row>
    <row r="680" spans="1:14" x14ac:dyDescent="0.25">
      <c r="A680">
        <v>487.76975700000003</v>
      </c>
      <c r="B680" s="1">
        <f>DATE(2011,8,31) + TIME(18,28,26)</f>
        <v>40786.769745370373</v>
      </c>
      <c r="C680">
        <v>80</v>
      </c>
      <c r="D680">
        <v>79.882148743000002</v>
      </c>
      <c r="E680">
        <v>50</v>
      </c>
      <c r="F680">
        <v>39.435440063000001</v>
      </c>
      <c r="G680">
        <v>1355.3714600000001</v>
      </c>
      <c r="H680">
        <v>1348.3928223</v>
      </c>
      <c r="I680">
        <v>1309.4254149999999</v>
      </c>
      <c r="J680">
        <v>1298.9017334</v>
      </c>
      <c r="K680">
        <v>1100</v>
      </c>
      <c r="L680">
        <v>0</v>
      </c>
      <c r="M680">
        <v>0</v>
      </c>
      <c r="N680">
        <v>1100</v>
      </c>
    </row>
    <row r="681" spans="1:14" x14ac:dyDescent="0.25">
      <c r="A681">
        <v>488</v>
      </c>
      <c r="B681" s="1">
        <f>DATE(2011,9,1) + TIME(0,0,0)</f>
        <v>40787</v>
      </c>
      <c r="C681">
        <v>80</v>
      </c>
      <c r="D681">
        <v>79.882141113000003</v>
      </c>
      <c r="E681">
        <v>50</v>
      </c>
      <c r="F681">
        <v>39.418857574</v>
      </c>
      <c r="G681">
        <v>1355.3345947</v>
      </c>
      <c r="H681">
        <v>1348.3626709</v>
      </c>
      <c r="I681">
        <v>1309.3928223</v>
      </c>
      <c r="J681">
        <v>1298.8413086</v>
      </c>
      <c r="K681">
        <v>1100</v>
      </c>
      <c r="L681">
        <v>0</v>
      </c>
      <c r="M681">
        <v>0</v>
      </c>
      <c r="N681">
        <v>1100</v>
      </c>
    </row>
    <row r="682" spans="1:14" x14ac:dyDescent="0.25">
      <c r="A682">
        <v>490.144451</v>
      </c>
      <c r="B682" s="1">
        <f>DATE(2011,9,3) + TIME(3,28,0)</f>
        <v>40789.144444444442</v>
      </c>
      <c r="C682">
        <v>80</v>
      </c>
      <c r="D682">
        <v>79.882293700999995</v>
      </c>
      <c r="E682">
        <v>50</v>
      </c>
      <c r="F682">
        <v>39.344001769999998</v>
      </c>
      <c r="G682">
        <v>1355.3300781</v>
      </c>
      <c r="H682">
        <v>1348.3587646000001</v>
      </c>
      <c r="I682">
        <v>1309.375</v>
      </c>
      <c r="J682">
        <v>1298.7957764</v>
      </c>
      <c r="K682">
        <v>1100</v>
      </c>
      <c r="L682">
        <v>0</v>
      </c>
      <c r="M682">
        <v>0</v>
      </c>
      <c r="N682">
        <v>1100</v>
      </c>
    </row>
    <row r="683" spans="1:14" x14ac:dyDescent="0.25">
      <c r="A683">
        <v>492.33116699999999</v>
      </c>
      <c r="B683" s="1">
        <f>DATE(2011,9,5) + TIME(7,56,52)</f>
        <v>40791.331157407411</v>
      </c>
      <c r="C683">
        <v>80</v>
      </c>
      <c r="D683">
        <v>79.882438660000005</v>
      </c>
      <c r="E683">
        <v>50</v>
      </c>
      <c r="F683">
        <v>39.278545379999997</v>
      </c>
      <c r="G683">
        <v>1355.2927245999999</v>
      </c>
      <c r="H683">
        <v>1348.328125</v>
      </c>
      <c r="I683">
        <v>1309.3334961</v>
      </c>
      <c r="J683">
        <v>1298.7078856999999</v>
      </c>
      <c r="K683">
        <v>1100</v>
      </c>
      <c r="L683">
        <v>0</v>
      </c>
      <c r="M683">
        <v>0</v>
      </c>
      <c r="N683">
        <v>1100</v>
      </c>
    </row>
    <row r="684" spans="1:14" x14ac:dyDescent="0.25">
      <c r="A684">
        <v>494.53364900000003</v>
      </c>
      <c r="B684" s="1">
        <f>DATE(2011,9,7) + TIME(12,48,27)</f>
        <v>40793.533645833333</v>
      </c>
      <c r="C684">
        <v>80</v>
      </c>
      <c r="D684">
        <v>79.882583617999998</v>
      </c>
      <c r="E684">
        <v>50</v>
      </c>
      <c r="F684">
        <v>39.225353241000001</v>
      </c>
      <c r="G684">
        <v>1355.2548827999999</v>
      </c>
      <c r="H684">
        <v>1348.2969971</v>
      </c>
      <c r="I684">
        <v>1309.293457</v>
      </c>
      <c r="J684">
        <v>1298.6220702999999</v>
      </c>
      <c r="K684">
        <v>1100</v>
      </c>
      <c r="L684">
        <v>0</v>
      </c>
      <c r="M684">
        <v>0</v>
      </c>
      <c r="N684">
        <v>1100</v>
      </c>
    </row>
    <row r="685" spans="1:14" x14ac:dyDescent="0.25">
      <c r="A685">
        <v>496.756687</v>
      </c>
      <c r="B685" s="1">
        <f>DATE(2011,9,9) + TIME(18,9,37)</f>
        <v>40795.756678240738</v>
      </c>
      <c r="C685">
        <v>80</v>
      </c>
      <c r="D685">
        <v>79.882728576999995</v>
      </c>
      <c r="E685">
        <v>50</v>
      </c>
      <c r="F685">
        <v>39.186363219999997</v>
      </c>
      <c r="G685">
        <v>1355.2170410000001</v>
      </c>
      <c r="H685">
        <v>1348.2657471</v>
      </c>
      <c r="I685">
        <v>1309.2554932</v>
      </c>
      <c r="J685">
        <v>1298.5399170000001</v>
      </c>
      <c r="K685">
        <v>1100</v>
      </c>
      <c r="L685">
        <v>0</v>
      </c>
      <c r="M685">
        <v>0</v>
      </c>
      <c r="N685">
        <v>1100</v>
      </c>
    </row>
    <row r="686" spans="1:14" x14ac:dyDescent="0.25">
      <c r="A686">
        <v>499.00578000000002</v>
      </c>
      <c r="B686" s="1">
        <f>DATE(2011,9,12) + TIME(0,8,19)</f>
        <v>40798.00577546296</v>
      </c>
      <c r="C686">
        <v>80</v>
      </c>
      <c r="D686">
        <v>79.882881165000001</v>
      </c>
      <c r="E686">
        <v>50</v>
      </c>
      <c r="F686">
        <v>39.163055419999999</v>
      </c>
      <c r="G686">
        <v>1355.1791992000001</v>
      </c>
      <c r="H686">
        <v>1348.234375</v>
      </c>
      <c r="I686">
        <v>1309.2198486</v>
      </c>
      <c r="J686">
        <v>1298.4620361</v>
      </c>
      <c r="K686">
        <v>1100</v>
      </c>
      <c r="L686">
        <v>0</v>
      </c>
      <c r="M686">
        <v>0</v>
      </c>
      <c r="N686">
        <v>1100</v>
      </c>
    </row>
    <row r="687" spans="1:14" x14ac:dyDescent="0.25">
      <c r="A687">
        <v>501.28673099999997</v>
      </c>
      <c r="B687" s="1">
        <f>DATE(2011,9,14) + TIME(6,52,53)</f>
        <v>40800.286724537036</v>
      </c>
      <c r="C687">
        <v>80</v>
      </c>
      <c r="D687">
        <v>79.883033752000003</v>
      </c>
      <c r="E687">
        <v>50</v>
      </c>
      <c r="F687">
        <v>39.156757355000003</v>
      </c>
      <c r="G687">
        <v>1355.1412353999999</v>
      </c>
      <c r="H687">
        <v>1348.2027588000001</v>
      </c>
      <c r="I687">
        <v>1309.1865233999999</v>
      </c>
      <c r="J687">
        <v>1298.3887939000001</v>
      </c>
      <c r="K687">
        <v>1100</v>
      </c>
      <c r="L687">
        <v>0</v>
      </c>
      <c r="M687">
        <v>0</v>
      </c>
      <c r="N687">
        <v>1100</v>
      </c>
    </row>
    <row r="688" spans="1:14" x14ac:dyDescent="0.25">
      <c r="A688">
        <v>503.58367299999998</v>
      </c>
      <c r="B688" s="1">
        <f>DATE(2011,9,16) + TIME(14,0,29)</f>
        <v>40802.583668981482</v>
      </c>
      <c r="C688">
        <v>80</v>
      </c>
      <c r="D688">
        <v>79.883186339999995</v>
      </c>
      <c r="E688">
        <v>50</v>
      </c>
      <c r="F688">
        <v>39.168720245000003</v>
      </c>
      <c r="G688">
        <v>1355.1030272999999</v>
      </c>
      <c r="H688">
        <v>1348.1710204999999</v>
      </c>
      <c r="I688">
        <v>1309.1558838000001</v>
      </c>
      <c r="J688">
        <v>1298.3205565999999</v>
      </c>
      <c r="K688">
        <v>1100</v>
      </c>
      <c r="L688">
        <v>0</v>
      </c>
      <c r="M688">
        <v>0</v>
      </c>
      <c r="N688">
        <v>1100</v>
      </c>
    </row>
    <row r="689" spans="1:14" x14ac:dyDescent="0.25">
      <c r="A689">
        <v>505.89088199999998</v>
      </c>
      <c r="B689" s="1">
        <f>DATE(2011,9,18) + TIME(21,22,52)</f>
        <v>40804.890879629631</v>
      </c>
      <c r="C689">
        <v>80</v>
      </c>
      <c r="D689">
        <v>79.883338928000001</v>
      </c>
      <c r="E689">
        <v>50</v>
      </c>
      <c r="F689">
        <v>39.199810028000002</v>
      </c>
      <c r="G689">
        <v>1355.0649414</v>
      </c>
      <c r="H689">
        <v>1348.1391602000001</v>
      </c>
      <c r="I689">
        <v>1309.1279297000001</v>
      </c>
      <c r="J689">
        <v>1298.2580565999999</v>
      </c>
      <c r="K689">
        <v>1100</v>
      </c>
      <c r="L689">
        <v>0</v>
      </c>
      <c r="M689">
        <v>0</v>
      </c>
      <c r="N689">
        <v>1100</v>
      </c>
    </row>
    <row r="690" spans="1:14" x14ac:dyDescent="0.25">
      <c r="A690">
        <v>508.22178400000001</v>
      </c>
      <c r="B690" s="1">
        <f>DATE(2011,9,21) + TIME(5,19,22)</f>
        <v>40807.221782407411</v>
      </c>
      <c r="C690">
        <v>80</v>
      </c>
      <c r="D690">
        <v>79.883499146000005</v>
      </c>
      <c r="E690">
        <v>50</v>
      </c>
      <c r="F690">
        <v>39.250717162999997</v>
      </c>
      <c r="G690">
        <v>1355.0269774999999</v>
      </c>
      <c r="H690">
        <v>1348.1074219</v>
      </c>
      <c r="I690">
        <v>1309.1027832</v>
      </c>
      <c r="J690">
        <v>1298.2015381000001</v>
      </c>
      <c r="K690">
        <v>1100</v>
      </c>
      <c r="L690">
        <v>0</v>
      </c>
      <c r="M690">
        <v>0</v>
      </c>
      <c r="N690">
        <v>1100</v>
      </c>
    </row>
    <row r="691" spans="1:14" x14ac:dyDescent="0.25">
      <c r="A691">
        <v>510.58119499999998</v>
      </c>
      <c r="B691" s="1">
        <f>DATE(2011,9,23) + TIME(13,56,55)</f>
        <v>40809.581192129626</v>
      </c>
      <c r="C691">
        <v>80</v>
      </c>
      <c r="D691">
        <v>79.883659363000007</v>
      </c>
      <c r="E691">
        <v>50</v>
      </c>
      <c r="F691">
        <v>39.322132111000002</v>
      </c>
      <c r="G691">
        <v>1354.9890137</v>
      </c>
      <c r="H691">
        <v>1348.0755615</v>
      </c>
      <c r="I691">
        <v>1309.0804443</v>
      </c>
      <c r="J691">
        <v>1298.1511230000001</v>
      </c>
      <c r="K691">
        <v>1100</v>
      </c>
      <c r="L691">
        <v>0</v>
      </c>
      <c r="M691">
        <v>0</v>
      </c>
      <c r="N691">
        <v>1100</v>
      </c>
    </row>
    <row r="692" spans="1:14" x14ac:dyDescent="0.25">
      <c r="A692">
        <v>512.96540800000002</v>
      </c>
      <c r="B692" s="1">
        <f>DATE(2011,9,25) + TIME(23,10,11)</f>
        <v>40811.965405092589</v>
      </c>
      <c r="C692">
        <v>80</v>
      </c>
      <c r="D692">
        <v>79.883819579999994</v>
      </c>
      <c r="E692">
        <v>50</v>
      </c>
      <c r="F692">
        <v>39.414524077999999</v>
      </c>
      <c r="G692">
        <v>1354.9509277</v>
      </c>
      <c r="H692">
        <v>1348.0435791</v>
      </c>
      <c r="I692">
        <v>1309.0610352000001</v>
      </c>
      <c r="J692">
        <v>1298.1069336</v>
      </c>
      <c r="K692">
        <v>1100</v>
      </c>
      <c r="L692">
        <v>0</v>
      </c>
      <c r="M692">
        <v>0</v>
      </c>
      <c r="N692">
        <v>1100</v>
      </c>
    </row>
    <row r="693" spans="1:14" x14ac:dyDescent="0.25">
      <c r="A693">
        <v>515.38235199999997</v>
      </c>
      <c r="B693" s="1">
        <f>DATE(2011,9,28) + TIME(9,10,35)</f>
        <v>40814.382349537038</v>
      </c>
      <c r="C693">
        <v>80</v>
      </c>
      <c r="D693">
        <v>79.883987426999994</v>
      </c>
      <c r="E693">
        <v>50</v>
      </c>
      <c r="F693">
        <v>39.528228759999998</v>
      </c>
      <c r="G693">
        <v>1354.9127197</v>
      </c>
      <c r="H693">
        <v>1348.0114745999999</v>
      </c>
      <c r="I693">
        <v>1309.0444336</v>
      </c>
      <c r="J693">
        <v>1298.0693358999999</v>
      </c>
      <c r="K693">
        <v>1100</v>
      </c>
      <c r="L693">
        <v>0</v>
      </c>
      <c r="M693">
        <v>0</v>
      </c>
      <c r="N693">
        <v>1100</v>
      </c>
    </row>
    <row r="694" spans="1:14" x14ac:dyDescent="0.25">
      <c r="A694">
        <v>517.82969100000003</v>
      </c>
      <c r="B694" s="1">
        <f>DATE(2011,9,30) + TIME(19,54,45)</f>
        <v>40816.829687500001</v>
      </c>
      <c r="C694">
        <v>80</v>
      </c>
      <c r="D694">
        <v>79.884155273000005</v>
      </c>
      <c r="E694">
        <v>50</v>
      </c>
      <c r="F694">
        <v>39.663345337000003</v>
      </c>
      <c r="G694">
        <v>1354.8745117000001</v>
      </c>
      <c r="H694">
        <v>1347.9792480000001</v>
      </c>
      <c r="I694">
        <v>1309.0306396000001</v>
      </c>
      <c r="J694">
        <v>1298.0380858999999</v>
      </c>
      <c r="K694">
        <v>1100</v>
      </c>
      <c r="L694">
        <v>0</v>
      </c>
      <c r="M694">
        <v>0</v>
      </c>
      <c r="N694">
        <v>1100</v>
      </c>
    </row>
    <row r="695" spans="1:14" x14ac:dyDescent="0.25">
      <c r="A695">
        <v>518</v>
      </c>
      <c r="B695" s="1">
        <f>DATE(2011,10,1) + TIME(0,0,0)</f>
        <v>40817</v>
      </c>
      <c r="C695">
        <v>80</v>
      </c>
      <c r="D695">
        <v>79.884155273000005</v>
      </c>
      <c r="E695">
        <v>50</v>
      </c>
      <c r="F695">
        <v>39.687049866000002</v>
      </c>
      <c r="G695">
        <v>1354.8376464999999</v>
      </c>
      <c r="H695">
        <v>1347.9484863</v>
      </c>
      <c r="I695">
        <v>1309.0439452999999</v>
      </c>
      <c r="J695">
        <v>1298.0279541</v>
      </c>
      <c r="K695">
        <v>1100</v>
      </c>
      <c r="L695">
        <v>0</v>
      </c>
      <c r="M695">
        <v>0</v>
      </c>
      <c r="N695">
        <v>1100</v>
      </c>
    </row>
    <row r="696" spans="1:14" x14ac:dyDescent="0.25">
      <c r="A696">
        <v>520.47838200000001</v>
      </c>
      <c r="B696" s="1">
        <f>DATE(2011,10,3) + TIME(11,28,52)</f>
        <v>40819.478379629632</v>
      </c>
      <c r="C696">
        <v>80</v>
      </c>
      <c r="D696">
        <v>79.884338378999999</v>
      </c>
      <c r="E696">
        <v>50</v>
      </c>
      <c r="F696">
        <v>39.837108612000002</v>
      </c>
      <c r="G696">
        <v>1354.8334961</v>
      </c>
      <c r="H696">
        <v>1347.9445800999999</v>
      </c>
      <c r="I696">
        <v>1309.0183105000001</v>
      </c>
      <c r="J696">
        <v>1298.0118408000001</v>
      </c>
      <c r="K696">
        <v>1100</v>
      </c>
      <c r="L696">
        <v>0</v>
      </c>
      <c r="M696">
        <v>0</v>
      </c>
      <c r="N696">
        <v>1100</v>
      </c>
    </row>
    <row r="697" spans="1:14" x14ac:dyDescent="0.25">
      <c r="A697">
        <v>522.99717599999997</v>
      </c>
      <c r="B697" s="1">
        <f>DATE(2011,10,5) + TIME(23,55,56)</f>
        <v>40821.997175925928</v>
      </c>
      <c r="C697">
        <v>80</v>
      </c>
      <c r="D697">
        <v>79.884513854999994</v>
      </c>
      <c r="E697">
        <v>50</v>
      </c>
      <c r="F697">
        <v>40.012519836000003</v>
      </c>
      <c r="G697">
        <v>1354.7952881000001</v>
      </c>
      <c r="H697">
        <v>1347.9123535000001</v>
      </c>
      <c r="I697">
        <v>1309.0111084</v>
      </c>
      <c r="J697">
        <v>1297.9948730000001</v>
      </c>
      <c r="K697">
        <v>1100</v>
      </c>
      <c r="L697">
        <v>0</v>
      </c>
      <c r="M697">
        <v>0</v>
      </c>
      <c r="N697">
        <v>1100</v>
      </c>
    </row>
    <row r="698" spans="1:14" x14ac:dyDescent="0.25">
      <c r="A698">
        <v>525.56048199999998</v>
      </c>
      <c r="B698" s="1">
        <f>DATE(2011,10,8) + TIME(13,27,5)</f>
        <v>40824.560474537036</v>
      </c>
      <c r="C698">
        <v>80</v>
      </c>
      <c r="D698">
        <v>79.884689331000004</v>
      </c>
      <c r="E698">
        <v>50</v>
      </c>
      <c r="F698">
        <v>40.210456848</v>
      </c>
      <c r="G698">
        <v>1354.7569579999999</v>
      </c>
      <c r="H698">
        <v>1347.8798827999999</v>
      </c>
      <c r="I698">
        <v>1309.0063477000001</v>
      </c>
      <c r="J698">
        <v>1297.9842529</v>
      </c>
      <c r="K698">
        <v>1100</v>
      </c>
      <c r="L698">
        <v>0</v>
      </c>
      <c r="M698">
        <v>0</v>
      </c>
      <c r="N698">
        <v>1100</v>
      </c>
    </row>
    <row r="699" spans="1:14" x14ac:dyDescent="0.25">
      <c r="A699">
        <v>528.13774899999999</v>
      </c>
      <c r="B699" s="1">
        <f>DATE(2011,10,11) + TIME(3,18,21)</f>
        <v>40827.137743055559</v>
      </c>
      <c r="C699">
        <v>80</v>
      </c>
      <c r="D699">
        <v>79.884872436999999</v>
      </c>
      <c r="E699">
        <v>50</v>
      </c>
      <c r="F699">
        <v>40.428100585999999</v>
      </c>
      <c r="G699">
        <v>1354.7182617000001</v>
      </c>
      <c r="H699">
        <v>1347.847168</v>
      </c>
      <c r="I699">
        <v>1309.0046387</v>
      </c>
      <c r="J699">
        <v>1297.9804687999999</v>
      </c>
      <c r="K699">
        <v>1100</v>
      </c>
      <c r="L699">
        <v>0</v>
      </c>
      <c r="M699">
        <v>0</v>
      </c>
      <c r="N699">
        <v>1100</v>
      </c>
    </row>
    <row r="700" spans="1:14" x14ac:dyDescent="0.25">
      <c r="A700">
        <v>530.73681499999998</v>
      </c>
      <c r="B700" s="1">
        <f>DATE(2011,10,13) + TIME(17,41,0)</f>
        <v>40829.736805555556</v>
      </c>
      <c r="C700">
        <v>80</v>
      </c>
      <c r="D700">
        <v>79.885055542000003</v>
      </c>
      <c r="E700">
        <v>50</v>
      </c>
      <c r="F700">
        <v>40.662967682000001</v>
      </c>
      <c r="G700">
        <v>1354.6800536999999</v>
      </c>
      <c r="H700">
        <v>1347.8146973</v>
      </c>
      <c r="I700">
        <v>1309.0057373</v>
      </c>
      <c r="J700">
        <v>1297.9830322</v>
      </c>
      <c r="K700">
        <v>1100</v>
      </c>
      <c r="L700">
        <v>0</v>
      </c>
      <c r="M700">
        <v>0</v>
      </c>
      <c r="N700">
        <v>1100</v>
      </c>
    </row>
    <row r="701" spans="1:14" x14ac:dyDescent="0.25">
      <c r="A701">
        <v>533.36547700000006</v>
      </c>
      <c r="B701" s="1">
        <f>DATE(2011,10,16) + TIME(8,46,17)</f>
        <v>40832.365474537037</v>
      </c>
      <c r="C701">
        <v>80</v>
      </c>
      <c r="D701">
        <v>79.885238646999994</v>
      </c>
      <c r="E701">
        <v>50</v>
      </c>
      <c r="F701">
        <v>40.91343689</v>
      </c>
      <c r="G701">
        <v>1354.6419678</v>
      </c>
      <c r="H701">
        <v>1347.7824707</v>
      </c>
      <c r="I701">
        <v>1309.0093993999999</v>
      </c>
      <c r="J701">
        <v>1297.9919434000001</v>
      </c>
      <c r="K701">
        <v>1100</v>
      </c>
      <c r="L701">
        <v>0</v>
      </c>
      <c r="M701">
        <v>0</v>
      </c>
      <c r="N701">
        <v>1100</v>
      </c>
    </row>
    <row r="702" spans="1:14" x14ac:dyDescent="0.25">
      <c r="A702">
        <v>536.036428</v>
      </c>
      <c r="B702" s="1">
        <f>DATE(2011,10,19) + TIME(0,52,27)</f>
        <v>40835.036423611113</v>
      </c>
      <c r="C702">
        <v>80</v>
      </c>
      <c r="D702">
        <v>79.885421753000003</v>
      </c>
      <c r="E702">
        <v>50</v>
      </c>
      <c r="F702">
        <v>41.178459167</v>
      </c>
      <c r="G702">
        <v>1354.604126</v>
      </c>
      <c r="H702">
        <v>1347.7502440999999</v>
      </c>
      <c r="I702">
        <v>1309.0158690999999</v>
      </c>
      <c r="J702">
        <v>1298.0068358999999</v>
      </c>
      <c r="K702">
        <v>1100</v>
      </c>
      <c r="L702">
        <v>0</v>
      </c>
      <c r="M702">
        <v>0</v>
      </c>
      <c r="N702">
        <v>1100</v>
      </c>
    </row>
    <row r="703" spans="1:14" x14ac:dyDescent="0.25">
      <c r="A703">
        <v>538.72516299999995</v>
      </c>
      <c r="B703" s="1">
        <f>DATE(2011,10,21) + TIME(17,24,14)</f>
        <v>40837.725162037037</v>
      </c>
      <c r="C703">
        <v>80</v>
      </c>
      <c r="D703">
        <v>79.885612488000007</v>
      </c>
      <c r="E703">
        <v>50</v>
      </c>
      <c r="F703">
        <v>41.455871582</v>
      </c>
      <c r="G703">
        <v>1354.5662841999999</v>
      </c>
      <c r="H703">
        <v>1347.7181396000001</v>
      </c>
      <c r="I703">
        <v>1309.0251464999999</v>
      </c>
      <c r="J703">
        <v>1298.0275879000001</v>
      </c>
      <c r="K703">
        <v>1100</v>
      </c>
      <c r="L703">
        <v>0</v>
      </c>
      <c r="M703">
        <v>0</v>
      </c>
      <c r="N703">
        <v>1100</v>
      </c>
    </row>
    <row r="704" spans="1:14" x14ac:dyDescent="0.25">
      <c r="A704">
        <v>541.43132200000002</v>
      </c>
      <c r="B704" s="1">
        <f>DATE(2011,10,24) + TIME(10,21,6)</f>
        <v>40840.431319444448</v>
      </c>
      <c r="C704">
        <v>80</v>
      </c>
      <c r="D704">
        <v>79.885795592999997</v>
      </c>
      <c r="E704">
        <v>50</v>
      </c>
      <c r="F704">
        <v>41.742931366000001</v>
      </c>
      <c r="G704">
        <v>1354.5286865</v>
      </c>
      <c r="H704">
        <v>1347.6862793</v>
      </c>
      <c r="I704">
        <v>1309.0369873</v>
      </c>
      <c r="J704">
        <v>1298.0537108999999</v>
      </c>
      <c r="K704">
        <v>1100</v>
      </c>
      <c r="L704">
        <v>0</v>
      </c>
      <c r="M704">
        <v>0</v>
      </c>
      <c r="N704">
        <v>1100</v>
      </c>
    </row>
    <row r="705" spans="1:14" x14ac:dyDescent="0.25">
      <c r="A705">
        <v>544.16589099999999</v>
      </c>
      <c r="B705" s="1">
        <f>DATE(2011,10,27) + TIME(3,58,53)</f>
        <v>40843.165891203702</v>
      </c>
      <c r="C705">
        <v>80</v>
      </c>
      <c r="D705">
        <v>79.885986328000001</v>
      </c>
      <c r="E705">
        <v>50</v>
      </c>
      <c r="F705">
        <v>42.037845611999998</v>
      </c>
      <c r="G705">
        <v>1354.4916992000001</v>
      </c>
      <c r="H705">
        <v>1347.6547852000001</v>
      </c>
      <c r="I705">
        <v>1309.0512695</v>
      </c>
      <c r="J705">
        <v>1298.0848389</v>
      </c>
      <c r="K705">
        <v>1100</v>
      </c>
      <c r="L705">
        <v>0</v>
      </c>
      <c r="M705">
        <v>0</v>
      </c>
      <c r="N705">
        <v>1100</v>
      </c>
    </row>
    <row r="706" spans="1:14" x14ac:dyDescent="0.25">
      <c r="A706">
        <v>546.94184700000005</v>
      </c>
      <c r="B706" s="1">
        <f>DATE(2011,10,29) + TIME(22,36,15)</f>
        <v>40845.941840277781</v>
      </c>
      <c r="C706">
        <v>80</v>
      </c>
      <c r="D706">
        <v>79.886184692</v>
      </c>
      <c r="E706">
        <v>50</v>
      </c>
      <c r="F706">
        <v>42.339603424000003</v>
      </c>
      <c r="G706">
        <v>1354.4548339999999</v>
      </c>
      <c r="H706">
        <v>1347.6235352000001</v>
      </c>
      <c r="I706">
        <v>1309.067749</v>
      </c>
      <c r="J706">
        <v>1298.1206055</v>
      </c>
      <c r="K706">
        <v>1100</v>
      </c>
      <c r="L706">
        <v>0</v>
      </c>
      <c r="M706">
        <v>0</v>
      </c>
      <c r="N706">
        <v>1100</v>
      </c>
    </row>
    <row r="707" spans="1:14" x14ac:dyDescent="0.25">
      <c r="A707">
        <v>549</v>
      </c>
      <c r="B707" s="1">
        <f>DATE(2011,11,1) + TIME(0,0,0)</f>
        <v>40848</v>
      </c>
      <c r="C707">
        <v>80</v>
      </c>
      <c r="D707">
        <v>79.886314392000003</v>
      </c>
      <c r="E707">
        <v>50</v>
      </c>
      <c r="F707">
        <v>42.610027313000003</v>
      </c>
      <c r="G707">
        <v>1354.4180908000001</v>
      </c>
      <c r="H707">
        <v>1347.5924072</v>
      </c>
      <c r="I707">
        <v>1309.0902100000001</v>
      </c>
      <c r="J707">
        <v>1298.159668</v>
      </c>
      <c r="K707">
        <v>1100</v>
      </c>
      <c r="L707">
        <v>0</v>
      </c>
      <c r="M707">
        <v>0</v>
      </c>
      <c r="N707">
        <v>1100</v>
      </c>
    </row>
    <row r="708" spans="1:14" x14ac:dyDescent="0.25">
      <c r="A708">
        <v>549.000001</v>
      </c>
      <c r="B708" s="1">
        <f>DATE(2011,11,1) + TIME(0,0,0)</f>
        <v>40848</v>
      </c>
      <c r="C708">
        <v>80</v>
      </c>
      <c r="D708">
        <v>79.886253357000001</v>
      </c>
      <c r="E708">
        <v>50</v>
      </c>
      <c r="F708">
        <v>42.610084534000002</v>
      </c>
      <c r="G708">
        <v>1347.1931152</v>
      </c>
      <c r="H708">
        <v>1342.4136963000001</v>
      </c>
      <c r="I708">
        <v>1320.5733643000001</v>
      </c>
      <c r="J708">
        <v>1309.5341797000001</v>
      </c>
      <c r="K708">
        <v>0</v>
      </c>
      <c r="L708">
        <v>1100</v>
      </c>
      <c r="M708">
        <v>1100</v>
      </c>
      <c r="N708">
        <v>0</v>
      </c>
    </row>
    <row r="709" spans="1:14" x14ac:dyDescent="0.25">
      <c r="A709">
        <v>549.00000399999999</v>
      </c>
      <c r="B709" s="1">
        <f>DATE(2011,11,1) + TIME(0,0,0)</f>
        <v>40848</v>
      </c>
      <c r="C709">
        <v>80</v>
      </c>
      <c r="D709">
        <v>79.886108398000005</v>
      </c>
      <c r="E709">
        <v>50</v>
      </c>
      <c r="F709">
        <v>42.610244751000003</v>
      </c>
      <c r="G709">
        <v>1346.1839600000001</v>
      </c>
      <c r="H709">
        <v>1341.4039307</v>
      </c>
      <c r="I709">
        <v>1321.6848144999999</v>
      </c>
      <c r="J709">
        <v>1310.7332764</v>
      </c>
      <c r="K709">
        <v>0</v>
      </c>
      <c r="L709">
        <v>1100</v>
      </c>
      <c r="M709">
        <v>1100</v>
      </c>
      <c r="N709">
        <v>0</v>
      </c>
    </row>
    <row r="710" spans="1:14" x14ac:dyDescent="0.25">
      <c r="A710">
        <v>549.00001299999997</v>
      </c>
      <c r="B710" s="1">
        <f>DATE(2011,11,1) + TIME(0,0,1)</f>
        <v>40848.000011574077</v>
      </c>
      <c r="C710">
        <v>80</v>
      </c>
      <c r="D710">
        <v>79.885818481000001</v>
      </c>
      <c r="E710">
        <v>50</v>
      </c>
      <c r="F710">
        <v>42.610622405999997</v>
      </c>
      <c r="G710">
        <v>1344.1462402</v>
      </c>
      <c r="H710">
        <v>1339.3656006000001</v>
      </c>
      <c r="I710">
        <v>1324.3000488</v>
      </c>
      <c r="J710">
        <v>1313.4981689000001</v>
      </c>
      <c r="K710">
        <v>0</v>
      </c>
      <c r="L710">
        <v>1100</v>
      </c>
      <c r="M710">
        <v>1100</v>
      </c>
      <c r="N710">
        <v>0</v>
      </c>
    </row>
    <row r="711" spans="1:14" x14ac:dyDescent="0.25">
      <c r="A711">
        <v>549.00004000000001</v>
      </c>
      <c r="B711" s="1">
        <f>DATE(2011,11,1) + TIME(0,0,3)</f>
        <v>40848.000034722223</v>
      </c>
      <c r="C711">
        <v>80</v>
      </c>
      <c r="D711">
        <v>79.885391235</v>
      </c>
      <c r="E711">
        <v>50</v>
      </c>
      <c r="F711">
        <v>42.611316680999998</v>
      </c>
      <c r="G711">
        <v>1341.1665039</v>
      </c>
      <c r="H711">
        <v>1336.387207</v>
      </c>
      <c r="I711">
        <v>1328.9642334</v>
      </c>
      <c r="J711">
        <v>1318.2629394999999</v>
      </c>
      <c r="K711">
        <v>0</v>
      </c>
      <c r="L711">
        <v>1100</v>
      </c>
      <c r="M711">
        <v>1100</v>
      </c>
      <c r="N711">
        <v>0</v>
      </c>
    </row>
    <row r="712" spans="1:14" x14ac:dyDescent="0.25">
      <c r="A712">
        <v>549.00012100000004</v>
      </c>
      <c r="B712" s="1">
        <f>DATE(2011,11,1) + TIME(0,0,10)</f>
        <v>40848.000115740739</v>
      </c>
      <c r="C712">
        <v>80</v>
      </c>
      <c r="D712">
        <v>79.884902953999998</v>
      </c>
      <c r="E712">
        <v>50</v>
      </c>
      <c r="F712">
        <v>42.612403870000001</v>
      </c>
      <c r="G712">
        <v>1337.8443603999999</v>
      </c>
      <c r="H712">
        <v>1333.067749</v>
      </c>
      <c r="I712">
        <v>1335.0333252</v>
      </c>
      <c r="J712">
        <v>1324.3327637</v>
      </c>
      <c r="K712">
        <v>0</v>
      </c>
      <c r="L712">
        <v>1100</v>
      </c>
      <c r="M712">
        <v>1100</v>
      </c>
      <c r="N712">
        <v>0</v>
      </c>
    </row>
    <row r="713" spans="1:14" x14ac:dyDescent="0.25">
      <c r="A713">
        <v>549.00036399999999</v>
      </c>
      <c r="B713" s="1">
        <f>DATE(2011,11,1) + TIME(0,0,31)</f>
        <v>40848.000358796293</v>
      </c>
      <c r="C713">
        <v>80</v>
      </c>
      <c r="D713">
        <v>79.884376525999997</v>
      </c>
      <c r="E713">
        <v>50</v>
      </c>
      <c r="F713">
        <v>42.614234924000002</v>
      </c>
      <c r="G713">
        <v>1334.4738769999999</v>
      </c>
      <c r="H713">
        <v>1329.6816406</v>
      </c>
      <c r="I713">
        <v>1341.5281981999999</v>
      </c>
      <c r="J713">
        <v>1330.8079834</v>
      </c>
      <c r="K713">
        <v>0</v>
      </c>
      <c r="L713">
        <v>1100</v>
      </c>
      <c r="M713">
        <v>1100</v>
      </c>
      <c r="N713">
        <v>0</v>
      </c>
    </row>
    <row r="714" spans="1:14" x14ac:dyDescent="0.25">
      <c r="A714">
        <v>549.00109299999997</v>
      </c>
      <c r="B714" s="1">
        <f>DATE(2011,11,1) + TIME(0,1,34)</f>
        <v>40848.001087962963</v>
      </c>
      <c r="C714">
        <v>80</v>
      </c>
      <c r="D714">
        <v>79.883712768999999</v>
      </c>
      <c r="E714">
        <v>50</v>
      </c>
      <c r="F714">
        <v>42.618167876999998</v>
      </c>
      <c r="G714">
        <v>1330.9743652</v>
      </c>
      <c r="H714">
        <v>1326.0928954999999</v>
      </c>
      <c r="I714">
        <v>1348.1638184000001</v>
      </c>
      <c r="J714">
        <v>1337.4241943</v>
      </c>
      <c r="K714">
        <v>0</v>
      </c>
      <c r="L714">
        <v>1100</v>
      </c>
      <c r="M714">
        <v>1100</v>
      </c>
      <c r="N714">
        <v>0</v>
      </c>
    </row>
    <row r="715" spans="1:14" x14ac:dyDescent="0.25">
      <c r="A715">
        <v>549.00328000000002</v>
      </c>
      <c r="B715" s="1">
        <f>DATE(2011,11,1) + TIME(0,4,43)</f>
        <v>40848.003275462965</v>
      </c>
      <c r="C715">
        <v>80</v>
      </c>
      <c r="D715">
        <v>79.882675171000002</v>
      </c>
      <c r="E715">
        <v>50</v>
      </c>
      <c r="F715">
        <v>42.628368377999998</v>
      </c>
      <c r="G715">
        <v>1327.3267822</v>
      </c>
      <c r="H715">
        <v>1322.286499</v>
      </c>
      <c r="I715">
        <v>1354.5382079999999</v>
      </c>
      <c r="J715">
        <v>1343.7459716999999</v>
      </c>
      <c r="K715">
        <v>0</v>
      </c>
      <c r="L715">
        <v>1100</v>
      </c>
      <c r="M715">
        <v>1100</v>
      </c>
      <c r="N715">
        <v>0</v>
      </c>
    </row>
    <row r="716" spans="1:14" x14ac:dyDescent="0.25">
      <c r="A716">
        <v>549.00984100000005</v>
      </c>
      <c r="B716" s="1">
        <f>DATE(2011,11,1) + TIME(0,14,10)</f>
        <v>40848.009837962964</v>
      </c>
      <c r="C716">
        <v>80</v>
      </c>
      <c r="D716">
        <v>79.880630492999998</v>
      </c>
      <c r="E716">
        <v>50</v>
      </c>
      <c r="F716">
        <v>42.657356262</v>
      </c>
      <c r="G716">
        <v>1324.0074463000001</v>
      </c>
      <c r="H716">
        <v>1318.8529053</v>
      </c>
      <c r="I716">
        <v>1359.5607910000001</v>
      </c>
      <c r="J716">
        <v>1348.6923827999999</v>
      </c>
      <c r="K716">
        <v>0</v>
      </c>
      <c r="L716">
        <v>1100</v>
      </c>
      <c r="M716">
        <v>1100</v>
      </c>
      <c r="N716">
        <v>0</v>
      </c>
    </row>
    <row r="717" spans="1:14" x14ac:dyDescent="0.25">
      <c r="A717">
        <v>549.02952400000004</v>
      </c>
      <c r="B717" s="1">
        <f>DATE(2011,11,1) + TIME(0,42,30)</f>
        <v>40848.029513888891</v>
      </c>
      <c r="C717">
        <v>80</v>
      </c>
      <c r="D717">
        <v>79.875587463000002</v>
      </c>
      <c r="E717">
        <v>50</v>
      </c>
      <c r="F717">
        <v>42.742355347</v>
      </c>
      <c r="G717">
        <v>1321.7041016000001</v>
      </c>
      <c r="H717">
        <v>1316.5124512</v>
      </c>
      <c r="I717">
        <v>1362.3967285000001</v>
      </c>
      <c r="J717">
        <v>1351.4814452999999</v>
      </c>
      <c r="K717">
        <v>0</v>
      </c>
      <c r="L717">
        <v>1100</v>
      </c>
      <c r="M717">
        <v>1100</v>
      </c>
      <c r="N717">
        <v>0</v>
      </c>
    </row>
    <row r="718" spans="1:14" x14ac:dyDescent="0.25">
      <c r="A718">
        <v>549.088573</v>
      </c>
      <c r="B718" s="1">
        <f>DATE(2011,11,1) + TIME(2,7,32)</f>
        <v>40848.088564814818</v>
      </c>
      <c r="C718">
        <v>80</v>
      </c>
      <c r="D718">
        <v>79.861618042000003</v>
      </c>
      <c r="E718">
        <v>50</v>
      </c>
      <c r="F718">
        <v>42.988178253000001</v>
      </c>
      <c r="G718">
        <v>1320.6101074000001</v>
      </c>
      <c r="H718">
        <v>1315.411499</v>
      </c>
      <c r="I718">
        <v>1363.3085937999999</v>
      </c>
      <c r="J718">
        <v>1352.4222411999999</v>
      </c>
      <c r="K718">
        <v>0</v>
      </c>
      <c r="L718">
        <v>1100</v>
      </c>
      <c r="M718">
        <v>1100</v>
      </c>
      <c r="N718">
        <v>0</v>
      </c>
    </row>
    <row r="719" spans="1:14" x14ac:dyDescent="0.25">
      <c r="A719">
        <v>549.18918900000006</v>
      </c>
      <c r="B719" s="1">
        <f>DATE(2011,11,1) + TIME(4,32,25)</f>
        <v>40848.18917824074</v>
      </c>
      <c r="C719">
        <v>80</v>
      </c>
      <c r="D719">
        <v>79.838722228999998</v>
      </c>
      <c r="E719">
        <v>50</v>
      </c>
      <c r="F719">
        <v>43.3828125</v>
      </c>
      <c r="G719">
        <v>1320.3370361</v>
      </c>
      <c r="H719">
        <v>1315.1373291</v>
      </c>
      <c r="I719">
        <v>1363.2922363</v>
      </c>
      <c r="J719">
        <v>1352.4880370999999</v>
      </c>
      <c r="K719">
        <v>0</v>
      </c>
      <c r="L719">
        <v>1100</v>
      </c>
      <c r="M719">
        <v>1100</v>
      </c>
      <c r="N719">
        <v>0</v>
      </c>
    </row>
    <row r="720" spans="1:14" x14ac:dyDescent="0.25">
      <c r="A720">
        <v>549.29355999999996</v>
      </c>
      <c r="B720" s="1">
        <f>DATE(2011,11,1) + TIME(7,2,43)</f>
        <v>40848.293553240743</v>
      </c>
      <c r="C720">
        <v>80</v>
      </c>
      <c r="D720">
        <v>79.815391540999997</v>
      </c>
      <c r="E720">
        <v>50</v>
      </c>
      <c r="F720">
        <v>43.767921448000003</v>
      </c>
      <c r="G720">
        <v>1320.2841797000001</v>
      </c>
      <c r="H720">
        <v>1315.0839844</v>
      </c>
      <c r="I720">
        <v>1363.1536865</v>
      </c>
      <c r="J720">
        <v>1352.4273682</v>
      </c>
      <c r="K720">
        <v>0</v>
      </c>
      <c r="L720">
        <v>1100</v>
      </c>
      <c r="M720">
        <v>1100</v>
      </c>
      <c r="N720">
        <v>0</v>
      </c>
    </row>
    <row r="721" spans="1:14" x14ac:dyDescent="0.25">
      <c r="A721">
        <v>549.40199399999995</v>
      </c>
      <c r="B721" s="1">
        <f>DATE(2011,11,1) + TIME(9,38,52)</f>
        <v>40848.401990740742</v>
      </c>
      <c r="C721">
        <v>80</v>
      </c>
      <c r="D721">
        <v>79.791564941000004</v>
      </c>
      <c r="E721">
        <v>50</v>
      </c>
      <c r="F721">
        <v>44.143451691000003</v>
      </c>
      <c r="G721">
        <v>1320.2706298999999</v>
      </c>
      <c r="H721">
        <v>1315.0700684000001</v>
      </c>
      <c r="I721">
        <v>1363.0118408000001</v>
      </c>
      <c r="J721">
        <v>1352.3609618999999</v>
      </c>
      <c r="K721">
        <v>0</v>
      </c>
      <c r="L721">
        <v>1100</v>
      </c>
      <c r="M721">
        <v>1100</v>
      </c>
      <c r="N721">
        <v>0</v>
      </c>
    </row>
    <row r="722" spans="1:14" x14ac:dyDescent="0.25">
      <c r="A722">
        <v>549.51487399999996</v>
      </c>
      <c r="B722" s="1">
        <f>DATE(2011,11,1) + TIME(12,21,25)</f>
        <v>40848.514872685184</v>
      </c>
      <c r="C722">
        <v>80</v>
      </c>
      <c r="D722">
        <v>79.767173767000003</v>
      </c>
      <c r="E722">
        <v>50</v>
      </c>
      <c r="F722">
        <v>44.509460449000002</v>
      </c>
      <c r="G722">
        <v>1320.2652588000001</v>
      </c>
      <c r="H722">
        <v>1315.0642089999999</v>
      </c>
      <c r="I722">
        <v>1362.8765868999999</v>
      </c>
      <c r="J722">
        <v>1352.2980957</v>
      </c>
      <c r="K722">
        <v>0</v>
      </c>
      <c r="L722">
        <v>1100</v>
      </c>
      <c r="M722">
        <v>1100</v>
      </c>
      <c r="N722">
        <v>0</v>
      </c>
    </row>
    <row r="723" spans="1:14" x14ac:dyDescent="0.25">
      <c r="A723">
        <v>549.63263800000004</v>
      </c>
      <c r="B723" s="1">
        <f>DATE(2011,11,1) + TIME(15,10,59)</f>
        <v>40848.632627314815</v>
      </c>
      <c r="C723">
        <v>80</v>
      </c>
      <c r="D723">
        <v>79.742172241000006</v>
      </c>
      <c r="E723">
        <v>50</v>
      </c>
      <c r="F723">
        <v>44.865993500000002</v>
      </c>
      <c r="G723">
        <v>1320.2615966999999</v>
      </c>
      <c r="H723">
        <v>1315.0600586</v>
      </c>
      <c r="I723">
        <v>1362.7468262</v>
      </c>
      <c r="J723">
        <v>1352.2381591999999</v>
      </c>
      <c r="K723">
        <v>0</v>
      </c>
      <c r="L723">
        <v>1100</v>
      </c>
      <c r="M723">
        <v>1100</v>
      </c>
      <c r="N723">
        <v>0</v>
      </c>
    </row>
    <row r="724" spans="1:14" x14ac:dyDescent="0.25">
      <c r="A724">
        <v>549.75578399999995</v>
      </c>
      <c r="B724" s="1">
        <f>DATE(2011,11,1) + TIME(18,8,19)</f>
        <v>40848.75577546296</v>
      </c>
      <c r="C724">
        <v>80</v>
      </c>
      <c r="D724">
        <v>79.716468810999999</v>
      </c>
      <c r="E724">
        <v>50</v>
      </c>
      <c r="F724">
        <v>45.213054657000001</v>
      </c>
      <c r="G724">
        <v>1320.2583007999999</v>
      </c>
      <c r="H724">
        <v>1315.0562743999999</v>
      </c>
      <c r="I724">
        <v>1362.6218262</v>
      </c>
      <c r="J724">
        <v>1352.1801757999999</v>
      </c>
      <c r="K724">
        <v>0</v>
      </c>
      <c r="L724">
        <v>1100</v>
      </c>
      <c r="M724">
        <v>1100</v>
      </c>
      <c r="N724">
        <v>0</v>
      </c>
    </row>
    <row r="725" spans="1:14" x14ac:dyDescent="0.25">
      <c r="A725">
        <v>549.88491899999997</v>
      </c>
      <c r="B725" s="1">
        <f>DATE(2011,11,1) + TIME(21,14,17)</f>
        <v>40848.884918981479</v>
      </c>
      <c r="C725">
        <v>80</v>
      </c>
      <c r="D725">
        <v>79.689994811999995</v>
      </c>
      <c r="E725">
        <v>50</v>
      </c>
      <c r="F725">
        <v>45.550724029999998</v>
      </c>
      <c r="G725">
        <v>1320.2547606999999</v>
      </c>
      <c r="H725">
        <v>1315.0522461</v>
      </c>
      <c r="I725">
        <v>1362.5010986</v>
      </c>
      <c r="J725">
        <v>1352.1237793</v>
      </c>
      <c r="K725">
        <v>0</v>
      </c>
      <c r="L725">
        <v>1100</v>
      </c>
      <c r="M725">
        <v>1100</v>
      </c>
      <c r="N725">
        <v>0</v>
      </c>
    </row>
    <row r="726" spans="1:14" x14ac:dyDescent="0.25">
      <c r="A726">
        <v>550.02072999999996</v>
      </c>
      <c r="B726" s="1">
        <f>DATE(2011,11,2) + TIME(0,29,51)</f>
        <v>40849.020729166667</v>
      </c>
      <c r="C726">
        <v>80</v>
      </c>
      <c r="D726">
        <v>79.662651061999995</v>
      </c>
      <c r="E726">
        <v>50</v>
      </c>
      <c r="F726">
        <v>45.878986359000002</v>
      </c>
      <c r="G726">
        <v>1320.2512207</v>
      </c>
      <c r="H726">
        <v>1315.0482178</v>
      </c>
      <c r="I726">
        <v>1362.3841553</v>
      </c>
      <c r="J726">
        <v>1352.0689697</v>
      </c>
      <c r="K726">
        <v>0</v>
      </c>
      <c r="L726">
        <v>1100</v>
      </c>
      <c r="M726">
        <v>1100</v>
      </c>
      <c r="N726">
        <v>0</v>
      </c>
    </row>
    <row r="727" spans="1:14" x14ac:dyDescent="0.25">
      <c r="A727">
        <v>550.16401900000005</v>
      </c>
      <c r="B727" s="1">
        <f>DATE(2011,11,2) + TIME(3,56,11)</f>
        <v>40849.1640162037</v>
      </c>
      <c r="C727">
        <v>80</v>
      </c>
      <c r="D727">
        <v>79.634323120000005</v>
      </c>
      <c r="E727">
        <v>50</v>
      </c>
      <c r="F727">
        <v>46.197803497000002</v>
      </c>
      <c r="G727">
        <v>1320.2474365</v>
      </c>
      <c r="H727">
        <v>1315.0438231999999</v>
      </c>
      <c r="I727">
        <v>1362.2711182</v>
      </c>
      <c r="J727">
        <v>1352.0153809000001</v>
      </c>
      <c r="K727">
        <v>0</v>
      </c>
      <c r="L727">
        <v>1100</v>
      </c>
      <c r="M727">
        <v>1100</v>
      </c>
      <c r="N727">
        <v>0</v>
      </c>
    </row>
    <row r="728" spans="1:14" x14ac:dyDescent="0.25">
      <c r="A728">
        <v>550.31573200000003</v>
      </c>
      <c r="B728" s="1">
        <f>DATE(2011,11,2) + TIME(7,34,39)</f>
        <v>40849.315729166665</v>
      </c>
      <c r="C728">
        <v>80</v>
      </c>
      <c r="D728">
        <v>79.604896545000003</v>
      </c>
      <c r="E728">
        <v>50</v>
      </c>
      <c r="F728">
        <v>46.507102965999998</v>
      </c>
      <c r="G728">
        <v>1320.2434082</v>
      </c>
      <c r="H728">
        <v>1315.0391846</v>
      </c>
      <c r="I728">
        <v>1362.1613769999999</v>
      </c>
      <c r="J728">
        <v>1351.9630127</v>
      </c>
      <c r="K728">
        <v>0</v>
      </c>
      <c r="L728">
        <v>1100</v>
      </c>
      <c r="M728">
        <v>1100</v>
      </c>
      <c r="N728">
        <v>0</v>
      </c>
    </row>
    <row r="729" spans="1:14" x14ac:dyDescent="0.25">
      <c r="A729">
        <v>550.47699699999998</v>
      </c>
      <c r="B729" s="1">
        <f>DATE(2011,11,2) + TIME(11,26,52)</f>
        <v>40849.476990740739</v>
      </c>
      <c r="C729">
        <v>80</v>
      </c>
      <c r="D729">
        <v>79.574203491000006</v>
      </c>
      <c r="E729">
        <v>50</v>
      </c>
      <c r="F729">
        <v>46.806774138999998</v>
      </c>
      <c r="G729">
        <v>1320.2392577999999</v>
      </c>
      <c r="H729">
        <v>1315.0343018000001</v>
      </c>
      <c r="I729">
        <v>1362.0550536999999</v>
      </c>
      <c r="J729">
        <v>1351.9116211</v>
      </c>
      <c r="K729">
        <v>0</v>
      </c>
      <c r="L729">
        <v>1100</v>
      </c>
      <c r="M729">
        <v>1100</v>
      </c>
      <c r="N729">
        <v>0</v>
      </c>
    </row>
    <row r="730" spans="1:14" x14ac:dyDescent="0.25">
      <c r="A730">
        <v>550.64917400000002</v>
      </c>
      <c r="B730" s="1">
        <f>DATE(2011,11,2) + TIME(15,34,48)</f>
        <v>40849.64916666667</v>
      </c>
      <c r="C730">
        <v>80</v>
      </c>
      <c r="D730">
        <v>79.542083739999995</v>
      </c>
      <c r="E730">
        <v>50</v>
      </c>
      <c r="F730">
        <v>47.096668243000003</v>
      </c>
      <c r="G730">
        <v>1320.2347411999999</v>
      </c>
      <c r="H730">
        <v>1315.0290527</v>
      </c>
      <c r="I730">
        <v>1361.9516602000001</v>
      </c>
      <c r="J730">
        <v>1351.8612060999999</v>
      </c>
      <c r="K730">
        <v>0</v>
      </c>
      <c r="L730">
        <v>1100</v>
      </c>
      <c r="M730">
        <v>1100</v>
      </c>
      <c r="N730">
        <v>0</v>
      </c>
    </row>
    <row r="731" spans="1:14" x14ac:dyDescent="0.25">
      <c r="A731">
        <v>550.83391700000004</v>
      </c>
      <c r="B731" s="1">
        <f>DATE(2011,11,2) + TIME(20,0,50)</f>
        <v>40849.833912037036</v>
      </c>
      <c r="C731">
        <v>80</v>
      </c>
      <c r="D731">
        <v>79.508316039999997</v>
      </c>
      <c r="E731">
        <v>50</v>
      </c>
      <c r="F731">
        <v>47.376590729</v>
      </c>
      <c r="G731">
        <v>1320.2299805</v>
      </c>
      <c r="H731">
        <v>1315.0235596</v>
      </c>
      <c r="I731">
        <v>1361.8511963000001</v>
      </c>
      <c r="J731">
        <v>1351.8115233999999</v>
      </c>
      <c r="K731">
        <v>0</v>
      </c>
      <c r="L731">
        <v>1100</v>
      </c>
      <c r="M731">
        <v>1100</v>
      </c>
      <c r="N731">
        <v>0</v>
      </c>
    </row>
    <row r="732" spans="1:14" x14ac:dyDescent="0.25">
      <c r="A732">
        <v>551.03327000000002</v>
      </c>
      <c r="B732" s="1">
        <f>DATE(2011,11,3) + TIME(0,47,54)</f>
        <v>40850.033263888887</v>
      </c>
      <c r="C732">
        <v>80</v>
      </c>
      <c r="D732">
        <v>79.472640991000006</v>
      </c>
      <c r="E732">
        <v>50</v>
      </c>
      <c r="F732">
        <v>47.646289824999997</v>
      </c>
      <c r="G732">
        <v>1320.2248535000001</v>
      </c>
      <c r="H732">
        <v>1315.0175781</v>
      </c>
      <c r="I732">
        <v>1361.7532959</v>
      </c>
      <c r="J732">
        <v>1351.7624512</v>
      </c>
      <c r="K732">
        <v>0</v>
      </c>
      <c r="L732">
        <v>1100</v>
      </c>
      <c r="M732">
        <v>1100</v>
      </c>
      <c r="N732">
        <v>0</v>
      </c>
    </row>
    <row r="733" spans="1:14" x14ac:dyDescent="0.25">
      <c r="A733">
        <v>551.24979699999994</v>
      </c>
      <c r="B733" s="1">
        <f>DATE(2011,11,3) + TIME(5,59,42)</f>
        <v>40850.249791666669</v>
      </c>
      <c r="C733">
        <v>80</v>
      </c>
      <c r="D733">
        <v>79.434738159000005</v>
      </c>
      <c r="E733">
        <v>50</v>
      </c>
      <c r="F733">
        <v>47.905456543</v>
      </c>
      <c r="G733">
        <v>1320.2192382999999</v>
      </c>
      <c r="H733">
        <v>1315.0111084</v>
      </c>
      <c r="I733">
        <v>1361.6579589999999</v>
      </c>
      <c r="J733">
        <v>1351.7137451000001</v>
      </c>
      <c r="K733">
        <v>0</v>
      </c>
      <c r="L733">
        <v>1100</v>
      </c>
      <c r="M733">
        <v>1100</v>
      </c>
      <c r="N733">
        <v>0</v>
      </c>
    </row>
    <row r="734" spans="1:14" x14ac:dyDescent="0.25">
      <c r="A734">
        <v>551.48672599999998</v>
      </c>
      <c r="B734" s="1">
        <f>DATE(2011,11,3) + TIME(11,40,53)</f>
        <v>40850.486724537041</v>
      </c>
      <c r="C734">
        <v>80</v>
      </c>
      <c r="D734">
        <v>79.394218445000007</v>
      </c>
      <c r="E734">
        <v>50</v>
      </c>
      <c r="F734">
        <v>48.153671265</v>
      </c>
      <c r="G734">
        <v>1320.2132568</v>
      </c>
      <c r="H734">
        <v>1315.0040283000001</v>
      </c>
      <c r="I734">
        <v>1361.5646973</v>
      </c>
      <c r="J734">
        <v>1351.6652832</v>
      </c>
      <c r="K734">
        <v>0</v>
      </c>
      <c r="L734">
        <v>1100</v>
      </c>
      <c r="M734">
        <v>1100</v>
      </c>
      <c r="N734">
        <v>0</v>
      </c>
    </row>
    <row r="735" spans="1:14" x14ac:dyDescent="0.25">
      <c r="A735">
        <v>551.74830799999995</v>
      </c>
      <c r="B735" s="1">
        <f>DATE(2011,11,3) + TIME(17,57,33)</f>
        <v>40850.748298611114</v>
      </c>
      <c r="C735">
        <v>80</v>
      </c>
      <c r="D735">
        <v>79.350555420000006</v>
      </c>
      <c r="E735">
        <v>50</v>
      </c>
      <c r="F735">
        <v>48.390480042</v>
      </c>
      <c r="G735">
        <v>1320.2066649999999</v>
      </c>
      <c r="H735">
        <v>1314.9963379000001</v>
      </c>
      <c r="I735">
        <v>1361.4733887</v>
      </c>
      <c r="J735">
        <v>1351.6169434000001</v>
      </c>
      <c r="K735">
        <v>0</v>
      </c>
      <c r="L735">
        <v>1100</v>
      </c>
      <c r="M735">
        <v>1100</v>
      </c>
      <c r="N735">
        <v>0</v>
      </c>
    </row>
    <row r="736" spans="1:14" x14ac:dyDescent="0.25">
      <c r="A736">
        <v>552.04021</v>
      </c>
      <c r="B736" s="1">
        <f>DATE(2011,11,4) + TIME(0,57,54)</f>
        <v>40851.040208333332</v>
      </c>
      <c r="C736">
        <v>80</v>
      </c>
      <c r="D736">
        <v>79.303092957000004</v>
      </c>
      <c r="E736">
        <v>50</v>
      </c>
      <c r="F736">
        <v>48.615310669000003</v>
      </c>
      <c r="G736">
        <v>1320.1994629000001</v>
      </c>
      <c r="H736">
        <v>1314.9879149999999</v>
      </c>
      <c r="I736">
        <v>1361.3837891000001</v>
      </c>
      <c r="J736">
        <v>1351.5683594</v>
      </c>
      <c r="K736">
        <v>0</v>
      </c>
      <c r="L736">
        <v>1100</v>
      </c>
      <c r="M736">
        <v>1100</v>
      </c>
      <c r="N736">
        <v>0</v>
      </c>
    </row>
    <row r="737" spans="1:14" x14ac:dyDescent="0.25">
      <c r="A737">
        <v>552.37016300000005</v>
      </c>
      <c r="B737" s="1">
        <f>DATE(2011,11,4) + TIME(8,53,2)</f>
        <v>40851.370162037034</v>
      </c>
      <c r="C737">
        <v>80</v>
      </c>
      <c r="D737">
        <v>79.250938415999997</v>
      </c>
      <c r="E737">
        <v>50</v>
      </c>
      <c r="F737">
        <v>48.827449799</v>
      </c>
      <c r="G737">
        <v>1320.1914062000001</v>
      </c>
      <c r="H737">
        <v>1314.9783935999999</v>
      </c>
      <c r="I737">
        <v>1361.2955322</v>
      </c>
      <c r="J737">
        <v>1351.5192870999999</v>
      </c>
      <c r="K737">
        <v>0</v>
      </c>
      <c r="L737">
        <v>1100</v>
      </c>
      <c r="M737">
        <v>1100</v>
      </c>
      <c r="N737">
        <v>0</v>
      </c>
    </row>
    <row r="738" spans="1:14" x14ac:dyDescent="0.25">
      <c r="A738">
        <v>552.74909100000002</v>
      </c>
      <c r="B738" s="1">
        <f>DATE(2011,11,4) + TIME(17,58,41)</f>
        <v>40851.749085648145</v>
      </c>
      <c r="C738">
        <v>80</v>
      </c>
      <c r="D738">
        <v>79.192878723000007</v>
      </c>
      <c r="E738">
        <v>50</v>
      </c>
      <c r="F738">
        <v>49.025993346999996</v>
      </c>
      <c r="G738">
        <v>1320.1823730000001</v>
      </c>
      <c r="H738">
        <v>1314.9677733999999</v>
      </c>
      <c r="I738">
        <v>1361.208374</v>
      </c>
      <c r="J738">
        <v>1351.4692382999999</v>
      </c>
      <c r="K738">
        <v>0</v>
      </c>
      <c r="L738">
        <v>1100</v>
      </c>
      <c r="M738">
        <v>1100</v>
      </c>
      <c r="N738">
        <v>0</v>
      </c>
    </row>
    <row r="739" spans="1:14" x14ac:dyDescent="0.25">
      <c r="A739">
        <v>553.15832399999999</v>
      </c>
      <c r="B739" s="1">
        <f>DATE(2011,11,5) + TIME(3,47,59)</f>
        <v>40852.158321759256</v>
      </c>
      <c r="C739">
        <v>80</v>
      </c>
      <c r="D739">
        <v>79.131462096999996</v>
      </c>
      <c r="E739">
        <v>50</v>
      </c>
      <c r="F739">
        <v>49.198253631999997</v>
      </c>
      <c r="G739">
        <v>1320.171875</v>
      </c>
      <c r="H739">
        <v>1314.9555664</v>
      </c>
      <c r="I739">
        <v>1361.1271973</v>
      </c>
      <c r="J739">
        <v>1351.4207764</v>
      </c>
      <c r="K739">
        <v>0</v>
      </c>
      <c r="L739">
        <v>1100</v>
      </c>
      <c r="M739">
        <v>1100</v>
      </c>
      <c r="N739">
        <v>0</v>
      </c>
    </row>
    <row r="740" spans="1:14" x14ac:dyDescent="0.25">
      <c r="A740">
        <v>553.57042799999999</v>
      </c>
      <c r="B740" s="1">
        <f>DATE(2011,11,5) + TIME(13,41,24)</f>
        <v>40852.570416666669</v>
      </c>
      <c r="C740">
        <v>80</v>
      </c>
      <c r="D740">
        <v>79.070091247999997</v>
      </c>
      <c r="E740">
        <v>50</v>
      </c>
      <c r="F740">
        <v>49.337478638</v>
      </c>
      <c r="G740">
        <v>1320.1604004000001</v>
      </c>
      <c r="H740">
        <v>1314.9423827999999</v>
      </c>
      <c r="I740">
        <v>1361.0552978999999</v>
      </c>
      <c r="J740">
        <v>1351.3757324000001</v>
      </c>
      <c r="K740">
        <v>0</v>
      </c>
      <c r="L740">
        <v>1100</v>
      </c>
      <c r="M740">
        <v>1100</v>
      </c>
      <c r="N740">
        <v>0</v>
      </c>
    </row>
    <row r="741" spans="1:14" x14ac:dyDescent="0.25">
      <c r="A741">
        <v>553.99101900000005</v>
      </c>
      <c r="B741" s="1">
        <f>DATE(2011,11,5) + TIME(23,47,4)</f>
        <v>40852.991018518522</v>
      </c>
      <c r="C741">
        <v>80</v>
      </c>
      <c r="D741">
        <v>79.008110045999999</v>
      </c>
      <c r="E741">
        <v>50</v>
      </c>
      <c r="F741">
        <v>49.451110839999998</v>
      </c>
      <c r="G741">
        <v>1320.1488036999999</v>
      </c>
      <c r="H741">
        <v>1314.9289550999999</v>
      </c>
      <c r="I741">
        <v>1360.9906006000001</v>
      </c>
      <c r="J741">
        <v>1351.3341064000001</v>
      </c>
      <c r="K741">
        <v>0</v>
      </c>
      <c r="L741">
        <v>1100</v>
      </c>
      <c r="M741">
        <v>1100</v>
      </c>
      <c r="N741">
        <v>0</v>
      </c>
    </row>
    <row r="742" spans="1:14" x14ac:dyDescent="0.25">
      <c r="A742">
        <v>554.42319599999996</v>
      </c>
      <c r="B742" s="1">
        <f>DATE(2011,11,6) + TIME(10,9,24)</f>
        <v>40853.423194444447</v>
      </c>
      <c r="C742">
        <v>80</v>
      </c>
      <c r="D742">
        <v>78.945167541999993</v>
      </c>
      <c r="E742">
        <v>50</v>
      </c>
      <c r="F742">
        <v>49.544025421000001</v>
      </c>
      <c r="G742">
        <v>1320.1370850000001</v>
      </c>
      <c r="H742">
        <v>1314.9152832</v>
      </c>
      <c r="I742">
        <v>1360.9318848</v>
      </c>
      <c r="J742">
        <v>1351.2950439000001</v>
      </c>
      <c r="K742">
        <v>0</v>
      </c>
      <c r="L742">
        <v>1100</v>
      </c>
      <c r="M742">
        <v>1100</v>
      </c>
      <c r="N742">
        <v>0</v>
      </c>
    </row>
    <row r="743" spans="1:14" x14ac:dyDescent="0.25">
      <c r="A743">
        <v>554.87028599999996</v>
      </c>
      <c r="B743" s="1">
        <f>DATE(2011,11,6) + TIME(20,53,12)</f>
        <v>40853.87027777778</v>
      </c>
      <c r="C743">
        <v>80</v>
      </c>
      <c r="D743">
        <v>78.880882263000004</v>
      </c>
      <c r="E743">
        <v>50</v>
      </c>
      <c r="F743">
        <v>49.620033264</v>
      </c>
      <c r="G743">
        <v>1320.1248779</v>
      </c>
      <c r="H743">
        <v>1314.901001</v>
      </c>
      <c r="I743">
        <v>1360.8778076000001</v>
      </c>
      <c r="J743">
        <v>1351.2581786999999</v>
      </c>
      <c r="K743">
        <v>0</v>
      </c>
      <c r="L743">
        <v>1100</v>
      </c>
      <c r="M743">
        <v>1100</v>
      </c>
      <c r="N743">
        <v>0</v>
      </c>
    </row>
    <row r="744" spans="1:14" x14ac:dyDescent="0.25">
      <c r="A744">
        <v>555.33582999999999</v>
      </c>
      <c r="B744" s="1">
        <f>DATE(2011,11,7) + TIME(8,3,35)</f>
        <v>40854.335821759261</v>
      </c>
      <c r="C744">
        <v>80</v>
      </c>
      <c r="D744">
        <v>78.814857482999997</v>
      </c>
      <c r="E744">
        <v>50</v>
      </c>
      <c r="F744">
        <v>49.682132721000002</v>
      </c>
      <c r="G744">
        <v>1320.1123047000001</v>
      </c>
      <c r="H744">
        <v>1314.8862305</v>
      </c>
      <c r="I744">
        <v>1360.8275146000001</v>
      </c>
      <c r="J744">
        <v>1351.2229004000001</v>
      </c>
      <c r="K744">
        <v>0</v>
      </c>
      <c r="L744">
        <v>1100</v>
      </c>
      <c r="M744">
        <v>1100</v>
      </c>
      <c r="N744">
        <v>0</v>
      </c>
    </row>
    <row r="745" spans="1:14" x14ac:dyDescent="0.25">
      <c r="A745">
        <v>555.82376199999999</v>
      </c>
      <c r="B745" s="1">
        <f>DATE(2011,11,7) + TIME(19,46,13)</f>
        <v>40854.823761574073</v>
      </c>
      <c r="C745">
        <v>80</v>
      </c>
      <c r="D745">
        <v>78.746681213000002</v>
      </c>
      <c r="E745">
        <v>50</v>
      </c>
      <c r="F745">
        <v>49.732730865000001</v>
      </c>
      <c r="G745">
        <v>1320.0991211</v>
      </c>
      <c r="H745">
        <v>1314.8706055</v>
      </c>
      <c r="I745">
        <v>1360.7803954999999</v>
      </c>
      <c r="J745">
        <v>1351.1888428</v>
      </c>
      <c r="K745">
        <v>0</v>
      </c>
      <c r="L745">
        <v>1100</v>
      </c>
      <c r="M745">
        <v>1100</v>
      </c>
      <c r="N745">
        <v>0</v>
      </c>
    </row>
    <row r="746" spans="1:14" x14ac:dyDescent="0.25">
      <c r="A746">
        <v>556.33860800000002</v>
      </c>
      <c r="B746" s="1">
        <f>DATE(2011,11,8) + TIME(8,7,35)</f>
        <v>40855.338599537034</v>
      </c>
      <c r="C746">
        <v>80</v>
      </c>
      <c r="D746">
        <v>78.675880432</v>
      </c>
      <c r="E746">
        <v>50</v>
      </c>
      <c r="F746">
        <v>49.773792266999997</v>
      </c>
      <c r="G746">
        <v>1320.0852050999999</v>
      </c>
      <c r="H746">
        <v>1314.8542480000001</v>
      </c>
      <c r="I746">
        <v>1360.7357178</v>
      </c>
      <c r="J746">
        <v>1351.1560059000001</v>
      </c>
      <c r="K746">
        <v>0</v>
      </c>
      <c r="L746">
        <v>1100</v>
      </c>
      <c r="M746">
        <v>1100</v>
      </c>
      <c r="N746">
        <v>0</v>
      </c>
    </row>
    <row r="747" spans="1:14" x14ac:dyDescent="0.25">
      <c r="A747">
        <v>556.88571200000001</v>
      </c>
      <c r="B747" s="1">
        <f>DATE(2011,11,8) + TIME(21,15,25)</f>
        <v>40855.885706018518</v>
      </c>
      <c r="C747">
        <v>80</v>
      </c>
      <c r="D747">
        <v>78.601905822999996</v>
      </c>
      <c r="E747">
        <v>50</v>
      </c>
      <c r="F747">
        <v>49.806930542000003</v>
      </c>
      <c r="G747">
        <v>1320.0704346</v>
      </c>
      <c r="H747">
        <v>1314.8367920000001</v>
      </c>
      <c r="I747">
        <v>1360.6928711</v>
      </c>
      <c r="J747">
        <v>1351.1236572</v>
      </c>
      <c r="K747">
        <v>0</v>
      </c>
      <c r="L747">
        <v>1100</v>
      </c>
      <c r="M747">
        <v>1100</v>
      </c>
      <c r="N747">
        <v>0</v>
      </c>
    </row>
    <row r="748" spans="1:14" x14ac:dyDescent="0.25">
      <c r="A748">
        <v>557.47155999999995</v>
      </c>
      <c r="B748" s="1">
        <f>DATE(2011,11,9) + TIME(11,19,2)</f>
        <v>40856.471550925926</v>
      </c>
      <c r="C748">
        <v>80</v>
      </c>
      <c r="D748">
        <v>78.524116516000007</v>
      </c>
      <c r="E748">
        <v>50</v>
      </c>
      <c r="F748">
        <v>49.833488463999998</v>
      </c>
      <c r="G748">
        <v>1320.0548096</v>
      </c>
      <c r="H748">
        <v>1314.8179932</v>
      </c>
      <c r="I748">
        <v>1360.6514893000001</v>
      </c>
      <c r="J748">
        <v>1351.0919189000001</v>
      </c>
      <c r="K748">
        <v>0</v>
      </c>
      <c r="L748">
        <v>1100</v>
      </c>
      <c r="M748">
        <v>1100</v>
      </c>
      <c r="N748">
        <v>0</v>
      </c>
    </row>
    <row r="749" spans="1:14" x14ac:dyDescent="0.25">
      <c r="A749">
        <v>558.10414100000003</v>
      </c>
      <c r="B749" s="1">
        <f>DATE(2011,11,10) + TIME(2,29,57)</f>
        <v>40857.104131944441</v>
      </c>
      <c r="C749">
        <v>80</v>
      </c>
      <c r="D749">
        <v>78.441749572999996</v>
      </c>
      <c r="E749">
        <v>50</v>
      </c>
      <c r="F749">
        <v>49.854591370000001</v>
      </c>
      <c r="G749">
        <v>1320.0378418</v>
      </c>
      <c r="H749">
        <v>1314.7978516000001</v>
      </c>
      <c r="I749">
        <v>1360.6109618999999</v>
      </c>
      <c r="J749">
        <v>1351.0603027</v>
      </c>
      <c r="K749">
        <v>0</v>
      </c>
      <c r="L749">
        <v>1100</v>
      </c>
      <c r="M749">
        <v>1100</v>
      </c>
      <c r="N749">
        <v>0</v>
      </c>
    </row>
    <row r="750" spans="1:14" x14ac:dyDescent="0.25">
      <c r="A750">
        <v>558.78335600000003</v>
      </c>
      <c r="B750" s="1">
        <f>DATE(2011,11,10) + TIME(18,48,1)</f>
        <v>40857.78334490741</v>
      </c>
      <c r="C750">
        <v>80</v>
      </c>
      <c r="D750">
        <v>78.354827881000006</v>
      </c>
      <c r="E750">
        <v>50</v>
      </c>
      <c r="F750">
        <v>49.871021270999996</v>
      </c>
      <c r="G750">
        <v>1320.0192870999999</v>
      </c>
      <c r="H750">
        <v>1314.7757568</v>
      </c>
      <c r="I750">
        <v>1360.5710449000001</v>
      </c>
      <c r="J750">
        <v>1351.0285644999999</v>
      </c>
      <c r="K750">
        <v>0</v>
      </c>
      <c r="L750">
        <v>1100</v>
      </c>
      <c r="M750">
        <v>1100</v>
      </c>
      <c r="N750">
        <v>0</v>
      </c>
    </row>
    <row r="751" spans="1:14" x14ac:dyDescent="0.25">
      <c r="A751">
        <v>559.51139899999998</v>
      </c>
      <c r="B751" s="1">
        <f>DATE(2011,11,11) + TIME(12,16,24)</f>
        <v>40858.511388888888</v>
      </c>
      <c r="C751">
        <v>80</v>
      </c>
      <c r="D751">
        <v>78.263183593999997</v>
      </c>
      <c r="E751">
        <v>50</v>
      </c>
      <c r="F751">
        <v>49.883605957</v>
      </c>
      <c r="G751">
        <v>1319.9993896000001</v>
      </c>
      <c r="H751">
        <v>1314.7518310999999</v>
      </c>
      <c r="I751">
        <v>1360.5317382999999</v>
      </c>
      <c r="J751">
        <v>1350.9969481999999</v>
      </c>
      <c r="K751">
        <v>0</v>
      </c>
      <c r="L751">
        <v>1100</v>
      </c>
      <c r="M751">
        <v>1100</v>
      </c>
      <c r="N751">
        <v>0</v>
      </c>
    </row>
    <row r="752" spans="1:14" x14ac:dyDescent="0.25">
      <c r="A752">
        <v>560.29827399999999</v>
      </c>
      <c r="B752" s="1">
        <f>DATE(2011,11,12) + TIME(7,9,30)</f>
        <v>40859.298263888886</v>
      </c>
      <c r="C752">
        <v>80</v>
      </c>
      <c r="D752">
        <v>78.165977478000002</v>
      </c>
      <c r="E752">
        <v>50</v>
      </c>
      <c r="F752">
        <v>49.893177031999997</v>
      </c>
      <c r="G752">
        <v>1319.9777832</v>
      </c>
      <c r="H752">
        <v>1314.7258300999999</v>
      </c>
      <c r="I752">
        <v>1360.4929199000001</v>
      </c>
      <c r="J752">
        <v>1350.9654541</v>
      </c>
      <c r="K752">
        <v>0</v>
      </c>
      <c r="L752">
        <v>1100</v>
      </c>
      <c r="M752">
        <v>1100</v>
      </c>
      <c r="N752">
        <v>0</v>
      </c>
    </row>
    <row r="753" spans="1:14" x14ac:dyDescent="0.25">
      <c r="A753">
        <v>561.11734200000001</v>
      </c>
      <c r="B753" s="1">
        <f>DATE(2011,11,13) + TIME(2,48,58)</f>
        <v>40860.117337962962</v>
      </c>
      <c r="C753">
        <v>80</v>
      </c>
      <c r="D753">
        <v>78.065505981000001</v>
      </c>
      <c r="E753">
        <v>50</v>
      </c>
      <c r="F753">
        <v>49.900165557999998</v>
      </c>
      <c r="G753">
        <v>1319.9541016000001</v>
      </c>
      <c r="H753">
        <v>1314.6975098</v>
      </c>
      <c r="I753">
        <v>1360.4542236</v>
      </c>
      <c r="J753">
        <v>1350.9337158000001</v>
      </c>
      <c r="K753">
        <v>0</v>
      </c>
      <c r="L753">
        <v>1100</v>
      </c>
      <c r="M753">
        <v>1100</v>
      </c>
      <c r="N753">
        <v>0</v>
      </c>
    </row>
    <row r="754" spans="1:14" x14ac:dyDescent="0.25">
      <c r="A754">
        <v>561.95028000000002</v>
      </c>
      <c r="B754" s="1">
        <f>DATE(2011,11,13) + TIME(22,48,24)</f>
        <v>40860.950277777774</v>
      </c>
      <c r="C754">
        <v>80</v>
      </c>
      <c r="D754">
        <v>77.963592528999996</v>
      </c>
      <c r="E754">
        <v>50</v>
      </c>
      <c r="F754">
        <v>49.905181884999998</v>
      </c>
      <c r="G754">
        <v>1319.9293213000001</v>
      </c>
      <c r="H754">
        <v>1314.6676024999999</v>
      </c>
      <c r="I754">
        <v>1360.4168701000001</v>
      </c>
      <c r="J754">
        <v>1350.902832</v>
      </c>
      <c r="K754">
        <v>0</v>
      </c>
      <c r="L754">
        <v>1100</v>
      </c>
      <c r="M754">
        <v>1100</v>
      </c>
      <c r="N754">
        <v>0</v>
      </c>
    </row>
    <row r="755" spans="1:14" x14ac:dyDescent="0.25">
      <c r="A755">
        <v>562.80564100000004</v>
      </c>
      <c r="B755" s="1">
        <f>DATE(2011,11,14) + TIME(19,20,7)</f>
        <v>40861.805636574078</v>
      </c>
      <c r="C755">
        <v>80</v>
      </c>
      <c r="D755">
        <v>77.859855651999993</v>
      </c>
      <c r="E755">
        <v>50</v>
      </c>
      <c r="F755">
        <v>49.908828735</v>
      </c>
      <c r="G755">
        <v>1319.9036865</v>
      </c>
      <c r="H755">
        <v>1314.6365966999999</v>
      </c>
      <c r="I755">
        <v>1360.3814697</v>
      </c>
      <c r="J755">
        <v>1350.8735352000001</v>
      </c>
      <c r="K755">
        <v>0</v>
      </c>
      <c r="L755">
        <v>1100</v>
      </c>
      <c r="M755">
        <v>1100</v>
      </c>
      <c r="N755">
        <v>0</v>
      </c>
    </row>
    <row r="756" spans="1:14" x14ac:dyDescent="0.25">
      <c r="A756">
        <v>563.69183399999997</v>
      </c>
      <c r="B756" s="1">
        <f>DATE(2011,11,15) + TIME(16,36,14)</f>
        <v>40862.691828703704</v>
      </c>
      <c r="C756">
        <v>80</v>
      </c>
      <c r="D756">
        <v>77.753799438000001</v>
      </c>
      <c r="E756">
        <v>50</v>
      </c>
      <c r="F756">
        <v>49.911521911999998</v>
      </c>
      <c r="G756">
        <v>1319.8770752</v>
      </c>
      <c r="H756">
        <v>1314.6042480000001</v>
      </c>
      <c r="I756">
        <v>1360.3475341999999</v>
      </c>
      <c r="J756">
        <v>1350.8453368999999</v>
      </c>
      <c r="K756">
        <v>0</v>
      </c>
      <c r="L756">
        <v>1100</v>
      </c>
      <c r="M756">
        <v>1100</v>
      </c>
      <c r="N756">
        <v>0</v>
      </c>
    </row>
    <row r="757" spans="1:14" x14ac:dyDescent="0.25">
      <c r="A757">
        <v>564.61787700000002</v>
      </c>
      <c r="B757" s="1">
        <f>DATE(2011,11,16) + TIME(14,49,44)</f>
        <v>40863.61787037037</v>
      </c>
      <c r="C757">
        <v>80</v>
      </c>
      <c r="D757">
        <v>77.644783020000006</v>
      </c>
      <c r="E757">
        <v>50</v>
      </c>
      <c r="F757">
        <v>49.913539886000002</v>
      </c>
      <c r="G757">
        <v>1319.8492432</v>
      </c>
      <c r="H757">
        <v>1314.5701904</v>
      </c>
      <c r="I757">
        <v>1360.3144531</v>
      </c>
      <c r="J757">
        <v>1350.8178711</v>
      </c>
      <c r="K757">
        <v>0</v>
      </c>
      <c r="L757">
        <v>1100</v>
      </c>
      <c r="M757">
        <v>1100</v>
      </c>
      <c r="N757">
        <v>0</v>
      </c>
    </row>
    <row r="758" spans="1:14" x14ac:dyDescent="0.25">
      <c r="A758">
        <v>565.59401500000001</v>
      </c>
      <c r="B758" s="1">
        <f>DATE(2011,11,17) + TIME(14,15,22)</f>
        <v>40864.594004629631</v>
      </c>
      <c r="C758">
        <v>80</v>
      </c>
      <c r="D758">
        <v>77.532051085999996</v>
      </c>
      <c r="E758">
        <v>50</v>
      </c>
      <c r="F758">
        <v>49.915073395</v>
      </c>
      <c r="G758">
        <v>1319.8198242000001</v>
      </c>
      <c r="H758">
        <v>1314.5340576000001</v>
      </c>
      <c r="I758">
        <v>1360.2819824000001</v>
      </c>
      <c r="J758">
        <v>1350.7908935999999</v>
      </c>
      <c r="K758">
        <v>0</v>
      </c>
      <c r="L758">
        <v>1100</v>
      </c>
      <c r="M758">
        <v>1100</v>
      </c>
      <c r="N758">
        <v>0</v>
      </c>
    </row>
    <row r="759" spans="1:14" x14ac:dyDescent="0.25">
      <c r="A759">
        <v>566.632428</v>
      </c>
      <c r="B759" s="1">
        <f>DATE(2011,11,18) + TIME(15,10,41)</f>
        <v>40865.632418981484</v>
      </c>
      <c r="C759">
        <v>80</v>
      </c>
      <c r="D759">
        <v>77.414665221999996</v>
      </c>
      <c r="E759">
        <v>50</v>
      </c>
      <c r="F759">
        <v>49.916259766000003</v>
      </c>
      <c r="G759">
        <v>1319.7883300999999</v>
      </c>
      <c r="H759">
        <v>1314.4952393000001</v>
      </c>
      <c r="I759">
        <v>1360.2497559000001</v>
      </c>
      <c r="J759">
        <v>1350.7640381000001</v>
      </c>
      <c r="K759">
        <v>0</v>
      </c>
      <c r="L759">
        <v>1100</v>
      </c>
      <c r="M759">
        <v>1100</v>
      </c>
      <c r="N759">
        <v>0</v>
      </c>
    </row>
    <row r="760" spans="1:14" x14ac:dyDescent="0.25">
      <c r="A760">
        <v>567.72723900000005</v>
      </c>
      <c r="B760" s="1">
        <f>DATE(2011,11,19) + TIME(17,27,13)</f>
        <v>40866.727233796293</v>
      </c>
      <c r="C760">
        <v>80</v>
      </c>
      <c r="D760">
        <v>77.29296875</v>
      </c>
      <c r="E760">
        <v>50</v>
      </c>
      <c r="F760">
        <v>49.917179107999999</v>
      </c>
      <c r="G760">
        <v>1319.7545166</v>
      </c>
      <c r="H760">
        <v>1314.4533690999999</v>
      </c>
      <c r="I760">
        <v>1360.2174072</v>
      </c>
      <c r="J760">
        <v>1350.7371826000001</v>
      </c>
      <c r="K760">
        <v>0</v>
      </c>
      <c r="L760">
        <v>1100</v>
      </c>
      <c r="M760">
        <v>1100</v>
      </c>
      <c r="N760">
        <v>0</v>
      </c>
    </row>
    <row r="761" spans="1:14" x14ac:dyDescent="0.25">
      <c r="A761">
        <v>568.86774100000002</v>
      </c>
      <c r="B761" s="1">
        <f>DATE(2011,11,20) + TIME(20,49,32)</f>
        <v>40867.867731481485</v>
      </c>
      <c r="C761">
        <v>80</v>
      </c>
      <c r="D761">
        <v>77.167785644999995</v>
      </c>
      <c r="E761">
        <v>50</v>
      </c>
      <c r="F761">
        <v>49.917896270999996</v>
      </c>
      <c r="G761">
        <v>1319.7182617000001</v>
      </c>
      <c r="H761">
        <v>1314.4085693</v>
      </c>
      <c r="I761">
        <v>1360.1854248</v>
      </c>
      <c r="J761">
        <v>1350.7105713000001</v>
      </c>
      <c r="K761">
        <v>0</v>
      </c>
      <c r="L761">
        <v>1100</v>
      </c>
      <c r="M761">
        <v>1100</v>
      </c>
      <c r="N761">
        <v>0</v>
      </c>
    </row>
    <row r="762" spans="1:14" x14ac:dyDescent="0.25">
      <c r="A762">
        <v>570.06488200000001</v>
      </c>
      <c r="B762" s="1">
        <f>DATE(2011,11,22) + TIME(1,33,25)</f>
        <v>40869.064872685187</v>
      </c>
      <c r="C762">
        <v>80</v>
      </c>
      <c r="D762">
        <v>77.038581848000007</v>
      </c>
      <c r="E762">
        <v>50</v>
      </c>
      <c r="F762">
        <v>49.918468474999997</v>
      </c>
      <c r="G762">
        <v>1319.6799315999999</v>
      </c>
      <c r="H762">
        <v>1314.3608397999999</v>
      </c>
      <c r="I762">
        <v>1360.1540527</v>
      </c>
      <c r="J762">
        <v>1350.6844481999999</v>
      </c>
      <c r="K762">
        <v>0</v>
      </c>
      <c r="L762">
        <v>1100</v>
      </c>
      <c r="M762">
        <v>1100</v>
      </c>
      <c r="N762">
        <v>0</v>
      </c>
    </row>
    <row r="763" spans="1:14" x14ac:dyDescent="0.25">
      <c r="A763">
        <v>571.31816300000003</v>
      </c>
      <c r="B763" s="1">
        <f>DATE(2011,11,23) + TIME(7,38,9)</f>
        <v>40870.318159722221</v>
      </c>
      <c r="C763">
        <v>80</v>
      </c>
      <c r="D763">
        <v>76.905479431000003</v>
      </c>
      <c r="E763">
        <v>50</v>
      </c>
      <c r="F763">
        <v>49.918933868000003</v>
      </c>
      <c r="G763">
        <v>1319.6391602000001</v>
      </c>
      <c r="H763">
        <v>1314.3099365</v>
      </c>
      <c r="I763">
        <v>1360.1229248</v>
      </c>
      <c r="J763">
        <v>1350.6585693</v>
      </c>
      <c r="K763">
        <v>0</v>
      </c>
      <c r="L763">
        <v>1100</v>
      </c>
      <c r="M763">
        <v>1100</v>
      </c>
      <c r="N763">
        <v>0</v>
      </c>
    </row>
    <row r="764" spans="1:14" x14ac:dyDescent="0.25">
      <c r="A764">
        <v>572.60844999999995</v>
      </c>
      <c r="B764" s="1">
        <f>DATE(2011,11,24) + TIME(14,36,10)</f>
        <v>40871.608449074076</v>
      </c>
      <c r="C764">
        <v>80</v>
      </c>
      <c r="D764">
        <v>76.769813537999994</v>
      </c>
      <c r="E764">
        <v>50</v>
      </c>
      <c r="F764">
        <v>49.919311522999998</v>
      </c>
      <c r="G764">
        <v>1319.5958252</v>
      </c>
      <c r="H764">
        <v>1314.2556152</v>
      </c>
      <c r="I764">
        <v>1360.0921631000001</v>
      </c>
      <c r="J764">
        <v>1350.6329346</v>
      </c>
      <c r="K764">
        <v>0</v>
      </c>
      <c r="L764">
        <v>1100</v>
      </c>
      <c r="M764">
        <v>1100</v>
      </c>
      <c r="N764">
        <v>0</v>
      </c>
    </row>
    <row r="765" spans="1:14" x14ac:dyDescent="0.25">
      <c r="A765">
        <v>573.93924100000004</v>
      </c>
      <c r="B765" s="1">
        <f>DATE(2011,11,25) + TIME(22,32,30)</f>
        <v>40872.939236111109</v>
      </c>
      <c r="C765">
        <v>80</v>
      </c>
      <c r="D765">
        <v>76.631759643999999</v>
      </c>
      <c r="E765">
        <v>50</v>
      </c>
      <c r="F765">
        <v>49.919628142999997</v>
      </c>
      <c r="G765">
        <v>1319.5504149999999</v>
      </c>
      <c r="H765">
        <v>1314.1986084</v>
      </c>
      <c r="I765">
        <v>1360.0623779</v>
      </c>
      <c r="J765">
        <v>1350.6081543</v>
      </c>
      <c r="K765">
        <v>0</v>
      </c>
      <c r="L765">
        <v>1100</v>
      </c>
      <c r="M765">
        <v>1100</v>
      </c>
      <c r="N765">
        <v>0</v>
      </c>
    </row>
    <row r="766" spans="1:14" x14ac:dyDescent="0.25">
      <c r="A766">
        <v>575.30231500000002</v>
      </c>
      <c r="B766" s="1">
        <f>DATE(2011,11,27) + TIME(7,15,19)</f>
        <v>40874.302303240744</v>
      </c>
      <c r="C766">
        <v>80</v>
      </c>
      <c r="D766">
        <v>76.492073059000006</v>
      </c>
      <c r="E766">
        <v>50</v>
      </c>
      <c r="F766">
        <v>49.919891356999997</v>
      </c>
      <c r="G766">
        <v>1319.5028076000001</v>
      </c>
      <c r="H766">
        <v>1314.1385498</v>
      </c>
      <c r="I766">
        <v>1360.0332031</v>
      </c>
      <c r="J766">
        <v>1350.5839844</v>
      </c>
      <c r="K766">
        <v>0</v>
      </c>
      <c r="L766">
        <v>1100</v>
      </c>
      <c r="M766">
        <v>1100</v>
      </c>
      <c r="N766">
        <v>0</v>
      </c>
    </row>
    <row r="767" spans="1:14" x14ac:dyDescent="0.25">
      <c r="A767">
        <v>576.68980599999998</v>
      </c>
      <c r="B767" s="1">
        <f>DATE(2011,11,28) + TIME(16,33,19)</f>
        <v>40875.689803240741</v>
      </c>
      <c r="C767">
        <v>80</v>
      </c>
      <c r="D767">
        <v>76.351516724000007</v>
      </c>
      <c r="E767">
        <v>50</v>
      </c>
      <c r="F767">
        <v>49.920120238999999</v>
      </c>
      <c r="G767">
        <v>1319.4532471</v>
      </c>
      <c r="H767">
        <v>1314.0758057</v>
      </c>
      <c r="I767">
        <v>1360.0051269999999</v>
      </c>
      <c r="J767">
        <v>1350.5606689000001</v>
      </c>
      <c r="K767">
        <v>0</v>
      </c>
      <c r="L767">
        <v>1100</v>
      </c>
      <c r="M767">
        <v>1100</v>
      </c>
      <c r="N767">
        <v>0</v>
      </c>
    </row>
    <row r="768" spans="1:14" x14ac:dyDescent="0.25">
      <c r="A768">
        <v>578.10551299999997</v>
      </c>
      <c r="B768" s="1">
        <f>DATE(2011,11,30) + TIME(2,31,56)</f>
        <v>40877.105509259258</v>
      </c>
      <c r="C768">
        <v>80</v>
      </c>
      <c r="D768">
        <v>76.210182189999998</v>
      </c>
      <c r="E768">
        <v>50</v>
      </c>
      <c r="F768">
        <v>49.920318604000002</v>
      </c>
      <c r="G768">
        <v>1319.4019774999999</v>
      </c>
      <c r="H768">
        <v>1314.0106201000001</v>
      </c>
      <c r="I768">
        <v>1359.9779053</v>
      </c>
      <c r="J768">
        <v>1350.5380858999999</v>
      </c>
      <c r="K768">
        <v>0</v>
      </c>
      <c r="L768">
        <v>1100</v>
      </c>
      <c r="M768">
        <v>1100</v>
      </c>
      <c r="N768">
        <v>0</v>
      </c>
    </row>
    <row r="769" spans="1:14" x14ac:dyDescent="0.25">
      <c r="A769">
        <v>579</v>
      </c>
      <c r="B769" s="1">
        <f>DATE(2011,12,1) + TIME(0,0,0)</f>
        <v>40878</v>
      </c>
      <c r="C769">
        <v>80</v>
      </c>
      <c r="D769">
        <v>76.105522156000006</v>
      </c>
      <c r="E769">
        <v>50</v>
      </c>
      <c r="F769">
        <v>49.920425414999997</v>
      </c>
      <c r="G769">
        <v>1319.3496094</v>
      </c>
      <c r="H769">
        <v>1313.9460449000001</v>
      </c>
      <c r="I769">
        <v>1359.9512939000001</v>
      </c>
      <c r="J769">
        <v>1350.5158690999999</v>
      </c>
      <c r="K769">
        <v>0</v>
      </c>
      <c r="L769">
        <v>1100</v>
      </c>
      <c r="M769">
        <v>1100</v>
      </c>
      <c r="N769">
        <v>0</v>
      </c>
    </row>
    <row r="770" spans="1:14" x14ac:dyDescent="0.25">
      <c r="A770">
        <v>580.447092</v>
      </c>
      <c r="B770" s="1">
        <f>DATE(2011,12,2) + TIME(10,43,48)</f>
        <v>40879.447083333333</v>
      </c>
      <c r="C770">
        <v>80</v>
      </c>
      <c r="D770">
        <v>75.971008300999998</v>
      </c>
      <c r="E770">
        <v>50</v>
      </c>
      <c r="F770">
        <v>49.920593261999997</v>
      </c>
      <c r="G770">
        <v>1319.3135986</v>
      </c>
      <c r="H770">
        <v>1313.8966064000001</v>
      </c>
      <c r="I770">
        <v>1359.9357910000001</v>
      </c>
      <c r="J770">
        <v>1350.5030518000001</v>
      </c>
      <c r="K770">
        <v>0</v>
      </c>
      <c r="L770">
        <v>1100</v>
      </c>
      <c r="M770">
        <v>1100</v>
      </c>
      <c r="N770">
        <v>0</v>
      </c>
    </row>
    <row r="771" spans="1:14" x14ac:dyDescent="0.25">
      <c r="A771">
        <v>581.934439</v>
      </c>
      <c r="B771" s="1">
        <f>DATE(2011,12,3) + TIME(22,25,35)</f>
        <v>40880.934432870374</v>
      </c>
      <c r="C771">
        <v>80</v>
      </c>
      <c r="D771">
        <v>75.832672118999994</v>
      </c>
      <c r="E771">
        <v>50</v>
      </c>
      <c r="F771">
        <v>49.920749663999999</v>
      </c>
      <c r="G771">
        <v>1319.2584228999999</v>
      </c>
      <c r="H771">
        <v>1313.8261719</v>
      </c>
      <c r="I771">
        <v>1359.9111327999999</v>
      </c>
      <c r="J771">
        <v>1350.4825439000001</v>
      </c>
      <c r="K771">
        <v>0</v>
      </c>
      <c r="L771">
        <v>1100</v>
      </c>
      <c r="M771">
        <v>1100</v>
      </c>
      <c r="N771">
        <v>0</v>
      </c>
    </row>
    <row r="772" spans="1:14" x14ac:dyDescent="0.25">
      <c r="A772">
        <v>583.45017199999995</v>
      </c>
      <c r="B772" s="1">
        <f>DATE(2011,12,5) + TIME(10,48,14)</f>
        <v>40882.450162037036</v>
      </c>
      <c r="C772">
        <v>80</v>
      </c>
      <c r="D772">
        <v>75.692092896000005</v>
      </c>
      <c r="E772">
        <v>50</v>
      </c>
      <c r="F772">
        <v>49.920894623000002</v>
      </c>
      <c r="G772">
        <v>1319.2005615</v>
      </c>
      <c r="H772">
        <v>1313.7518310999999</v>
      </c>
      <c r="I772">
        <v>1359.8868408000001</v>
      </c>
      <c r="J772">
        <v>1350.4624022999999</v>
      </c>
      <c r="K772">
        <v>0</v>
      </c>
      <c r="L772">
        <v>1100</v>
      </c>
      <c r="M772">
        <v>1100</v>
      </c>
      <c r="N772">
        <v>0</v>
      </c>
    </row>
    <row r="773" spans="1:14" x14ac:dyDescent="0.25">
      <c r="A773">
        <v>584.99802</v>
      </c>
      <c r="B773" s="1">
        <f>DATE(2011,12,6) + TIME(23,57,8)</f>
        <v>40883.99800925926</v>
      </c>
      <c r="C773">
        <v>80</v>
      </c>
      <c r="D773">
        <v>75.549858092999997</v>
      </c>
      <c r="E773">
        <v>50</v>
      </c>
      <c r="F773">
        <v>49.921035766999999</v>
      </c>
      <c r="G773">
        <v>1319.1405029</v>
      </c>
      <c r="H773">
        <v>1313.6744385</v>
      </c>
      <c r="I773">
        <v>1359.8632812000001</v>
      </c>
      <c r="J773">
        <v>1350.4428711</v>
      </c>
      <c r="K773">
        <v>0</v>
      </c>
      <c r="L773">
        <v>1100</v>
      </c>
      <c r="M773">
        <v>1100</v>
      </c>
      <c r="N773">
        <v>0</v>
      </c>
    </row>
    <row r="774" spans="1:14" x14ac:dyDescent="0.25">
      <c r="A774">
        <v>586.58147299999996</v>
      </c>
      <c r="B774" s="1">
        <f>DATE(2011,12,8) + TIME(13,57,19)</f>
        <v>40885.581469907411</v>
      </c>
      <c r="C774">
        <v>80</v>
      </c>
      <c r="D774">
        <v>75.406196593999994</v>
      </c>
      <c r="E774">
        <v>50</v>
      </c>
      <c r="F774">
        <v>49.921173095999997</v>
      </c>
      <c r="G774">
        <v>1319.0782471</v>
      </c>
      <c r="H774">
        <v>1313.59375</v>
      </c>
      <c r="I774">
        <v>1359.840332</v>
      </c>
      <c r="J774">
        <v>1350.4238281</v>
      </c>
      <c r="K774">
        <v>0</v>
      </c>
      <c r="L774">
        <v>1100</v>
      </c>
      <c r="M774">
        <v>1100</v>
      </c>
      <c r="N774">
        <v>0</v>
      </c>
    </row>
    <row r="775" spans="1:14" x14ac:dyDescent="0.25">
      <c r="A775">
        <v>588.20408399999997</v>
      </c>
      <c r="B775" s="1">
        <f>DATE(2011,12,10) + TIME(4,53,52)</f>
        <v>40887.204074074078</v>
      </c>
      <c r="C775">
        <v>80</v>
      </c>
      <c r="D775">
        <v>75.261146545000003</v>
      </c>
      <c r="E775">
        <v>50</v>
      </c>
      <c r="F775">
        <v>49.921306610000002</v>
      </c>
      <c r="G775">
        <v>1319.0135498</v>
      </c>
      <c r="H775">
        <v>1313.5095214999999</v>
      </c>
      <c r="I775">
        <v>1359.8179932</v>
      </c>
      <c r="J775">
        <v>1350.4052733999999</v>
      </c>
      <c r="K775">
        <v>0</v>
      </c>
      <c r="L775">
        <v>1100</v>
      </c>
      <c r="M775">
        <v>1100</v>
      </c>
      <c r="N775">
        <v>0</v>
      </c>
    </row>
    <row r="776" spans="1:14" x14ac:dyDescent="0.25">
      <c r="A776">
        <v>589.86950999999999</v>
      </c>
      <c r="B776" s="1">
        <f>DATE(2011,12,11) + TIME(20,52,5)</f>
        <v>40888.869502314818</v>
      </c>
      <c r="C776">
        <v>80</v>
      </c>
      <c r="D776">
        <v>75.114608765</v>
      </c>
      <c r="E776">
        <v>50</v>
      </c>
      <c r="F776">
        <v>49.921440124999997</v>
      </c>
      <c r="G776">
        <v>1318.9461670000001</v>
      </c>
      <c r="H776">
        <v>1313.4217529</v>
      </c>
      <c r="I776">
        <v>1359.7960204999999</v>
      </c>
      <c r="J776">
        <v>1350.3870850000001</v>
      </c>
      <c r="K776">
        <v>0</v>
      </c>
      <c r="L776">
        <v>1100</v>
      </c>
      <c r="M776">
        <v>1100</v>
      </c>
      <c r="N776">
        <v>0</v>
      </c>
    </row>
    <row r="777" spans="1:14" x14ac:dyDescent="0.25">
      <c r="A777">
        <v>591.58162100000004</v>
      </c>
      <c r="B777" s="1">
        <f>DATE(2011,12,13) + TIME(13,57,32)</f>
        <v>40890.581620370373</v>
      </c>
      <c r="C777">
        <v>80</v>
      </c>
      <c r="D777">
        <v>74.966377257999994</v>
      </c>
      <c r="E777">
        <v>50</v>
      </c>
      <c r="F777">
        <v>49.921573639000002</v>
      </c>
      <c r="G777">
        <v>1318.8759766000001</v>
      </c>
      <c r="H777">
        <v>1313.3299560999999</v>
      </c>
      <c r="I777">
        <v>1359.7745361</v>
      </c>
      <c r="J777">
        <v>1350.3692627</v>
      </c>
      <c r="K777">
        <v>0</v>
      </c>
      <c r="L777">
        <v>1100</v>
      </c>
      <c r="M777">
        <v>1100</v>
      </c>
      <c r="N777">
        <v>0</v>
      </c>
    </row>
    <row r="778" spans="1:14" x14ac:dyDescent="0.25">
      <c r="A778">
        <v>593.34447699999998</v>
      </c>
      <c r="B778" s="1">
        <f>DATE(2011,12,15) + TIME(8,16,2)</f>
        <v>40892.344467592593</v>
      </c>
      <c r="C778">
        <v>80</v>
      </c>
      <c r="D778">
        <v>74.816116332999997</v>
      </c>
      <c r="E778">
        <v>50</v>
      </c>
      <c r="F778">
        <v>49.921707153</v>
      </c>
      <c r="G778">
        <v>1318.8027344</v>
      </c>
      <c r="H778">
        <v>1313.2340088000001</v>
      </c>
      <c r="I778">
        <v>1359.7532959</v>
      </c>
      <c r="J778">
        <v>1350.3516846</v>
      </c>
      <c r="K778">
        <v>0</v>
      </c>
      <c r="L778">
        <v>1100</v>
      </c>
      <c r="M778">
        <v>1100</v>
      </c>
      <c r="N778">
        <v>0</v>
      </c>
    </row>
    <row r="779" spans="1:14" x14ac:dyDescent="0.25">
      <c r="A779">
        <v>595.16239900000005</v>
      </c>
      <c r="B779" s="1">
        <f>DATE(2011,12,17) + TIME(3,53,51)</f>
        <v>40894.162395833337</v>
      </c>
      <c r="C779">
        <v>80</v>
      </c>
      <c r="D779">
        <v>74.663642882999994</v>
      </c>
      <c r="E779">
        <v>50</v>
      </c>
      <c r="F779">
        <v>49.921848296999997</v>
      </c>
      <c r="G779">
        <v>1318.7263184000001</v>
      </c>
      <c r="H779">
        <v>1313.1334228999999</v>
      </c>
      <c r="I779">
        <v>1359.7324219</v>
      </c>
      <c r="J779">
        <v>1350.3343506000001</v>
      </c>
      <c r="K779">
        <v>0</v>
      </c>
      <c r="L779">
        <v>1100</v>
      </c>
      <c r="M779">
        <v>1100</v>
      </c>
      <c r="N779">
        <v>0</v>
      </c>
    </row>
    <row r="780" spans="1:14" x14ac:dyDescent="0.25">
      <c r="A780">
        <v>597.03988800000002</v>
      </c>
      <c r="B780" s="1">
        <f>DATE(2011,12,19) + TIME(0,57,26)</f>
        <v>40896.039884259262</v>
      </c>
      <c r="C780">
        <v>80</v>
      </c>
      <c r="D780">
        <v>74.508651732999994</v>
      </c>
      <c r="E780">
        <v>50</v>
      </c>
      <c r="F780">
        <v>49.921989441000001</v>
      </c>
      <c r="G780">
        <v>1318.6463623</v>
      </c>
      <c r="H780">
        <v>1313.027832</v>
      </c>
      <c r="I780">
        <v>1359.7116699000001</v>
      </c>
      <c r="J780">
        <v>1350.3172606999999</v>
      </c>
      <c r="K780">
        <v>0</v>
      </c>
      <c r="L780">
        <v>1100</v>
      </c>
      <c r="M780">
        <v>1100</v>
      </c>
      <c r="N780">
        <v>0</v>
      </c>
    </row>
    <row r="781" spans="1:14" x14ac:dyDescent="0.25">
      <c r="A781">
        <v>598.96777199999997</v>
      </c>
      <c r="B781" s="1">
        <f>DATE(2011,12,20) + TIME(23,13,35)</f>
        <v>40897.967766203707</v>
      </c>
      <c r="C781">
        <v>80</v>
      </c>
      <c r="D781">
        <v>74.351387024000005</v>
      </c>
      <c r="E781">
        <v>50</v>
      </c>
      <c r="F781">
        <v>49.922134399000001</v>
      </c>
      <c r="G781">
        <v>1318.5625</v>
      </c>
      <c r="H781">
        <v>1312.9171143000001</v>
      </c>
      <c r="I781">
        <v>1359.6912841999999</v>
      </c>
      <c r="J781">
        <v>1350.300293</v>
      </c>
      <c r="K781">
        <v>0</v>
      </c>
      <c r="L781">
        <v>1100</v>
      </c>
      <c r="M781">
        <v>1100</v>
      </c>
      <c r="N781">
        <v>0</v>
      </c>
    </row>
    <row r="782" spans="1:14" x14ac:dyDescent="0.25">
      <c r="A782">
        <v>600.92154300000004</v>
      </c>
      <c r="B782" s="1">
        <f>DATE(2011,12,22) + TIME(22,7,1)</f>
        <v>40899.921539351853</v>
      </c>
      <c r="C782">
        <v>80</v>
      </c>
      <c r="D782">
        <v>74.192932128999999</v>
      </c>
      <c r="E782">
        <v>50</v>
      </c>
      <c r="F782">
        <v>49.922279357999997</v>
      </c>
      <c r="G782">
        <v>1318.4752197</v>
      </c>
      <c r="H782">
        <v>1312.8013916</v>
      </c>
      <c r="I782">
        <v>1359.6711425999999</v>
      </c>
      <c r="J782">
        <v>1350.2835693</v>
      </c>
      <c r="K782">
        <v>0</v>
      </c>
      <c r="L782">
        <v>1100</v>
      </c>
      <c r="M782">
        <v>1100</v>
      </c>
      <c r="N782">
        <v>0</v>
      </c>
    </row>
    <row r="783" spans="1:14" x14ac:dyDescent="0.25">
      <c r="A783">
        <v>602.90588200000002</v>
      </c>
      <c r="B783" s="1">
        <f>DATE(2011,12,24) + TIME(21,44,28)</f>
        <v>40901.90587962963</v>
      </c>
      <c r="C783">
        <v>80</v>
      </c>
      <c r="D783">
        <v>74.033592224000003</v>
      </c>
      <c r="E783">
        <v>50</v>
      </c>
      <c r="F783">
        <v>49.922424315999997</v>
      </c>
      <c r="G783">
        <v>1318.3852539</v>
      </c>
      <c r="H783">
        <v>1312.6817627</v>
      </c>
      <c r="I783">
        <v>1359.6514893000001</v>
      </c>
      <c r="J783">
        <v>1350.2673339999999</v>
      </c>
      <c r="K783">
        <v>0</v>
      </c>
      <c r="L783">
        <v>1100</v>
      </c>
      <c r="M783">
        <v>1100</v>
      </c>
      <c r="N783">
        <v>0</v>
      </c>
    </row>
    <row r="784" spans="1:14" x14ac:dyDescent="0.25">
      <c r="A784">
        <v>604.92481199999997</v>
      </c>
      <c r="B784" s="1">
        <f>DATE(2011,12,26) + TIME(22,11,43)</f>
        <v>40903.924803240741</v>
      </c>
      <c r="C784">
        <v>80</v>
      </c>
      <c r="D784">
        <v>73.873306274000001</v>
      </c>
      <c r="E784">
        <v>50</v>
      </c>
      <c r="F784">
        <v>49.92257309</v>
      </c>
      <c r="G784">
        <v>1318.2924805</v>
      </c>
      <c r="H784">
        <v>1312.5581055</v>
      </c>
      <c r="I784">
        <v>1359.6323242000001</v>
      </c>
      <c r="J784">
        <v>1350.2515868999999</v>
      </c>
      <c r="K784">
        <v>0</v>
      </c>
      <c r="L784">
        <v>1100</v>
      </c>
      <c r="M784">
        <v>1100</v>
      </c>
      <c r="N784">
        <v>0</v>
      </c>
    </row>
    <row r="785" spans="1:14" x14ac:dyDescent="0.25">
      <c r="A785">
        <v>606.98227699999995</v>
      </c>
      <c r="B785" s="1">
        <f>DATE(2011,12,28) + TIME(23,34,28)</f>
        <v>40905.982268518521</v>
      </c>
      <c r="C785">
        <v>80</v>
      </c>
      <c r="D785">
        <v>73.711837768999999</v>
      </c>
      <c r="E785">
        <v>50</v>
      </c>
      <c r="F785">
        <v>49.922725677000003</v>
      </c>
      <c r="G785">
        <v>1318.1968993999999</v>
      </c>
      <c r="H785">
        <v>1312.4301757999999</v>
      </c>
      <c r="I785">
        <v>1359.6136475000001</v>
      </c>
      <c r="J785">
        <v>1350.2360839999999</v>
      </c>
      <c r="K785">
        <v>0</v>
      </c>
      <c r="L785">
        <v>1100</v>
      </c>
      <c r="M785">
        <v>1100</v>
      </c>
      <c r="N785">
        <v>0</v>
      </c>
    </row>
    <row r="786" spans="1:14" x14ac:dyDescent="0.25">
      <c r="A786">
        <v>609.08226100000002</v>
      </c>
      <c r="B786" s="1">
        <f>DATE(2011,12,31) + TIME(1,58,27)</f>
        <v>40908.082256944443</v>
      </c>
      <c r="C786">
        <v>80</v>
      </c>
      <c r="D786">
        <v>73.548858643000003</v>
      </c>
      <c r="E786">
        <v>50</v>
      </c>
      <c r="F786">
        <v>49.922878265000001</v>
      </c>
      <c r="G786">
        <v>1318.0980225000001</v>
      </c>
      <c r="H786">
        <v>1312.2977295000001</v>
      </c>
      <c r="I786">
        <v>1359.5953368999999</v>
      </c>
      <c r="J786">
        <v>1350.2209473</v>
      </c>
      <c r="K786">
        <v>0</v>
      </c>
      <c r="L786">
        <v>1100</v>
      </c>
      <c r="M786">
        <v>1100</v>
      </c>
      <c r="N786">
        <v>0</v>
      </c>
    </row>
    <row r="787" spans="1:14" x14ac:dyDescent="0.25">
      <c r="A787">
        <v>610</v>
      </c>
      <c r="B787" s="1">
        <f>DATE(2012,1,1) + TIME(0,0,0)</f>
        <v>40909</v>
      </c>
      <c r="C787">
        <v>80</v>
      </c>
      <c r="D787">
        <v>73.447898864999999</v>
      </c>
      <c r="E787">
        <v>50</v>
      </c>
      <c r="F787">
        <v>49.922939301</v>
      </c>
      <c r="G787">
        <v>1318.0006103999999</v>
      </c>
      <c r="H787">
        <v>1312.1724853999999</v>
      </c>
      <c r="I787">
        <v>1359.5765381000001</v>
      </c>
      <c r="J787">
        <v>1350.2053223</v>
      </c>
      <c r="K787">
        <v>0</v>
      </c>
      <c r="L787">
        <v>1100</v>
      </c>
      <c r="M787">
        <v>1100</v>
      </c>
      <c r="N787">
        <v>0</v>
      </c>
    </row>
    <row r="788" spans="1:14" x14ac:dyDescent="0.25">
      <c r="A788">
        <v>612.14657</v>
      </c>
      <c r="B788" s="1">
        <f>DATE(2012,1,3) + TIME(3,31,3)</f>
        <v>40911.146562499998</v>
      </c>
      <c r="C788">
        <v>80</v>
      </c>
      <c r="D788">
        <v>73.298774718999994</v>
      </c>
      <c r="E788">
        <v>50</v>
      </c>
      <c r="F788">
        <v>49.923099518000001</v>
      </c>
      <c r="G788">
        <v>1317.9455565999999</v>
      </c>
      <c r="H788">
        <v>1312.090332</v>
      </c>
      <c r="I788">
        <v>1359.5697021000001</v>
      </c>
      <c r="J788">
        <v>1350.199707</v>
      </c>
      <c r="K788">
        <v>0</v>
      </c>
      <c r="L788">
        <v>1100</v>
      </c>
      <c r="M788">
        <v>1100</v>
      </c>
      <c r="N788">
        <v>0</v>
      </c>
    </row>
    <row r="789" spans="1:14" x14ac:dyDescent="0.25">
      <c r="A789">
        <v>614.36799299999996</v>
      </c>
      <c r="B789" s="1">
        <f>DATE(2012,1,5) + TIME(8,49,54)</f>
        <v>40913.367986111109</v>
      </c>
      <c r="C789">
        <v>80</v>
      </c>
      <c r="D789">
        <v>73.138420104999994</v>
      </c>
      <c r="E789">
        <v>50</v>
      </c>
      <c r="F789">
        <v>49.923263550000001</v>
      </c>
      <c r="G789">
        <v>1317.8417969</v>
      </c>
      <c r="H789">
        <v>1311.9514160000001</v>
      </c>
      <c r="I789">
        <v>1359.552124</v>
      </c>
      <c r="J789">
        <v>1350.1853027</v>
      </c>
      <c r="K789">
        <v>0</v>
      </c>
      <c r="L789">
        <v>1100</v>
      </c>
      <c r="M789">
        <v>1100</v>
      </c>
      <c r="N789">
        <v>0</v>
      </c>
    </row>
    <row r="790" spans="1:14" x14ac:dyDescent="0.25">
      <c r="A790">
        <v>616.64582700000005</v>
      </c>
      <c r="B790" s="1">
        <f>DATE(2012,1,7) + TIME(15,29,59)</f>
        <v>40915.645821759259</v>
      </c>
      <c r="C790">
        <v>80</v>
      </c>
      <c r="D790">
        <v>72.970703125</v>
      </c>
      <c r="E790">
        <v>50</v>
      </c>
      <c r="F790">
        <v>49.923431395999998</v>
      </c>
      <c r="G790">
        <v>1317.7316894999999</v>
      </c>
      <c r="H790">
        <v>1311.8029785000001</v>
      </c>
      <c r="I790">
        <v>1359.534668</v>
      </c>
      <c r="J790">
        <v>1350.1708983999999</v>
      </c>
      <c r="K790">
        <v>0</v>
      </c>
      <c r="L790">
        <v>1100</v>
      </c>
      <c r="M790">
        <v>1100</v>
      </c>
      <c r="N790">
        <v>0</v>
      </c>
    </row>
    <row r="791" spans="1:14" x14ac:dyDescent="0.25">
      <c r="A791">
        <v>618.98544300000003</v>
      </c>
      <c r="B791" s="1">
        <f>DATE(2012,1,9) + TIME(23,39,2)</f>
        <v>40917.985439814816</v>
      </c>
      <c r="C791">
        <v>80</v>
      </c>
      <c r="D791">
        <v>72.797363281000003</v>
      </c>
      <c r="E791">
        <v>50</v>
      </c>
      <c r="F791">
        <v>49.923599242999998</v>
      </c>
      <c r="G791">
        <v>1317.6164550999999</v>
      </c>
      <c r="H791">
        <v>1311.6470947</v>
      </c>
      <c r="I791">
        <v>1359.5173339999999</v>
      </c>
      <c r="J791">
        <v>1350.1566161999999</v>
      </c>
      <c r="K791">
        <v>0</v>
      </c>
      <c r="L791">
        <v>1100</v>
      </c>
      <c r="M791">
        <v>1100</v>
      </c>
      <c r="N791">
        <v>0</v>
      </c>
    </row>
    <row r="792" spans="1:14" x14ac:dyDescent="0.25">
      <c r="A792">
        <v>621.39178100000004</v>
      </c>
      <c r="B792" s="1">
        <f>DATE(2012,1,12) + TIME(9,24,9)</f>
        <v>40920.391770833332</v>
      </c>
      <c r="C792">
        <v>80</v>
      </c>
      <c r="D792">
        <v>72.618888854999994</v>
      </c>
      <c r="E792">
        <v>50</v>
      </c>
      <c r="F792">
        <v>49.923774719000001</v>
      </c>
      <c r="G792">
        <v>1317.4964600000001</v>
      </c>
      <c r="H792">
        <v>1311.4840088000001</v>
      </c>
      <c r="I792">
        <v>1359.5001221</v>
      </c>
      <c r="J792">
        <v>1350.1424560999999</v>
      </c>
      <c r="K792">
        <v>0</v>
      </c>
      <c r="L792">
        <v>1100</v>
      </c>
      <c r="M792">
        <v>1100</v>
      </c>
      <c r="N792">
        <v>0</v>
      </c>
    </row>
    <row r="793" spans="1:14" x14ac:dyDescent="0.25">
      <c r="A793">
        <v>623.86908100000005</v>
      </c>
      <c r="B793" s="1">
        <f>DATE(2012,1,14) + TIME(20,51,28)</f>
        <v>40922.869074074071</v>
      </c>
      <c r="C793">
        <v>80</v>
      </c>
      <c r="D793">
        <v>72.435165405000006</v>
      </c>
      <c r="E793">
        <v>50</v>
      </c>
      <c r="F793">
        <v>49.923954010000003</v>
      </c>
      <c r="G793">
        <v>1317.3713379000001</v>
      </c>
      <c r="H793">
        <v>1311.3134766000001</v>
      </c>
      <c r="I793">
        <v>1359.4830322</v>
      </c>
      <c r="J793">
        <v>1350.128418</v>
      </c>
      <c r="K793">
        <v>0</v>
      </c>
      <c r="L793">
        <v>1100</v>
      </c>
      <c r="M793">
        <v>1100</v>
      </c>
      <c r="N793">
        <v>0</v>
      </c>
    </row>
    <row r="794" spans="1:14" x14ac:dyDescent="0.25">
      <c r="A794">
        <v>626.38846999999998</v>
      </c>
      <c r="B794" s="1">
        <f>DATE(2012,1,17) + TIME(9,19,23)</f>
        <v>40925.388460648152</v>
      </c>
      <c r="C794">
        <v>80</v>
      </c>
      <c r="D794">
        <v>72.246795653999996</v>
      </c>
      <c r="E794">
        <v>50</v>
      </c>
      <c r="F794">
        <v>49.924133300999998</v>
      </c>
      <c r="G794">
        <v>1317.2410889</v>
      </c>
      <c r="H794">
        <v>1311.1356201000001</v>
      </c>
      <c r="I794">
        <v>1359.4659423999999</v>
      </c>
      <c r="J794">
        <v>1350.1145019999999</v>
      </c>
      <c r="K794">
        <v>0</v>
      </c>
      <c r="L794">
        <v>1100</v>
      </c>
      <c r="M794">
        <v>1100</v>
      </c>
      <c r="N794">
        <v>0</v>
      </c>
    </row>
    <row r="795" spans="1:14" x14ac:dyDescent="0.25">
      <c r="A795">
        <v>628.95535700000005</v>
      </c>
      <c r="B795" s="1">
        <f>DATE(2012,1,19) + TIME(22,55,42)</f>
        <v>40927.955347222225</v>
      </c>
      <c r="C795">
        <v>80</v>
      </c>
      <c r="D795">
        <v>72.053962708</v>
      </c>
      <c r="E795">
        <v>50</v>
      </c>
      <c r="F795">
        <v>49.924316406000003</v>
      </c>
      <c r="G795">
        <v>1317.1069336</v>
      </c>
      <c r="H795">
        <v>1310.9516602000001</v>
      </c>
      <c r="I795">
        <v>1359.4492187999999</v>
      </c>
      <c r="J795">
        <v>1350.1008300999999</v>
      </c>
      <c r="K795">
        <v>0</v>
      </c>
      <c r="L795">
        <v>1100</v>
      </c>
      <c r="M795">
        <v>1100</v>
      </c>
      <c r="N795">
        <v>0</v>
      </c>
    </row>
    <row r="796" spans="1:14" x14ac:dyDescent="0.25">
      <c r="A796">
        <v>631.57515799999999</v>
      </c>
      <c r="B796" s="1">
        <f>DATE(2012,1,22) + TIME(13,48,13)</f>
        <v>40930.575150462966</v>
      </c>
      <c r="C796">
        <v>80</v>
      </c>
      <c r="D796">
        <v>71.856239318999997</v>
      </c>
      <c r="E796">
        <v>50</v>
      </c>
      <c r="F796">
        <v>49.924503326</v>
      </c>
      <c r="G796">
        <v>1316.9686279</v>
      </c>
      <c r="H796">
        <v>1310.7615966999999</v>
      </c>
      <c r="I796">
        <v>1359.4326172000001</v>
      </c>
      <c r="J796">
        <v>1350.0872803</v>
      </c>
      <c r="K796">
        <v>0</v>
      </c>
      <c r="L796">
        <v>1100</v>
      </c>
      <c r="M796">
        <v>1100</v>
      </c>
      <c r="N796">
        <v>0</v>
      </c>
    </row>
    <row r="797" spans="1:14" x14ac:dyDescent="0.25">
      <c r="A797">
        <v>634.25315000000001</v>
      </c>
      <c r="B797" s="1">
        <f>DATE(2012,1,25) + TIME(6,4,32)</f>
        <v>40933.253148148149</v>
      </c>
      <c r="C797">
        <v>80</v>
      </c>
      <c r="D797">
        <v>71.652915954999997</v>
      </c>
      <c r="E797">
        <v>50</v>
      </c>
      <c r="F797">
        <v>49.924690247000001</v>
      </c>
      <c r="G797">
        <v>1316.8259277</v>
      </c>
      <c r="H797">
        <v>1310.5648193</v>
      </c>
      <c r="I797">
        <v>1359.4161377</v>
      </c>
      <c r="J797">
        <v>1350.0739745999999</v>
      </c>
      <c r="K797">
        <v>0</v>
      </c>
      <c r="L797">
        <v>1100</v>
      </c>
      <c r="M797">
        <v>1100</v>
      </c>
      <c r="N797">
        <v>0</v>
      </c>
    </row>
    <row r="798" spans="1:14" x14ac:dyDescent="0.25">
      <c r="A798">
        <v>636.97821199999998</v>
      </c>
      <c r="B798" s="1">
        <f>DATE(2012,1,27) + TIME(23,28,37)</f>
        <v>40935.978206018517</v>
      </c>
      <c r="C798">
        <v>80</v>
      </c>
      <c r="D798">
        <v>71.443626404</v>
      </c>
      <c r="E798">
        <v>50</v>
      </c>
      <c r="F798">
        <v>49.924884796000001</v>
      </c>
      <c r="G798">
        <v>1316.6787108999999</v>
      </c>
      <c r="H798">
        <v>1310.3614502</v>
      </c>
      <c r="I798">
        <v>1359.3997803</v>
      </c>
      <c r="J798">
        <v>1350.0606689000001</v>
      </c>
      <c r="K798">
        <v>0</v>
      </c>
      <c r="L798">
        <v>1100</v>
      </c>
      <c r="M798">
        <v>1100</v>
      </c>
      <c r="N798">
        <v>0</v>
      </c>
    </row>
    <row r="799" spans="1:14" x14ac:dyDescent="0.25">
      <c r="A799">
        <v>639.73715800000002</v>
      </c>
      <c r="B799" s="1">
        <f>DATE(2012,1,30) + TIME(17,41,30)</f>
        <v>40938.73715277778</v>
      </c>
      <c r="C799">
        <v>80</v>
      </c>
      <c r="D799">
        <v>71.228424071999996</v>
      </c>
      <c r="E799">
        <v>50</v>
      </c>
      <c r="F799">
        <v>49.925075530999997</v>
      </c>
      <c r="G799">
        <v>1316.5274658000001</v>
      </c>
      <c r="H799">
        <v>1310.1517334</v>
      </c>
      <c r="I799">
        <v>1359.3836670000001</v>
      </c>
      <c r="J799">
        <v>1350.0476074000001</v>
      </c>
      <c r="K799">
        <v>0</v>
      </c>
      <c r="L799">
        <v>1100</v>
      </c>
      <c r="M799">
        <v>1100</v>
      </c>
      <c r="N799">
        <v>0</v>
      </c>
    </row>
    <row r="800" spans="1:14" x14ac:dyDescent="0.25">
      <c r="A800">
        <v>641</v>
      </c>
      <c r="B800" s="1">
        <f>DATE(2012,2,1) + TIME(0,0,0)</f>
        <v>40940</v>
      </c>
      <c r="C800">
        <v>80</v>
      </c>
      <c r="D800">
        <v>71.078575134000005</v>
      </c>
      <c r="E800">
        <v>50</v>
      </c>
      <c r="F800">
        <v>49.92515564</v>
      </c>
      <c r="G800">
        <v>1316.3801269999999</v>
      </c>
      <c r="H800">
        <v>1309.9547118999999</v>
      </c>
      <c r="I800">
        <v>1359.3669434000001</v>
      </c>
      <c r="J800">
        <v>1350.0339355000001</v>
      </c>
      <c r="K800">
        <v>0</v>
      </c>
      <c r="L800">
        <v>1100</v>
      </c>
      <c r="M800">
        <v>1100</v>
      </c>
      <c r="N800">
        <v>0</v>
      </c>
    </row>
    <row r="801" spans="1:14" x14ac:dyDescent="0.25">
      <c r="A801">
        <v>643.79884200000004</v>
      </c>
      <c r="B801" s="1">
        <f>DATE(2012,2,3) + TIME(19,10,19)</f>
        <v>40942.798831018517</v>
      </c>
      <c r="C801">
        <v>80</v>
      </c>
      <c r="D801">
        <v>70.884910583000007</v>
      </c>
      <c r="E801">
        <v>50</v>
      </c>
      <c r="F801">
        <v>49.925354003999999</v>
      </c>
      <c r="G801">
        <v>1316.2918701000001</v>
      </c>
      <c r="H801">
        <v>1309.8199463000001</v>
      </c>
      <c r="I801">
        <v>1359.3605957</v>
      </c>
      <c r="J801">
        <v>1350.0289307</v>
      </c>
      <c r="K801">
        <v>0</v>
      </c>
      <c r="L801">
        <v>1100</v>
      </c>
      <c r="M801">
        <v>1100</v>
      </c>
      <c r="N801">
        <v>0</v>
      </c>
    </row>
    <row r="802" spans="1:14" x14ac:dyDescent="0.25">
      <c r="A802">
        <v>646.66762500000004</v>
      </c>
      <c r="B802" s="1">
        <f>DATE(2012,2,6) + TIME(16,1,22)</f>
        <v>40945.667615740742</v>
      </c>
      <c r="C802">
        <v>80</v>
      </c>
      <c r="D802">
        <v>70.665405273000005</v>
      </c>
      <c r="E802">
        <v>50</v>
      </c>
      <c r="F802">
        <v>49.925552367999998</v>
      </c>
      <c r="G802">
        <v>1316.1389160000001</v>
      </c>
      <c r="H802">
        <v>1309.6085204999999</v>
      </c>
      <c r="I802">
        <v>1359.3449707</v>
      </c>
      <c r="J802">
        <v>1350.0162353999999</v>
      </c>
      <c r="K802">
        <v>0</v>
      </c>
      <c r="L802">
        <v>1100</v>
      </c>
      <c r="M802">
        <v>1100</v>
      </c>
      <c r="N802">
        <v>0</v>
      </c>
    </row>
    <row r="803" spans="1:14" x14ac:dyDescent="0.25">
      <c r="A803">
        <v>649.58977800000002</v>
      </c>
      <c r="B803" s="1">
        <f>DATE(2012,2,9) + TIME(14,9,16)</f>
        <v>40948.589768518519</v>
      </c>
      <c r="C803">
        <v>80</v>
      </c>
      <c r="D803">
        <v>70.429641724000007</v>
      </c>
      <c r="E803">
        <v>50</v>
      </c>
      <c r="F803">
        <v>49.925754546999997</v>
      </c>
      <c r="G803">
        <v>1315.9775391000001</v>
      </c>
      <c r="H803">
        <v>1309.3834228999999</v>
      </c>
      <c r="I803">
        <v>1359.3292236</v>
      </c>
      <c r="J803">
        <v>1350.0036620999999</v>
      </c>
      <c r="K803">
        <v>0</v>
      </c>
      <c r="L803">
        <v>1100</v>
      </c>
      <c r="M803">
        <v>1100</v>
      </c>
      <c r="N803">
        <v>0</v>
      </c>
    </row>
    <row r="804" spans="1:14" x14ac:dyDescent="0.25">
      <c r="A804">
        <v>652.57244900000001</v>
      </c>
      <c r="B804" s="1">
        <f>DATE(2012,2,12) + TIME(13,44,19)</f>
        <v>40951.572442129633</v>
      </c>
      <c r="C804">
        <v>80</v>
      </c>
      <c r="D804">
        <v>70.181213378999999</v>
      </c>
      <c r="E804">
        <v>50</v>
      </c>
      <c r="F804">
        <v>49.925956726000003</v>
      </c>
      <c r="G804">
        <v>1315.8106689000001</v>
      </c>
      <c r="H804">
        <v>1309.1491699000001</v>
      </c>
      <c r="I804">
        <v>1359.3135986</v>
      </c>
      <c r="J804">
        <v>1349.9912108999999</v>
      </c>
      <c r="K804">
        <v>0</v>
      </c>
      <c r="L804">
        <v>1100</v>
      </c>
      <c r="M804">
        <v>1100</v>
      </c>
      <c r="N804">
        <v>0</v>
      </c>
    </row>
    <row r="805" spans="1:14" x14ac:dyDescent="0.25">
      <c r="A805">
        <v>655.61890600000004</v>
      </c>
      <c r="B805" s="1">
        <f>DATE(2012,2,15) + TIME(14,51,13)</f>
        <v>40954.618900462963</v>
      </c>
      <c r="C805">
        <v>80</v>
      </c>
      <c r="D805">
        <v>69.920593261999997</v>
      </c>
      <c r="E805">
        <v>50</v>
      </c>
      <c r="F805">
        <v>49.926158905000001</v>
      </c>
      <c r="G805">
        <v>1315.6387939000001</v>
      </c>
      <c r="H805">
        <v>1308.9071045000001</v>
      </c>
      <c r="I805">
        <v>1359.2979736</v>
      </c>
      <c r="J805">
        <v>1349.9786377</v>
      </c>
      <c r="K805">
        <v>0</v>
      </c>
      <c r="L805">
        <v>1100</v>
      </c>
      <c r="M805">
        <v>1100</v>
      </c>
      <c r="N805">
        <v>0</v>
      </c>
    </row>
    <row r="806" spans="1:14" x14ac:dyDescent="0.25">
      <c r="A806">
        <v>658.70744500000001</v>
      </c>
      <c r="B806" s="1">
        <f>DATE(2012,2,18) + TIME(16,58,43)</f>
        <v>40957.707442129627</v>
      </c>
      <c r="C806">
        <v>80</v>
      </c>
      <c r="D806">
        <v>69.647842406999999</v>
      </c>
      <c r="E806">
        <v>50</v>
      </c>
      <c r="F806">
        <v>49.926364898999999</v>
      </c>
      <c r="G806">
        <v>1315.4622803</v>
      </c>
      <c r="H806">
        <v>1308.6575928</v>
      </c>
      <c r="I806">
        <v>1359.2822266000001</v>
      </c>
      <c r="J806">
        <v>1349.9661865</v>
      </c>
      <c r="K806">
        <v>0</v>
      </c>
      <c r="L806">
        <v>1100</v>
      </c>
      <c r="M806">
        <v>1100</v>
      </c>
      <c r="N806">
        <v>0</v>
      </c>
    </row>
    <row r="807" spans="1:14" x14ac:dyDescent="0.25">
      <c r="A807">
        <v>661.84545400000002</v>
      </c>
      <c r="B807" s="1">
        <f>DATE(2012,2,21) + TIME(20,17,27)</f>
        <v>40960.845451388886</v>
      </c>
      <c r="C807">
        <v>80</v>
      </c>
      <c r="D807">
        <v>69.363037109000004</v>
      </c>
      <c r="E807">
        <v>50</v>
      </c>
      <c r="F807">
        <v>49.926574707</v>
      </c>
      <c r="G807">
        <v>1315.2824707</v>
      </c>
      <c r="H807">
        <v>1308.4023437999999</v>
      </c>
      <c r="I807">
        <v>1359.2666016000001</v>
      </c>
      <c r="J807">
        <v>1349.9537353999999</v>
      </c>
      <c r="K807">
        <v>0</v>
      </c>
      <c r="L807">
        <v>1100</v>
      </c>
      <c r="M807">
        <v>1100</v>
      </c>
      <c r="N807">
        <v>0</v>
      </c>
    </row>
    <row r="808" spans="1:14" x14ac:dyDescent="0.25">
      <c r="A808">
        <v>665.040166</v>
      </c>
      <c r="B808" s="1">
        <f>DATE(2012,2,25) + TIME(0,57,50)</f>
        <v>40964.040162037039</v>
      </c>
      <c r="C808">
        <v>80</v>
      </c>
      <c r="D808">
        <v>69.065238953000005</v>
      </c>
      <c r="E808">
        <v>50</v>
      </c>
      <c r="F808">
        <v>49.926780700999998</v>
      </c>
      <c r="G808">
        <v>1315.098999</v>
      </c>
      <c r="H808">
        <v>1308.1411132999999</v>
      </c>
      <c r="I808">
        <v>1359.2508545000001</v>
      </c>
      <c r="J808">
        <v>1349.9412841999999</v>
      </c>
      <c r="K808">
        <v>0</v>
      </c>
      <c r="L808">
        <v>1100</v>
      </c>
      <c r="M808">
        <v>1100</v>
      </c>
      <c r="N808">
        <v>0</v>
      </c>
    </row>
    <row r="809" spans="1:14" x14ac:dyDescent="0.25">
      <c r="A809">
        <v>668.29911800000002</v>
      </c>
      <c r="B809" s="1">
        <f>DATE(2012,2,28) + TIME(7,10,43)</f>
        <v>40967.299108796295</v>
      </c>
      <c r="C809">
        <v>80</v>
      </c>
      <c r="D809">
        <v>68.753067017000006</v>
      </c>
      <c r="E809">
        <v>50</v>
      </c>
      <c r="F809">
        <v>49.926994323999999</v>
      </c>
      <c r="G809">
        <v>1314.9119873</v>
      </c>
      <c r="H809">
        <v>1307.8736572</v>
      </c>
      <c r="I809">
        <v>1359.2351074000001</v>
      </c>
      <c r="J809">
        <v>1349.9288329999999</v>
      </c>
      <c r="K809">
        <v>0</v>
      </c>
      <c r="L809">
        <v>1100</v>
      </c>
      <c r="M809">
        <v>1100</v>
      </c>
      <c r="N809">
        <v>0</v>
      </c>
    </row>
    <row r="810" spans="1:14" x14ac:dyDescent="0.25">
      <c r="A810">
        <v>670</v>
      </c>
      <c r="B810" s="1">
        <f>DATE(2012,3,1) + TIME(0,0,0)</f>
        <v>40969</v>
      </c>
      <c r="C810">
        <v>80</v>
      </c>
      <c r="D810">
        <v>68.505210876000007</v>
      </c>
      <c r="E810">
        <v>50</v>
      </c>
      <c r="F810">
        <v>49.927097320999998</v>
      </c>
      <c r="G810">
        <v>1314.7277832</v>
      </c>
      <c r="H810">
        <v>1307.6191406</v>
      </c>
      <c r="I810">
        <v>1359.2185059000001</v>
      </c>
      <c r="J810">
        <v>1349.9157714999999</v>
      </c>
      <c r="K810">
        <v>0</v>
      </c>
      <c r="L810">
        <v>1100</v>
      </c>
      <c r="M810">
        <v>1100</v>
      </c>
      <c r="N810">
        <v>0</v>
      </c>
    </row>
    <row r="811" spans="1:14" x14ac:dyDescent="0.25">
      <c r="A811">
        <v>673.33134299999995</v>
      </c>
      <c r="B811" s="1">
        <f>DATE(2012,3,4) + TIME(7,57,7)</f>
        <v>40972.331331018519</v>
      </c>
      <c r="C811">
        <v>80</v>
      </c>
      <c r="D811">
        <v>68.222679138000004</v>
      </c>
      <c r="E811">
        <v>50</v>
      </c>
      <c r="F811">
        <v>49.927314758000001</v>
      </c>
      <c r="G811">
        <v>1314.6092529</v>
      </c>
      <c r="H811">
        <v>1307.4333495999999</v>
      </c>
      <c r="I811">
        <v>1359.2110596</v>
      </c>
      <c r="J811">
        <v>1349.9097899999999</v>
      </c>
      <c r="K811">
        <v>0</v>
      </c>
      <c r="L811">
        <v>1100</v>
      </c>
      <c r="M811">
        <v>1100</v>
      </c>
      <c r="N811">
        <v>0</v>
      </c>
    </row>
    <row r="812" spans="1:14" x14ac:dyDescent="0.25">
      <c r="A812">
        <v>676.75427000000002</v>
      </c>
      <c r="B812" s="1">
        <f>DATE(2012,3,7) + TIME(18,6,8)</f>
        <v>40975.754259259258</v>
      </c>
      <c r="C812">
        <v>80</v>
      </c>
      <c r="D812">
        <v>67.888282775999997</v>
      </c>
      <c r="E812">
        <v>50</v>
      </c>
      <c r="F812">
        <v>49.927536011000001</v>
      </c>
      <c r="G812">
        <v>1314.4221190999999</v>
      </c>
      <c r="H812">
        <v>1307.1668701000001</v>
      </c>
      <c r="I812">
        <v>1359.1949463000001</v>
      </c>
      <c r="J812">
        <v>1349.8972168</v>
      </c>
      <c r="K812">
        <v>0</v>
      </c>
      <c r="L812">
        <v>1100</v>
      </c>
      <c r="M812">
        <v>1100</v>
      </c>
      <c r="N812">
        <v>0</v>
      </c>
    </row>
    <row r="813" spans="1:14" x14ac:dyDescent="0.25">
      <c r="A813">
        <v>680.23959600000001</v>
      </c>
      <c r="B813" s="1">
        <f>DATE(2012,3,11) + TIME(5,45,1)</f>
        <v>40979.239594907405</v>
      </c>
      <c r="C813">
        <v>80</v>
      </c>
      <c r="D813">
        <v>67.523139954000001</v>
      </c>
      <c r="E813">
        <v>50</v>
      </c>
      <c r="F813">
        <v>49.927753447999997</v>
      </c>
      <c r="G813">
        <v>1314.2252197</v>
      </c>
      <c r="H813">
        <v>1306.8829346</v>
      </c>
      <c r="I813">
        <v>1359.1785889</v>
      </c>
      <c r="J813">
        <v>1349.8843993999999</v>
      </c>
      <c r="K813">
        <v>0</v>
      </c>
      <c r="L813">
        <v>1100</v>
      </c>
      <c r="M813">
        <v>1100</v>
      </c>
      <c r="N813">
        <v>0</v>
      </c>
    </row>
    <row r="814" spans="1:14" x14ac:dyDescent="0.25">
      <c r="A814">
        <v>683.79747399999997</v>
      </c>
      <c r="B814" s="1">
        <f>DATE(2012,3,14) + TIME(19,8,21)</f>
        <v>40982.797465277778</v>
      </c>
      <c r="C814">
        <v>80</v>
      </c>
      <c r="D814">
        <v>67.134902953999998</v>
      </c>
      <c r="E814">
        <v>50</v>
      </c>
      <c r="F814">
        <v>49.927974700999997</v>
      </c>
      <c r="G814">
        <v>1314.0233154</v>
      </c>
      <c r="H814">
        <v>1306.5895995999999</v>
      </c>
      <c r="I814">
        <v>1359.1619873</v>
      </c>
      <c r="J814">
        <v>1349.8713379000001</v>
      </c>
      <c r="K814">
        <v>0</v>
      </c>
      <c r="L814">
        <v>1100</v>
      </c>
      <c r="M814">
        <v>1100</v>
      </c>
      <c r="N814">
        <v>0</v>
      </c>
    </row>
    <row r="815" spans="1:14" x14ac:dyDescent="0.25">
      <c r="A815">
        <v>687.43814399999997</v>
      </c>
      <c r="B815" s="1">
        <f>DATE(2012,3,18) + TIME(10,30,55)</f>
        <v>40986.438136574077</v>
      </c>
      <c r="C815">
        <v>80</v>
      </c>
      <c r="D815">
        <v>66.724960327000005</v>
      </c>
      <c r="E815">
        <v>50</v>
      </c>
      <c r="F815">
        <v>49.928199767999999</v>
      </c>
      <c r="G815">
        <v>1313.8175048999999</v>
      </c>
      <c r="H815">
        <v>1306.2891846</v>
      </c>
      <c r="I815">
        <v>1359.1452637</v>
      </c>
      <c r="J815">
        <v>1349.8581543</v>
      </c>
      <c r="K815">
        <v>0</v>
      </c>
      <c r="L815">
        <v>1100</v>
      </c>
      <c r="M815">
        <v>1100</v>
      </c>
      <c r="N815">
        <v>0</v>
      </c>
    </row>
    <row r="816" spans="1:14" x14ac:dyDescent="0.25">
      <c r="A816">
        <v>691.16869599999995</v>
      </c>
      <c r="B816" s="1">
        <f>DATE(2012,3,22) + TIME(4,2,55)</f>
        <v>40990.168692129628</v>
      </c>
      <c r="C816">
        <v>80</v>
      </c>
      <c r="D816">
        <v>66.292709350999999</v>
      </c>
      <c r="E816">
        <v>50</v>
      </c>
      <c r="F816">
        <v>49.928428650000001</v>
      </c>
      <c r="G816">
        <v>1313.6080322</v>
      </c>
      <c r="H816">
        <v>1305.9819336</v>
      </c>
      <c r="I816">
        <v>1359.1280518000001</v>
      </c>
      <c r="J816">
        <v>1349.8447266000001</v>
      </c>
      <c r="K816">
        <v>0</v>
      </c>
      <c r="L816">
        <v>1100</v>
      </c>
      <c r="M816">
        <v>1100</v>
      </c>
      <c r="N816">
        <v>0</v>
      </c>
    </row>
    <row r="817" spans="1:14" x14ac:dyDescent="0.25">
      <c r="A817">
        <v>694.96964000000003</v>
      </c>
      <c r="B817" s="1">
        <f>DATE(2012,3,25) + TIME(23,16,16)</f>
        <v>40993.969629629632</v>
      </c>
      <c r="C817">
        <v>80</v>
      </c>
      <c r="D817">
        <v>65.837982178000004</v>
      </c>
      <c r="E817">
        <v>50</v>
      </c>
      <c r="F817">
        <v>49.928657532000003</v>
      </c>
      <c r="G817">
        <v>1313.3951416</v>
      </c>
      <c r="H817">
        <v>1305.6683350000001</v>
      </c>
      <c r="I817">
        <v>1359.1104736</v>
      </c>
      <c r="J817">
        <v>1349.8309326000001</v>
      </c>
      <c r="K817">
        <v>0</v>
      </c>
      <c r="L817">
        <v>1100</v>
      </c>
      <c r="M817">
        <v>1100</v>
      </c>
      <c r="N817">
        <v>0</v>
      </c>
    </row>
    <row r="818" spans="1:14" x14ac:dyDescent="0.25">
      <c r="A818">
        <v>698.85409500000003</v>
      </c>
      <c r="B818" s="1">
        <f>DATE(2012,3,29) + TIME(20,29,53)</f>
        <v>40997.854085648149</v>
      </c>
      <c r="C818">
        <v>80</v>
      </c>
      <c r="D818">
        <v>65.361076354999994</v>
      </c>
      <c r="E818">
        <v>50</v>
      </c>
      <c r="F818">
        <v>49.928890228</v>
      </c>
      <c r="G818">
        <v>1313.1799315999999</v>
      </c>
      <c r="H818">
        <v>1305.3497314000001</v>
      </c>
      <c r="I818">
        <v>1359.0925293</v>
      </c>
      <c r="J818">
        <v>1349.8167725000001</v>
      </c>
      <c r="K818">
        <v>0</v>
      </c>
      <c r="L818">
        <v>1100</v>
      </c>
      <c r="M818">
        <v>1100</v>
      </c>
      <c r="N818">
        <v>0</v>
      </c>
    </row>
    <row r="819" spans="1:14" x14ac:dyDescent="0.25">
      <c r="A819">
        <v>701</v>
      </c>
      <c r="B819" s="1">
        <f>DATE(2012,4,1) + TIME(0,0,0)</f>
        <v>41000</v>
      </c>
      <c r="C819">
        <v>80</v>
      </c>
      <c r="D819">
        <v>64.959609985</v>
      </c>
      <c r="E819">
        <v>50</v>
      </c>
      <c r="F819">
        <v>49.929008484000001</v>
      </c>
      <c r="G819">
        <v>1312.9678954999999</v>
      </c>
      <c r="H819">
        <v>1305.046875</v>
      </c>
      <c r="I819">
        <v>1359.0736084</v>
      </c>
      <c r="J819">
        <v>1349.8018798999999</v>
      </c>
      <c r="K819">
        <v>0</v>
      </c>
      <c r="L819">
        <v>1100</v>
      </c>
      <c r="M819">
        <v>1100</v>
      </c>
      <c r="N819">
        <v>0</v>
      </c>
    </row>
    <row r="820" spans="1:14" x14ac:dyDescent="0.25">
      <c r="A820">
        <v>704.98159799999996</v>
      </c>
      <c r="B820" s="1">
        <f>DATE(2012,4,4) + TIME(23,33,30)</f>
        <v>41003.98159722222</v>
      </c>
      <c r="C820">
        <v>80</v>
      </c>
      <c r="D820">
        <v>64.542388915999993</v>
      </c>
      <c r="E820">
        <v>50</v>
      </c>
      <c r="F820">
        <v>49.929248809999997</v>
      </c>
      <c r="G820">
        <v>1312.8303223</v>
      </c>
      <c r="H820">
        <v>1304.8217772999999</v>
      </c>
      <c r="I820">
        <v>1359.0640868999999</v>
      </c>
      <c r="J820">
        <v>1349.7943115</v>
      </c>
      <c r="K820">
        <v>0</v>
      </c>
      <c r="L820">
        <v>1100</v>
      </c>
      <c r="M820">
        <v>1100</v>
      </c>
      <c r="N820">
        <v>0</v>
      </c>
    </row>
    <row r="821" spans="1:14" x14ac:dyDescent="0.25">
      <c r="A821">
        <v>709.12751300000002</v>
      </c>
      <c r="B821" s="1">
        <f>DATE(2012,4,9) + TIME(3,3,37)</f>
        <v>41008.127511574072</v>
      </c>
      <c r="C821">
        <v>80</v>
      </c>
      <c r="D821">
        <v>64.035446167000003</v>
      </c>
      <c r="E821">
        <v>50</v>
      </c>
      <c r="F821">
        <v>49.929492949999997</v>
      </c>
      <c r="G821">
        <v>1312.6213379000001</v>
      </c>
      <c r="H821">
        <v>1304.5131836</v>
      </c>
      <c r="I821">
        <v>1359.0451660000001</v>
      </c>
      <c r="J821">
        <v>1349.7794189000001</v>
      </c>
      <c r="K821">
        <v>0</v>
      </c>
      <c r="L821">
        <v>1100</v>
      </c>
      <c r="M821">
        <v>1100</v>
      </c>
      <c r="N821">
        <v>0</v>
      </c>
    </row>
    <row r="822" spans="1:14" x14ac:dyDescent="0.25">
      <c r="A822">
        <v>713.36715400000003</v>
      </c>
      <c r="B822" s="1">
        <f>DATE(2012,4,13) + TIME(8,48,42)</f>
        <v>41012.367152777777</v>
      </c>
      <c r="C822">
        <v>80</v>
      </c>
      <c r="D822">
        <v>63.481498717999997</v>
      </c>
      <c r="E822">
        <v>50</v>
      </c>
      <c r="F822">
        <v>49.929737091</v>
      </c>
      <c r="G822">
        <v>1312.4011230000001</v>
      </c>
      <c r="H822">
        <v>1304.1833495999999</v>
      </c>
      <c r="I822">
        <v>1359.0252685999999</v>
      </c>
      <c r="J822">
        <v>1349.7637939000001</v>
      </c>
      <c r="K822">
        <v>0</v>
      </c>
      <c r="L822">
        <v>1100</v>
      </c>
      <c r="M822">
        <v>1100</v>
      </c>
      <c r="N822">
        <v>0</v>
      </c>
    </row>
    <row r="823" spans="1:14" x14ac:dyDescent="0.25">
      <c r="A823">
        <v>717.71814500000005</v>
      </c>
      <c r="B823" s="1">
        <f>DATE(2012,4,17) + TIME(17,14,7)</f>
        <v>41016.718136574076</v>
      </c>
      <c r="C823">
        <v>80</v>
      </c>
      <c r="D823">
        <v>62.897312163999999</v>
      </c>
      <c r="E823">
        <v>50</v>
      </c>
      <c r="F823">
        <v>49.929985045999999</v>
      </c>
      <c r="G823">
        <v>1312.1774902</v>
      </c>
      <c r="H823">
        <v>1303.8452147999999</v>
      </c>
      <c r="I823">
        <v>1359.0050048999999</v>
      </c>
      <c r="J823">
        <v>1349.7478027</v>
      </c>
      <c r="K823">
        <v>0</v>
      </c>
      <c r="L823">
        <v>1100</v>
      </c>
      <c r="M823">
        <v>1100</v>
      </c>
      <c r="N823">
        <v>0</v>
      </c>
    </row>
    <row r="824" spans="1:14" x14ac:dyDescent="0.25">
      <c r="A824">
        <v>722.15421600000002</v>
      </c>
      <c r="B824" s="1">
        <f>DATE(2012,4,22) + TIME(3,42,4)</f>
        <v>41021.15421296296</v>
      </c>
      <c r="C824">
        <v>80</v>
      </c>
      <c r="D824">
        <v>62.288200377999999</v>
      </c>
      <c r="E824">
        <v>50</v>
      </c>
      <c r="F824">
        <v>49.930233002000001</v>
      </c>
      <c r="G824">
        <v>1311.9521483999999</v>
      </c>
      <c r="H824">
        <v>1303.5024414</v>
      </c>
      <c r="I824">
        <v>1358.9840088000001</v>
      </c>
      <c r="J824">
        <v>1349.7310791</v>
      </c>
      <c r="K824">
        <v>0</v>
      </c>
      <c r="L824">
        <v>1100</v>
      </c>
      <c r="M824">
        <v>1100</v>
      </c>
      <c r="N824">
        <v>0</v>
      </c>
    </row>
    <row r="825" spans="1:14" x14ac:dyDescent="0.25">
      <c r="A825">
        <v>726.68970999999999</v>
      </c>
      <c r="B825" s="1">
        <f>DATE(2012,4,26) + TIME(16,33,10)</f>
        <v>41025.689699074072</v>
      </c>
      <c r="C825">
        <v>80</v>
      </c>
      <c r="D825">
        <v>61.658000946000001</v>
      </c>
      <c r="E825">
        <v>50</v>
      </c>
      <c r="F825">
        <v>49.930484772</v>
      </c>
      <c r="G825">
        <v>1311.7271728999999</v>
      </c>
      <c r="H825">
        <v>1303.1580810999999</v>
      </c>
      <c r="I825">
        <v>1358.9624022999999</v>
      </c>
      <c r="J825">
        <v>1349.7138672000001</v>
      </c>
      <c r="K825">
        <v>0</v>
      </c>
      <c r="L825">
        <v>1100</v>
      </c>
      <c r="M825">
        <v>1100</v>
      </c>
      <c r="N825">
        <v>0</v>
      </c>
    </row>
    <row r="826" spans="1:14" x14ac:dyDescent="0.25">
      <c r="A826">
        <v>731</v>
      </c>
      <c r="B826" s="1">
        <f>DATE(2012,5,1) + TIME(0,0,0)</f>
        <v>41030</v>
      </c>
      <c r="C826">
        <v>80</v>
      </c>
      <c r="D826">
        <v>61.019947051999999</v>
      </c>
      <c r="E826">
        <v>50</v>
      </c>
      <c r="F826">
        <v>49.930721282999997</v>
      </c>
      <c r="G826">
        <v>1311.5032959</v>
      </c>
      <c r="H826">
        <v>1302.8153076000001</v>
      </c>
      <c r="I826">
        <v>1358.9401855000001</v>
      </c>
      <c r="J826">
        <v>1349.6960449000001</v>
      </c>
      <c r="K826">
        <v>0</v>
      </c>
      <c r="L826">
        <v>1100</v>
      </c>
      <c r="M826">
        <v>1100</v>
      </c>
      <c r="N826">
        <v>0</v>
      </c>
    </row>
    <row r="827" spans="1:14" x14ac:dyDescent="0.25">
      <c r="A827">
        <v>731.000001</v>
      </c>
      <c r="B827" s="1">
        <f>DATE(2012,5,1) + TIME(0,0,0)</f>
        <v>41030</v>
      </c>
      <c r="C827">
        <v>80</v>
      </c>
      <c r="D827">
        <v>61.020023346000002</v>
      </c>
      <c r="E827">
        <v>50</v>
      </c>
      <c r="F827">
        <v>49.930671691999997</v>
      </c>
      <c r="G827">
        <v>1321.5332031</v>
      </c>
      <c r="H827">
        <v>1311.9942627</v>
      </c>
      <c r="I827">
        <v>1349.2955322</v>
      </c>
      <c r="J827">
        <v>1340.9637451000001</v>
      </c>
      <c r="K827">
        <v>1100</v>
      </c>
      <c r="L827">
        <v>0</v>
      </c>
      <c r="M827">
        <v>0</v>
      </c>
      <c r="N827">
        <v>1100</v>
      </c>
    </row>
    <row r="828" spans="1:14" x14ac:dyDescent="0.25">
      <c r="A828">
        <v>731.00000399999999</v>
      </c>
      <c r="B828" s="1">
        <f>DATE(2012,5,1) + TIME(0,0,0)</f>
        <v>41030</v>
      </c>
      <c r="C828">
        <v>80</v>
      </c>
      <c r="D828">
        <v>61.020233154000003</v>
      </c>
      <c r="E828">
        <v>50</v>
      </c>
      <c r="F828">
        <v>49.930534363</v>
      </c>
      <c r="G828">
        <v>1322.6394043</v>
      </c>
      <c r="H828">
        <v>1313.2675781</v>
      </c>
      <c r="I828">
        <v>1348.2269286999999</v>
      </c>
      <c r="J828">
        <v>1339.8944091999999</v>
      </c>
      <c r="K828">
        <v>1100</v>
      </c>
      <c r="L828">
        <v>0</v>
      </c>
      <c r="M828">
        <v>0</v>
      </c>
      <c r="N828">
        <v>1100</v>
      </c>
    </row>
    <row r="829" spans="1:14" x14ac:dyDescent="0.25">
      <c r="A829">
        <v>731.00001299999997</v>
      </c>
      <c r="B829" s="1">
        <f>DATE(2012,5,1) + TIME(0,0,1)</f>
        <v>41030.000011574077</v>
      </c>
      <c r="C829">
        <v>80</v>
      </c>
      <c r="D829">
        <v>61.020706177000001</v>
      </c>
      <c r="E829">
        <v>50</v>
      </c>
      <c r="F829">
        <v>49.930233002000001</v>
      </c>
      <c r="G829">
        <v>1325.1175536999999</v>
      </c>
      <c r="H829">
        <v>1315.9781493999999</v>
      </c>
      <c r="I829">
        <v>1345.8292236</v>
      </c>
      <c r="J829">
        <v>1337.4957274999999</v>
      </c>
      <c r="K829">
        <v>1100</v>
      </c>
      <c r="L829">
        <v>0</v>
      </c>
      <c r="M829">
        <v>0</v>
      </c>
      <c r="N829">
        <v>1100</v>
      </c>
    </row>
    <row r="830" spans="1:14" x14ac:dyDescent="0.25">
      <c r="A830">
        <v>731.00004000000001</v>
      </c>
      <c r="B830" s="1">
        <f>DATE(2012,5,1) + TIME(0,0,3)</f>
        <v>41030.000034722223</v>
      </c>
      <c r="C830">
        <v>80</v>
      </c>
      <c r="D830">
        <v>61.021614075000002</v>
      </c>
      <c r="E830">
        <v>50</v>
      </c>
      <c r="F830">
        <v>49.929725646999998</v>
      </c>
      <c r="G830">
        <v>1329.2775879000001</v>
      </c>
      <c r="H830">
        <v>1320.2440185999999</v>
      </c>
      <c r="I830">
        <v>1341.8200684000001</v>
      </c>
      <c r="J830">
        <v>1333.4876709</v>
      </c>
      <c r="K830">
        <v>1100</v>
      </c>
      <c r="L830">
        <v>0</v>
      </c>
      <c r="M830">
        <v>0</v>
      </c>
      <c r="N830">
        <v>1100</v>
      </c>
    </row>
    <row r="831" spans="1:14" x14ac:dyDescent="0.25">
      <c r="A831">
        <v>731.00012100000004</v>
      </c>
      <c r="B831" s="1">
        <f>DATE(2012,5,1) + TIME(0,0,10)</f>
        <v>41030.000115740739</v>
      </c>
      <c r="C831">
        <v>80</v>
      </c>
      <c r="D831">
        <v>61.023330688000001</v>
      </c>
      <c r="E831">
        <v>50</v>
      </c>
      <c r="F831">
        <v>49.929100036999998</v>
      </c>
      <c r="G831">
        <v>1334.4298096</v>
      </c>
      <c r="H831">
        <v>1325.3183594</v>
      </c>
      <c r="I831">
        <v>1336.9208983999999</v>
      </c>
      <c r="J831">
        <v>1328.5944824000001</v>
      </c>
      <c r="K831">
        <v>1100</v>
      </c>
      <c r="L831">
        <v>0</v>
      </c>
      <c r="M831">
        <v>0</v>
      </c>
      <c r="N831">
        <v>1100</v>
      </c>
    </row>
    <row r="832" spans="1:14" x14ac:dyDescent="0.25">
      <c r="A832">
        <v>731.00036399999999</v>
      </c>
      <c r="B832" s="1">
        <f>DATE(2012,5,1) + TIME(0,0,31)</f>
        <v>41030.000358796293</v>
      </c>
      <c r="C832">
        <v>80</v>
      </c>
      <c r="D832">
        <v>61.027206421000002</v>
      </c>
      <c r="E832">
        <v>50</v>
      </c>
      <c r="F832">
        <v>49.928428650000001</v>
      </c>
      <c r="G832">
        <v>1339.8645019999999</v>
      </c>
      <c r="H832">
        <v>1330.6346435999999</v>
      </c>
      <c r="I832">
        <v>1331.8653564000001</v>
      </c>
      <c r="J832">
        <v>1323.5479736</v>
      </c>
      <c r="K832">
        <v>1100</v>
      </c>
      <c r="L832">
        <v>0</v>
      </c>
      <c r="M832">
        <v>0</v>
      </c>
      <c r="N832">
        <v>1100</v>
      </c>
    </row>
    <row r="833" spans="1:14" x14ac:dyDescent="0.25">
      <c r="A833">
        <v>731.00109299999997</v>
      </c>
      <c r="B833" s="1">
        <f>DATE(2012,5,1) + TIME(0,1,34)</f>
        <v>41030.001087962963</v>
      </c>
      <c r="C833">
        <v>80</v>
      </c>
      <c r="D833">
        <v>61.037578582999998</v>
      </c>
      <c r="E833">
        <v>50</v>
      </c>
      <c r="F833">
        <v>49.927684784</v>
      </c>
      <c r="G833">
        <v>1345.5072021000001</v>
      </c>
      <c r="H833">
        <v>1336.1621094</v>
      </c>
      <c r="I833">
        <v>1326.7684326000001</v>
      </c>
      <c r="J833">
        <v>1318.4431152</v>
      </c>
      <c r="K833">
        <v>1100</v>
      </c>
      <c r="L833">
        <v>0</v>
      </c>
      <c r="M833">
        <v>0</v>
      </c>
      <c r="N833">
        <v>1100</v>
      </c>
    </row>
    <row r="834" spans="1:14" x14ac:dyDescent="0.25">
      <c r="A834">
        <v>731.00328000000002</v>
      </c>
      <c r="B834" s="1">
        <f>DATE(2012,5,1) + TIME(0,4,43)</f>
        <v>41030.003275462965</v>
      </c>
      <c r="C834">
        <v>80</v>
      </c>
      <c r="D834">
        <v>61.067516327</v>
      </c>
      <c r="E834">
        <v>50</v>
      </c>
      <c r="F834">
        <v>49.92672348</v>
      </c>
      <c r="G834">
        <v>1351.2154541</v>
      </c>
      <c r="H834">
        <v>1341.7727050999999</v>
      </c>
      <c r="I834">
        <v>1321.6657714999999</v>
      </c>
      <c r="J834">
        <v>1313.2796631000001</v>
      </c>
      <c r="K834">
        <v>1100</v>
      </c>
      <c r="L834">
        <v>0</v>
      </c>
      <c r="M834">
        <v>0</v>
      </c>
      <c r="N834">
        <v>1100</v>
      </c>
    </row>
    <row r="835" spans="1:14" x14ac:dyDescent="0.25">
      <c r="A835">
        <v>731.00984100000005</v>
      </c>
      <c r="B835" s="1">
        <f>DATE(2012,5,1) + TIME(0,14,10)</f>
        <v>41030.009837962964</v>
      </c>
      <c r="C835">
        <v>80</v>
      </c>
      <c r="D835">
        <v>61.155899048000002</v>
      </c>
      <c r="E835">
        <v>50</v>
      </c>
      <c r="F835">
        <v>49.925197601000001</v>
      </c>
      <c r="G835">
        <v>1356.0979004000001</v>
      </c>
      <c r="H835">
        <v>1346.6060791</v>
      </c>
      <c r="I835">
        <v>1317.1744385</v>
      </c>
      <c r="J835">
        <v>1308.7047118999999</v>
      </c>
      <c r="K835">
        <v>1100</v>
      </c>
      <c r="L835">
        <v>0</v>
      </c>
      <c r="M835">
        <v>0</v>
      </c>
      <c r="N835">
        <v>1100</v>
      </c>
    </row>
    <row r="836" spans="1:14" x14ac:dyDescent="0.25">
      <c r="A836">
        <v>731.02952400000004</v>
      </c>
      <c r="B836" s="1">
        <f>DATE(2012,5,1) + TIME(0,42,30)</f>
        <v>41030.029513888891</v>
      </c>
      <c r="C836">
        <v>80</v>
      </c>
      <c r="D836">
        <v>61.416458130000002</v>
      </c>
      <c r="E836">
        <v>50</v>
      </c>
      <c r="F836">
        <v>49.921955109000002</v>
      </c>
      <c r="G836">
        <v>1359.1898193</v>
      </c>
      <c r="H836">
        <v>1349.7132568</v>
      </c>
      <c r="I836">
        <v>1314.2191161999999</v>
      </c>
      <c r="J836">
        <v>1305.699707</v>
      </c>
      <c r="K836">
        <v>1100</v>
      </c>
      <c r="L836">
        <v>0</v>
      </c>
      <c r="M836">
        <v>0</v>
      </c>
      <c r="N836">
        <v>1100</v>
      </c>
    </row>
    <row r="837" spans="1:14" x14ac:dyDescent="0.25">
      <c r="A837">
        <v>731.082943</v>
      </c>
      <c r="B837" s="1">
        <f>DATE(2012,5,1) + TIME(1,59,26)</f>
        <v>41030.082939814813</v>
      </c>
      <c r="C837">
        <v>80</v>
      </c>
      <c r="D837">
        <v>62.096679688000002</v>
      </c>
      <c r="E837">
        <v>50</v>
      </c>
      <c r="F837">
        <v>49.914169311999999</v>
      </c>
      <c r="G837">
        <v>1360.4019774999999</v>
      </c>
      <c r="H837">
        <v>1351.0194091999999</v>
      </c>
      <c r="I837">
        <v>1313.0545654</v>
      </c>
      <c r="J837">
        <v>1304.5192870999999</v>
      </c>
      <c r="K837">
        <v>1100</v>
      </c>
      <c r="L837">
        <v>0</v>
      </c>
      <c r="M837">
        <v>0</v>
      </c>
      <c r="N837">
        <v>1100</v>
      </c>
    </row>
    <row r="838" spans="1:14" x14ac:dyDescent="0.25">
      <c r="A838">
        <v>731.13742999999999</v>
      </c>
      <c r="B838" s="1">
        <f>DATE(2012,5,1) + TIME(3,17,53)</f>
        <v>41030.137418981481</v>
      </c>
      <c r="C838">
        <v>80</v>
      </c>
      <c r="D838">
        <v>62.765457153</v>
      </c>
      <c r="E838">
        <v>50</v>
      </c>
      <c r="F838">
        <v>49.906429291000002</v>
      </c>
      <c r="G838">
        <v>1360.6069336</v>
      </c>
      <c r="H838">
        <v>1351.3012695</v>
      </c>
      <c r="I838">
        <v>1312.8638916</v>
      </c>
      <c r="J838">
        <v>1304.3258057</v>
      </c>
      <c r="K838">
        <v>1100</v>
      </c>
      <c r="L838">
        <v>0</v>
      </c>
      <c r="M838">
        <v>0</v>
      </c>
      <c r="N838">
        <v>1100</v>
      </c>
    </row>
    <row r="839" spans="1:14" x14ac:dyDescent="0.25">
      <c r="A839">
        <v>731.19301599999994</v>
      </c>
      <c r="B839" s="1">
        <f>DATE(2012,5,1) + TIME(4,37,56)</f>
        <v>41030.193009259259</v>
      </c>
      <c r="C839">
        <v>80</v>
      </c>
      <c r="D839">
        <v>63.422641753999997</v>
      </c>
      <c r="E839">
        <v>50</v>
      </c>
      <c r="F839">
        <v>49.898628234999997</v>
      </c>
      <c r="G839">
        <v>1360.5881348</v>
      </c>
      <c r="H839">
        <v>1351.3568115</v>
      </c>
      <c r="I839">
        <v>1312.8420410000001</v>
      </c>
      <c r="J839">
        <v>1304.3029785000001</v>
      </c>
      <c r="K839">
        <v>1100</v>
      </c>
      <c r="L839">
        <v>0</v>
      </c>
      <c r="M839">
        <v>0</v>
      </c>
      <c r="N839">
        <v>1100</v>
      </c>
    </row>
    <row r="840" spans="1:14" x14ac:dyDescent="0.25">
      <c r="A840">
        <v>731.24973999999997</v>
      </c>
      <c r="B840" s="1">
        <f>DATE(2012,5,1) + TIME(5,59,37)</f>
        <v>41030.2497337963</v>
      </c>
      <c r="C840">
        <v>80</v>
      </c>
      <c r="D840">
        <v>64.068107604999994</v>
      </c>
      <c r="E840">
        <v>50</v>
      </c>
      <c r="F840">
        <v>49.890747070000003</v>
      </c>
      <c r="G840">
        <v>1360.5126952999999</v>
      </c>
      <c r="H840">
        <v>1351.3526611</v>
      </c>
      <c r="I840">
        <v>1312.8458252</v>
      </c>
      <c r="J840">
        <v>1304.3062743999999</v>
      </c>
      <c r="K840">
        <v>1100</v>
      </c>
      <c r="L840">
        <v>0</v>
      </c>
      <c r="M840">
        <v>0</v>
      </c>
      <c r="N840">
        <v>1100</v>
      </c>
    </row>
    <row r="841" spans="1:14" x14ac:dyDescent="0.25">
      <c r="A841">
        <v>731.30765699999995</v>
      </c>
      <c r="B841" s="1">
        <f>DATE(2012,5,1) + TIME(7,23,1)</f>
        <v>41030.307650462964</v>
      </c>
      <c r="C841">
        <v>80</v>
      </c>
      <c r="D841">
        <v>64.701881408999995</v>
      </c>
      <c r="E841">
        <v>50</v>
      </c>
      <c r="F841">
        <v>49.882778168000002</v>
      </c>
      <c r="G841">
        <v>1360.4230957</v>
      </c>
      <c r="H841">
        <v>1351.3312988</v>
      </c>
      <c r="I841">
        <v>1312.8505858999999</v>
      </c>
      <c r="J841">
        <v>1304.3104248</v>
      </c>
      <c r="K841">
        <v>1100</v>
      </c>
      <c r="L841">
        <v>0</v>
      </c>
      <c r="M841">
        <v>0</v>
      </c>
      <c r="N841">
        <v>1100</v>
      </c>
    </row>
    <row r="842" spans="1:14" x14ac:dyDescent="0.25">
      <c r="A842">
        <v>731.36683000000005</v>
      </c>
      <c r="B842" s="1">
        <f>DATE(2012,5,1) + TIME(8,48,14)</f>
        <v>41030.366828703707</v>
      </c>
      <c r="C842">
        <v>80</v>
      </c>
      <c r="D842">
        <v>65.324058532999999</v>
      </c>
      <c r="E842">
        <v>50</v>
      </c>
      <c r="F842">
        <v>49.874713898000003</v>
      </c>
      <c r="G842">
        <v>1360.3316649999999</v>
      </c>
      <c r="H842">
        <v>1351.3051757999999</v>
      </c>
      <c r="I842">
        <v>1312.8533935999999</v>
      </c>
      <c r="J842">
        <v>1304.3127440999999</v>
      </c>
      <c r="K842">
        <v>1100</v>
      </c>
      <c r="L842">
        <v>0</v>
      </c>
      <c r="M842">
        <v>0</v>
      </c>
      <c r="N842">
        <v>1100</v>
      </c>
    </row>
    <row r="843" spans="1:14" x14ac:dyDescent="0.25">
      <c r="A843">
        <v>731.42724299999998</v>
      </c>
      <c r="B843" s="1">
        <f>DATE(2012,5,1) + TIME(10,15,13)</f>
        <v>41030.427233796298</v>
      </c>
      <c r="C843">
        <v>80</v>
      </c>
      <c r="D843">
        <v>65.933883667000003</v>
      </c>
      <c r="E843">
        <v>50</v>
      </c>
      <c r="F843">
        <v>49.86656189</v>
      </c>
      <c r="G843">
        <v>1360.2425536999999</v>
      </c>
      <c r="H843">
        <v>1351.2785644999999</v>
      </c>
      <c r="I843">
        <v>1312.8547363</v>
      </c>
      <c r="J843">
        <v>1304.3135986</v>
      </c>
      <c r="K843">
        <v>1100</v>
      </c>
      <c r="L843">
        <v>0</v>
      </c>
      <c r="M843">
        <v>0</v>
      </c>
      <c r="N843">
        <v>1100</v>
      </c>
    </row>
    <row r="844" spans="1:14" x14ac:dyDescent="0.25">
      <c r="A844">
        <v>731.48895600000003</v>
      </c>
      <c r="B844" s="1">
        <f>DATE(2012,5,1) + TIME(11,44,5)</f>
        <v>41030.488946759258</v>
      </c>
      <c r="C844">
        <v>80</v>
      </c>
      <c r="D844">
        <v>66.531288146999998</v>
      </c>
      <c r="E844">
        <v>50</v>
      </c>
      <c r="F844">
        <v>49.858318328999999</v>
      </c>
      <c r="G844">
        <v>1360.1569824000001</v>
      </c>
      <c r="H844">
        <v>1351.2525635</v>
      </c>
      <c r="I844">
        <v>1312.8555908000001</v>
      </c>
      <c r="J844">
        <v>1304.3138428</v>
      </c>
      <c r="K844">
        <v>1100</v>
      </c>
      <c r="L844">
        <v>0</v>
      </c>
      <c r="M844">
        <v>0</v>
      </c>
      <c r="N844">
        <v>1100</v>
      </c>
    </row>
    <row r="845" spans="1:14" x14ac:dyDescent="0.25">
      <c r="A845">
        <v>731.55204100000003</v>
      </c>
      <c r="B845" s="1">
        <f>DATE(2012,5,1) + TIME(13,14,56)</f>
        <v>41030.552037037036</v>
      </c>
      <c r="C845">
        <v>80</v>
      </c>
      <c r="D845">
        <v>67.116325377999999</v>
      </c>
      <c r="E845">
        <v>50</v>
      </c>
      <c r="F845">
        <v>49.849971771</v>
      </c>
      <c r="G845">
        <v>1360.0751952999999</v>
      </c>
      <c r="H845">
        <v>1351.2279053</v>
      </c>
      <c r="I845">
        <v>1312.855957</v>
      </c>
      <c r="J845">
        <v>1304.3137207</v>
      </c>
      <c r="K845">
        <v>1100</v>
      </c>
      <c r="L845">
        <v>0</v>
      </c>
      <c r="M845">
        <v>0</v>
      </c>
      <c r="N845">
        <v>1100</v>
      </c>
    </row>
    <row r="846" spans="1:14" x14ac:dyDescent="0.25">
      <c r="A846">
        <v>731.61657000000002</v>
      </c>
      <c r="B846" s="1">
        <f>DATE(2012,5,1) + TIME(14,47,51)</f>
        <v>41030.616562499999</v>
      </c>
      <c r="C846">
        <v>80</v>
      </c>
      <c r="D846">
        <v>67.689010620000005</v>
      </c>
      <c r="E846">
        <v>50</v>
      </c>
      <c r="F846">
        <v>49.841518401999998</v>
      </c>
      <c r="G846">
        <v>1359.9970702999999</v>
      </c>
      <c r="H846">
        <v>1351.2045897999999</v>
      </c>
      <c r="I846">
        <v>1312.8562012</v>
      </c>
      <c r="J846">
        <v>1304.3134766000001</v>
      </c>
      <c r="K846">
        <v>1100</v>
      </c>
      <c r="L846">
        <v>0</v>
      </c>
      <c r="M846">
        <v>0</v>
      </c>
      <c r="N846">
        <v>1100</v>
      </c>
    </row>
    <row r="847" spans="1:14" x14ac:dyDescent="0.25">
      <c r="A847">
        <v>731.68262400000003</v>
      </c>
      <c r="B847" s="1">
        <f>DATE(2012,5,1) + TIME(16,22,58)</f>
        <v>41030.682615740741</v>
      </c>
      <c r="C847">
        <v>80</v>
      </c>
      <c r="D847">
        <v>68.249382018999995</v>
      </c>
      <c r="E847">
        <v>50</v>
      </c>
      <c r="F847">
        <v>49.832950592000003</v>
      </c>
      <c r="G847">
        <v>1359.9227295000001</v>
      </c>
      <c r="H847">
        <v>1351.1824951000001</v>
      </c>
      <c r="I847">
        <v>1312.8564452999999</v>
      </c>
      <c r="J847">
        <v>1304.3129882999999</v>
      </c>
      <c r="K847">
        <v>1100</v>
      </c>
      <c r="L847">
        <v>0</v>
      </c>
      <c r="M847">
        <v>0</v>
      </c>
      <c r="N847">
        <v>1100</v>
      </c>
    </row>
    <row r="848" spans="1:14" x14ac:dyDescent="0.25">
      <c r="A848">
        <v>731.75028699999996</v>
      </c>
      <c r="B848" s="1">
        <f>DATE(2012,5,1) + TIME(18,0,24)</f>
        <v>41030.750277777777</v>
      </c>
      <c r="C848">
        <v>80</v>
      </c>
      <c r="D848">
        <v>68.797416686999995</v>
      </c>
      <c r="E848">
        <v>50</v>
      </c>
      <c r="F848">
        <v>49.824260711999997</v>
      </c>
      <c r="G848">
        <v>1359.8519286999999</v>
      </c>
      <c r="H848">
        <v>1351.1616211</v>
      </c>
      <c r="I848">
        <v>1312.8564452999999</v>
      </c>
      <c r="J848">
        <v>1304.3125</v>
      </c>
      <c r="K848">
        <v>1100</v>
      </c>
      <c r="L848">
        <v>0</v>
      </c>
      <c r="M848">
        <v>0</v>
      </c>
      <c r="N848">
        <v>1100</v>
      </c>
    </row>
    <row r="849" spans="1:14" x14ac:dyDescent="0.25">
      <c r="A849">
        <v>731.81964600000003</v>
      </c>
      <c r="B849" s="1">
        <f>DATE(2012,5,1) + TIME(19,40,17)</f>
        <v>41030.819641203707</v>
      </c>
      <c r="C849">
        <v>80</v>
      </c>
      <c r="D849">
        <v>69.333091736</v>
      </c>
      <c r="E849">
        <v>50</v>
      </c>
      <c r="F849">
        <v>49.815444946</v>
      </c>
      <c r="G849">
        <v>1359.7843018000001</v>
      </c>
      <c r="H849">
        <v>1351.1419678</v>
      </c>
      <c r="I849">
        <v>1312.8565673999999</v>
      </c>
      <c r="J849">
        <v>1304.3120117000001</v>
      </c>
      <c r="K849">
        <v>1100</v>
      </c>
      <c r="L849">
        <v>0</v>
      </c>
      <c r="M849">
        <v>0</v>
      </c>
      <c r="N849">
        <v>1100</v>
      </c>
    </row>
    <row r="850" spans="1:14" x14ac:dyDescent="0.25">
      <c r="A850">
        <v>731.89078800000004</v>
      </c>
      <c r="B850" s="1">
        <f>DATE(2012,5,1) + TIME(21,22,44)</f>
        <v>41030.890787037039</v>
      </c>
      <c r="C850">
        <v>80</v>
      </c>
      <c r="D850">
        <v>69.856300353999998</v>
      </c>
      <c r="E850">
        <v>50</v>
      </c>
      <c r="F850">
        <v>49.806488037000001</v>
      </c>
      <c r="G850">
        <v>1359.7199707</v>
      </c>
      <c r="H850">
        <v>1351.1232910000001</v>
      </c>
      <c r="I850">
        <v>1312.8565673999999</v>
      </c>
      <c r="J850">
        <v>1304.3114014</v>
      </c>
      <c r="K850">
        <v>1100</v>
      </c>
      <c r="L850">
        <v>0</v>
      </c>
      <c r="M850">
        <v>0</v>
      </c>
      <c r="N850">
        <v>1100</v>
      </c>
    </row>
    <row r="851" spans="1:14" x14ac:dyDescent="0.25">
      <c r="A851">
        <v>731.96383000000003</v>
      </c>
      <c r="B851" s="1">
        <f>DATE(2012,5,1) + TIME(23,7,54)</f>
        <v>41030.963819444441</v>
      </c>
      <c r="C851">
        <v>80</v>
      </c>
      <c r="D851">
        <v>70.366828917999996</v>
      </c>
      <c r="E851">
        <v>50</v>
      </c>
      <c r="F851">
        <v>49.797389983999999</v>
      </c>
      <c r="G851">
        <v>1359.6585693</v>
      </c>
      <c r="H851">
        <v>1351.1055908000001</v>
      </c>
      <c r="I851">
        <v>1312.8565673999999</v>
      </c>
      <c r="J851">
        <v>1304.3106689000001</v>
      </c>
      <c r="K851">
        <v>1100</v>
      </c>
      <c r="L851">
        <v>0</v>
      </c>
      <c r="M851">
        <v>0</v>
      </c>
      <c r="N851">
        <v>1100</v>
      </c>
    </row>
    <row r="852" spans="1:14" x14ac:dyDescent="0.25">
      <c r="A852">
        <v>732.03888300000006</v>
      </c>
      <c r="B852" s="1">
        <f>DATE(2012,5,2) + TIME(0,55,59)</f>
        <v>41031.038877314815</v>
      </c>
      <c r="C852">
        <v>80</v>
      </c>
      <c r="D852">
        <v>70.864791870000005</v>
      </c>
      <c r="E852">
        <v>50</v>
      </c>
      <c r="F852">
        <v>49.788131714000002</v>
      </c>
      <c r="G852">
        <v>1359.5999756000001</v>
      </c>
      <c r="H852">
        <v>1351.0888672000001</v>
      </c>
      <c r="I852">
        <v>1312.8564452999999</v>
      </c>
      <c r="J852">
        <v>1304.3100586</v>
      </c>
      <c r="K852">
        <v>1100</v>
      </c>
      <c r="L852">
        <v>0</v>
      </c>
      <c r="M852">
        <v>0</v>
      </c>
      <c r="N852">
        <v>1100</v>
      </c>
    </row>
    <row r="853" spans="1:14" x14ac:dyDescent="0.25">
      <c r="A853">
        <v>732.11606800000004</v>
      </c>
      <c r="B853" s="1">
        <f>DATE(2012,5,2) + TIME(2,47,8)</f>
        <v>41031.116064814814</v>
      </c>
      <c r="C853">
        <v>80</v>
      </c>
      <c r="D853">
        <v>71.350219726999995</v>
      </c>
      <c r="E853">
        <v>50</v>
      </c>
      <c r="F853">
        <v>49.778709411999998</v>
      </c>
      <c r="G853">
        <v>1359.5439452999999</v>
      </c>
      <c r="H853">
        <v>1351.072876</v>
      </c>
      <c r="I853">
        <v>1312.8563231999999</v>
      </c>
      <c r="J853">
        <v>1304.3092041</v>
      </c>
      <c r="K853">
        <v>1100</v>
      </c>
      <c r="L853">
        <v>0</v>
      </c>
      <c r="M853">
        <v>0</v>
      </c>
      <c r="N853">
        <v>1100</v>
      </c>
    </row>
    <row r="854" spans="1:14" x14ac:dyDescent="0.25">
      <c r="A854">
        <v>732.195515</v>
      </c>
      <c r="B854" s="1">
        <f>DATE(2012,5,2) + TIME(4,41,32)</f>
        <v>41031.195509259262</v>
      </c>
      <c r="C854">
        <v>80</v>
      </c>
      <c r="D854">
        <v>71.823043823000006</v>
      </c>
      <c r="E854">
        <v>50</v>
      </c>
      <c r="F854">
        <v>49.769107818999998</v>
      </c>
      <c r="G854">
        <v>1359.4904785000001</v>
      </c>
      <c r="H854">
        <v>1351.0576172000001</v>
      </c>
      <c r="I854">
        <v>1312.8562012</v>
      </c>
      <c r="J854">
        <v>1304.3083495999999</v>
      </c>
      <c r="K854">
        <v>1100</v>
      </c>
      <c r="L854">
        <v>0</v>
      </c>
      <c r="M854">
        <v>0</v>
      </c>
      <c r="N854">
        <v>1100</v>
      </c>
    </row>
    <row r="855" spans="1:14" x14ac:dyDescent="0.25">
      <c r="A855">
        <v>732.27736700000003</v>
      </c>
      <c r="B855" s="1">
        <f>DATE(2012,5,2) + TIME(6,39,24)</f>
        <v>41031.277361111112</v>
      </c>
      <c r="C855">
        <v>80</v>
      </c>
      <c r="D855">
        <v>72.283187866000006</v>
      </c>
      <c r="E855">
        <v>50</v>
      </c>
      <c r="F855">
        <v>49.759319304999998</v>
      </c>
      <c r="G855">
        <v>1359.4393310999999</v>
      </c>
      <c r="H855">
        <v>1351.0429687999999</v>
      </c>
      <c r="I855">
        <v>1312.8560791</v>
      </c>
      <c r="J855">
        <v>1304.3074951000001</v>
      </c>
      <c r="K855">
        <v>1100</v>
      </c>
      <c r="L855">
        <v>0</v>
      </c>
      <c r="M855">
        <v>0</v>
      </c>
      <c r="N855">
        <v>1100</v>
      </c>
    </row>
    <row r="856" spans="1:14" x14ac:dyDescent="0.25">
      <c r="A856">
        <v>732.36177499999997</v>
      </c>
      <c r="B856" s="1">
        <f>DATE(2012,5,2) + TIME(8,40,57)</f>
        <v>41031.361770833333</v>
      </c>
      <c r="C856">
        <v>80</v>
      </c>
      <c r="D856">
        <v>72.730552673000005</v>
      </c>
      <c r="E856">
        <v>50</v>
      </c>
      <c r="F856">
        <v>49.749328613000003</v>
      </c>
      <c r="G856">
        <v>1359.3902588000001</v>
      </c>
      <c r="H856">
        <v>1351.0289307</v>
      </c>
      <c r="I856">
        <v>1312.8558350000001</v>
      </c>
      <c r="J856">
        <v>1304.3066406</v>
      </c>
      <c r="K856">
        <v>1100</v>
      </c>
      <c r="L856">
        <v>0</v>
      </c>
      <c r="M856">
        <v>0</v>
      </c>
      <c r="N856">
        <v>1100</v>
      </c>
    </row>
    <row r="857" spans="1:14" x14ac:dyDescent="0.25">
      <c r="A857">
        <v>732.44890599999997</v>
      </c>
      <c r="B857" s="1">
        <f>DATE(2012,5,2) + TIME(10,46,25)</f>
        <v>41031.448900462965</v>
      </c>
      <c r="C857">
        <v>80</v>
      </c>
      <c r="D857">
        <v>73.165046692000004</v>
      </c>
      <c r="E857">
        <v>50</v>
      </c>
      <c r="F857">
        <v>49.739124298</v>
      </c>
      <c r="G857">
        <v>1359.3433838000001</v>
      </c>
      <c r="H857">
        <v>1351.0153809000001</v>
      </c>
      <c r="I857">
        <v>1312.8555908000001</v>
      </c>
      <c r="J857">
        <v>1304.3056641000001</v>
      </c>
      <c r="K857">
        <v>1100</v>
      </c>
      <c r="L857">
        <v>0</v>
      </c>
      <c r="M857">
        <v>0</v>
      </c>
      <c r="N857">
        <v>1100</v>
      </c>
    </row>
    <row r="858" spans="1:14" x14ac:dyDescent="0.25">
      <c r="A858">
        <v>732.53894300000002</v>
      </c>
      <c r="B858" s="1">
        <f>DATE(2012,5,2) + TIME(12,56,4)</f>
        <v>41031.538935185185</v>
      </c>
      <c r="C858">
        <v>80</v>
      </c>
      <c r="D858">
        <v>73.58656311</v>
      </c>
      <c r="E858">
        <v>50</v>
      </c>
      <c r="F858">
        <v>49.728691101000003</v>
      </c>
      <c r="G858">
        <v>1359.2983397999999</v>
      </c>
      <c r="H858">
        <v>1351.0021973</v>
      </c>
      <c r="I858">
        <v>1312.8552245999999</v>
      </c>
      <c r="J858">
        <v>1304.3045654</v>
      </c>
      <c r="K858">
        <v>1100</v>
      </c>
      <c r="L858">
        <v>0</v>
      </c>
      <c r="M858">
        <v>0</v>
      </c>
      <c r="N858">
        <v>1100</v>
      </c>
    </row>
    <row r="859" spans="1:14" x14ac:dyDescent="0.25">
      <c r="A859">
        <v>732.63208299999997</v>
      </c>
      <c r="B859" s="1">
        <f>DATE(2012,5,2) + TIME(15,10,11)</f>
        <v>41031.632071759261</v>
      </c>
      <c r="C859">
        <v>80</v>
      </c>
      <c r="D859">
        <v>73.994995117000002</v>
      </c>
      <c r="E859">
        <v>50</v>
      </c>
      <c r="F859">
        <v>49.718009948999999</v>
      </c>
      <c r="G859">
        <v>1359.2550048999999</v>
      </c>
      <c r="H859">
        <v>1350.9893798999999</v>
      </c>
      <c r="I859">
        <v>1312.8549805</v>
      </c>
      <c r="J859">
        <v>1304.3034668</v>
      </c>
      <c r="K859">
        <v>1100</v>
      </c>
      <c r="L859">
        <v>0</v>
      </c>
      <c r="M859">
        <v>0</v>
      </c>
      <c r="N859">
        <v>1100</v>
      </c>
    </row>
    <row r="860" spans="1:14" x14ac:dyDescent="0.25">
      <c r="A860">
        <v>732.72858499999995</v>
      </c>
      <c r="B860" s="1">
        <f>DATE(2012,5,2) + TIME(17,29,9)</f>
        <v>41031.728576388887</v>
      </c>
      <c r="C860">
        <v>80</v>
      </c>
      <c r="D860">
        <v>74.390380859000004</v>
      </c>
      <c r="E860">
        <v>50</v>
      </c>
      <c r="F860">
        <v>49.707061768000003</v>
      </c>
      <c r="G860">
        <v>1359.2133789</v>
      </c>
      <c r="H860">
        <v>1350.9766846</v>
      </c>
      <c r="I860">
        <v>1312.8546143000001</v>
      </c>
      <c r="J860">
        <v>1304.3023682</v>
      </c>
      <c r="K860">
        <v>1100</v>
      </c>
      <c r="L860">
        <v>0</v>
      </c>
      <c r="M860">
        <v>0</v>
      </c>
      <c r="N860">
        <v>1100</v>
      </c>
    </row>
    <row r="861" spans="1:14" x14ac:dyDescent="0.25">
      <c r="A861">
        <v>732.82865700000002</v>
      </c>
      <c r="B861" s="1">
        <f>DATE(2012,5,2) + TIME(19,53,15)</f>
        <v>41031.828645833331</v>
      </c>
      <c r="C861">
        <v>80</v>
      </c>
      <c r="D861">
        <v>74.772468567000004</v>
      </c>
      <c r="E861">
        <v>50</v>
      </c>
      <c r="F861">
        <v>49.695831298999998</v>
      </c>
      <c r="G861">
        <v>1359.1732178</v>
      </c>
      <c r="H861">
        <v>1350.9643555</v>
      </c>
      <c r="I861">
        <v>1312.854126</v>
      </c>
      <c r="J861">
        <v>1304.3011475000001</v>
      </c>
      <c r="K861">
        <v>1100</v>
      </c>
      <c r="L861">
        <v>0</v>
      </c>
      <c r="M861">
        <v>0</v>
      </c>
      <c r="N861">
        <v>1100</v>
      </c>
    </row>
    <row r="862" spans="1:14" x14ac:dyDescent="0.25">
      <c r="A862">
        <v>732.93255899999997</v>
      </c>
      <c r="B862" s="1">
        <f>DATE(2012,5,2) + TIME(22,22,53)</f>
        <v>41031.932557870372</v>
      </c>
      <c r="C862">
        <v>80</v>
      </c>
      <c r="D862">
        <v>75.141014099000003</v>
      </c>
      <c r="E862">
        <v>50</v>
      </c>
      <c r="F862">
        <v>49.684295654000003</v>
      </c>
      <c r="G862">
        <v>1359.1343993999999</v>
      </c>
      <c r="H862">
        <v>1350.9520264</v>
      </c>
      <c r="I862">
        <v>1312.8537598</v>
      </c>
      <c r="J862">
        <v>1304.2999268000001</v>
      </c>
      <c r="K862">
        <v>1100</v>
      </c>
      <c r="L862">
        <v>0</v>
      </c>
      <c r="M862">
        <v>0</v>
      </c>
      <c r="N862">
        <v>1100</v>
      </c>
    </row>
    <row r="863" spans="1:14" x14ac:dyDescent="0.25">
      <c r="A863">
        <v>733.04058299999997</v>
      </c>
      <c r="B863" s="1">
        <f>DATE(2012,5,3) + TIME(0,58,26)</f>
        <v>41032.040578703702</v>
      </c>
      <c r="C863">
        <v>80</v>
      </c>
      <c r="D863">
        <v>75.495826721</v>
      </c>
      <c r="E863">
        <v>50</v>
      </c>
      <c r="F863">
        <v>49.672431946000003</v>
      </c>
      <c r="G863">
        <v>1359.0969238</v>
      </c>
      <c r="H863">
        <v>1350.9396973</v>
      </c>
      <c r="I863">
        <v>1312.8532714999999</v>
      </c>
      <c r="J863">
        <v>1304.2985839999999</v>
      </c>
      <c r="K863">
        <v>1100</v>
      </c>
      <c r="L863">
        <v>0</v>
      </c>
      <c r="M863">
        <v>0</v>
      </c>
      <c r="N863">
        <v>1100</v>
      </c>
    </row>
    <row r="864" spans="1:14" x14ac:dyDescent="0.25">
      <c r="A864">
        <v>733.15305499999999</v>
      </c>
      <c r="B864" s="1">
        <f>DATE(2012,5,3) + TIME(3,40,23)</f>
        <v>41032.153043981481</v>
      </c>
      <c r="C864">
        <v>80</v>
      </c>
      <c r="D864">
        <v>75.836952209000003</v>
      </c>
      <c r="E864">
        <v>50</v>
      </c>
      <c r="F864">
        <v>49.660217285000002</v>
      </c>
      <c r="G864">
        <v>1359.0605469</v>
      </c>
      <c r="H864">
        <v>1350.9272461</v>
      </c>
      <c r="I864">
        <v>1312.8526611</v>
      </c>
      <c r="J864">
        <v>1304.2972411999999</v>
      </c>
      <c r="K864">
        <v>1100</v>
      </c>
      <c r="L864">
        <v>0</v>
      </c>
      <c r="M864">
        <v>0</v>
      </c>
      <c r="N864">
        <v>1100</v>
      </c>
    </row>
    <row r="865" spans="1:14" x14ac:dyDescent="0.25">
      <c r="A865">
        <v>733.27033600000004</v>
      </c>
      <c r="B865" s="1">
        <f>DATE(2012,5,3) + TIME(6,29,17)</f>
        <v>41032.270335648151</v>
      </c>
      <c r="C865">
        <v>80</v>
      </c>
      <c r="D865">
        <v>76.164276122999993</v>
      </c>
      <c r="E865">
        <v>50</v>
      </c>
      <c r="F865">
        <v>49.647624968999999</v>
      </c>
      <c r="G865">
        <v>1359.0251464999999</v>
      </c>
      <c r="H865">
        <v>1350.9146728999999</v>
      </c>
      <c r="I865">
        <v>1312.8521728999999</v>
      </c>
      <c r="J865">
        <v>1304.2958983999999</v>
      </c>
      <c r="K865">
        <v>1100</v>
      </c>
      <c r="L865">
        <v>0</v>
      </c>
      <c r="M865">
        <v>0</v>
      </c>
      <c r="N865">
        <v>1100</v>
      </c>
    </row>
    <row r="866" spans="1:14" x14ac:dyDescent="0.25">
      <c r="A866">
        <v>733.392831</v>
      </c>
      <c r="B866" s="1">
        <f>DATE(2012,5,3) + TIME(9,25,40)</f>
        <v>41032.392824074072</v>
      </c>
      <c r="C866">
        <v>80</v>
      </c>
      <c r="D866">
        <v>76.477691649999997</v>
      </c>
      <c r="E866">
        <v>50</v>
      </c>
      <c r="F866">
        <v>49.634616852000001</v>
      </c>
      <c r="G866">
        <v>1358.9904785000001</v>
      </c>
      <c r="H866">
        <v>1350.9019774999999</v>
      </c>
      <c r="I866">
        <v>1312.8515625</v>
      </c>
      <c r="J866">
        <v>1304.2943115</v>
      </c>
      <c r="K866">
        <v>1100</v>
      </c>
      <c r="L866">
        <v>0</v>
      </c>
      <c r="M866">
        <v>0</v>
      </c>
      <c r="N866">
        <v>1100</v>
      </c>
    </row>
    <row r="867" spans="1:14" x14ac:dyDescent="0.25">
      <c r="A867">
        <v>733.52099499999997</v>
      </c>
      <c r="B867" s="1">
        <f>DATE(2012,5,3) + TIME(12,30,13)</f>
        <v>41032.520983796298</v>
      </c>
      <c r="C867">
        <v>80</v>
      </c>
      <c r="D867">
        <v>76.777091979999994</v>
      </c>
      <c r="E867">
        <v>50</v>
      </c>
      <c r="F867">
        <v>49.621162415000001</v>
      </c>
      <c r="G867">
        <v>1358.9566649999999</v>
      </c>
      <c r="H867">
        <v>1350.8889160000001</v>
      </c>
      <c r="I867">
        <v>1312.8508300999999</v>
      </c>
      <c r="J867">
        <v>1304.2928466999999</v>
      </c>
      <c r="K867">
        <v>1100</v>
      </c>
      <c r="L867">
        <v>0</v>
      </c>
      <c r="M867">
        <v>0</v>
      </c>
      <c r="N867">
        <v>1100</v>
      </c>
    </row>
    <row r="868" spans="1:14" x14ac:dyDescent="0.25">
      <c r="A868">
        <v>733.65534200000002</v>
      </c>
      <c r="B868" s="1">
        <f>DATE(2012,5,3) + TIME(15,43,41)</f>
        <v>41032.655335648145</v>
      </c>
      <c r="C868">
        <v>80</v>
      </c>
      <c r="D868">
        <v>77.062370299999998</v>
      </c>
      <c r="E868">
        <v>50</v>
      </c>
      <c r="F868">
        <v>49.607219696000001</v>
      </c>
      <c r="G868">
        <v>1358.9234618999999</v>
      </c>
      <c r="H868">
        <v>1350.8754882999999</v>
      </c>
      <c r="I868">
        <v>1312.8500977000001</v>
      </c>
      <c r="J868">
        <v>1304.2911377</v>
      </c>
      <c r="K868">
        <v>1100</v>
      </c>
      <c r="L868">
        <v>0</v>
      </c>
      <c r="M868">
        <v>0</v>
      </c>
      <c r="N868">
        <v>1100</v>
      </c>
    </row>
    <row r="869" spans="1:14" x14ac:dyDescent="0.25">
      <c r="A869">
        <v>733.79645600000003</v>
      </c>
      <c r="B869" s="1">
        <f>DATE(2012,5,3) + TIME(19,6,53)</f>
        <v>41032.796446759261</v>
      </c>
      <c r="C869">
        <v>80</v>
      </c>
      <c r="D869">
        <v>77.333465575999995</v>
      </c>
      <c r="E869">
        <v>50</v>
      </c>
      <c r="F869">
        <v>49.592746734999999</v>
      </c>
      <c r="G869">
        <v>1358.8907471</v>
      </c>
      <c r="H869">
        <v>1350.8614502</v>
      </c>
      <c r="I869">
        <v>1312.8493652</v>
      </c>
      <c r="J869">
        <v>1304.2895507999999</v>
      </c>
      <c r="K869">
        <v>1100</v>
      </c>
      <c r="L869">
        <v>0</v>
      </c>
      <c r="M869">
        <v>0</v>
      </c>
      <c r="N869">
        <v>1100</v>
      </c>
    </row>
    <row r="870" spans="1:14" x14ac:dyDescent="0.25">
      <c r="A870">
        <v>733.94505200000003</v>
      </c>
      <c r="B870" s="1">
        <f>DATE(2012,5,3) + TIME(22,40,52)</f>
        <v>41032.9450462963</v>
      </c>
      <c r="C870">
        <v>80</v>
      </c>
      <c r="D870">
        <v>77.590370178000001</v>
      </c>
      <c r="E870">
        <v>50</v>
      </c>
      <c r="F870">
        <v>49.577690124999997</v>
      </c>
      <c r="G870">
        <v>1358.8582764</v>
      </c>
      <c r="H870">
        <v>1350.8469238</v>
      </c>
      <c r="I870">
        <v>1312.8486327999999</v>
      </c>
      <c r="J870">
        <v>1304.2877197</v>
      </c>
      <c r="K870">
        <v>1100</v>
      </c>
      <c r="L870">
        <v>0</v>
      </c>
      <c r="M870">
        <v>0</v>
      </c>
      <c r="N870">
        <v>1100</v>
      </c>
    </row>
    <row r="871" spans="1:14" x14ac:dyDescent="0.25">
      <c r="A871">
        <v>734.10191499999996</v>
      </c>
      <c r="B871" s="1">
        <f>DATE(2012,5,4) + TIME(2,26,45)</f>
        <v>41033.101909722223</v>
      </c>
      <c r="C871">
        <v>80</v>
      </c>
      <c r="D871">
        <v>77.833038329999994</v>
      </c>
      <c r="E871">
        <v>50</v>
      </c>
      <c r="F871">
        <v>49.561981201000002</v>
      </c>
      <c r="G871">
        <v>1358.8259277</v>
      </c>
      <c r="H871">
        <v>1350.8317870999999</v>
      </c>
      <c r="I871">
        <v>1312.8476562000001</v>
      </c>
      <c r="J871">
        <v>1304.2858887</v>
      </c>
      <c r="K871">
        <v>1100</v>
      </c>
      <c r="L871">
        <v>0</v>
      </c>
      <c r="M871">
        <v>0</v>
      </c>
      <c r="N871">
        <v>1100</v>
      </c>
    </row>
    <row r="872" spans="1:14" x14ac:dyDescent="0.25">
      <c r="A872">
        <v>734.267878</v>
      </c>
      <c r="B872" s="1">
        <f>DATE(2012,5,4) + TIME(6,25,44)</f>
        <v>41033.267870370371</v>
      </c>
      <c r="C872">
        <v>80</v>
      </c>
      <c r="D872">
        <v>78.061332703000005</v>
      </c>
      <c r="E872">
        <v>50</v>
      </c>
      <c r="F872">
        <v>49.545566559000001</v>
      </c>
      <c r="G872">
        <v>1358.7937012</v>
      </c>
      <c r="H872">
        <v>1350.8157959</v>
      </c>
      <c r="I872">
        <v>1312.8468018000001</v>
      </c>
      <c r="J872">
        <v>1304.2838135</v>
      </c>
      <c r="K872">
        <v>1100</v>
      </c>
      <c r="L872">
        <v>0</v>
      </c>
      <c r="M872">
        <v>0</v>
      </c>
      <c r="N872">
        <v>1100</v>
      </c>
    </row>
    <row r="873" spans="1:14" x14ac:dyDescent="0.25">
      <c r="A873">
        <v>734.44397200000003</v>
      </c>
      <c r="B873" s="1">
        <f>DATE(2012,5,4) + TIME(10,39,19)</f>
        <v>41033.443969907406</v>
      </c>
      <c r="C873">
        <v>80</v>
      </c>
      <c r="D873">
        <v>78.275253296000002</v>
      </c>
      <c r="E873">
        <v>50</v>
      </c>
      <c r="F873">
        <v>49.528369904000002</v>
      </c>
      <c r="G873">
        <v>1358.7613524999999</v>
      </c>
      <c r="H873">
        <v>1350.7989502</v>
      </c>
      <c r="I873">
        <v>1312.8457031</v>
      </c>
      <c r="J873">
        <v>1304.2817382999999</v>
      </c>
      <c r="K873">
        <v>1100</v>
      </c>
      <c r="L873">
        <v>0</v>
      </c>
      <c r="M873">
        <v>0</v>
      </c>
      <c r="N873">
        <v>1100</v>
      </c>
    </row>
    <row r="874" spans="1:14" x14ac:dyDescent="0.25">
      <c r="A874">
        <v>734.63140699999997</v>
      </c>
      <c r="B874" s="1">
        <f>DATE(2012,5,4) + TIME(15,9,13)</f>
        <v>41033.63140046296</v>
      </c>
      <c r="C874">
        <v>80</v>
      </c>
      <c r="D874">
        <v>78.474800110000004</v>
      </c>
      <c r="E874">
        <v>50</v>
      </c>
      <c r="F874">
        <v>49.510295868</v>
      </c>
      <c r="G874">
        <v>1358.7286377</v>
      </c>
      <c r="H874">
        <v>1350.7811279</v>
      </c>
      <c r="I874">
        <v>1312.8446045000001</v>
      </c>
      <c r="J874">
        <v>1304.2795410000001</v>
      </c>
      <c r="K874">
        <v>1100</v>
      </c>
      <c r="L874">
        <v>0</v>
      </c>
      <c r="M874">
        <v>0</v>
      </c>
      <c r="N874">
        <v>1100</v>
      </c>
    </row>
    <row r="875" spans="1:14" x14ac:dyDescent="0.25">
      <c r="A875">
        <v>734.83160699999996</v>
      </c>
      <c r="B875" s="1">
        <f>DATE(2012,5,4) + TIME(19,57,30)</f>
        <v>41033.831597222219</v>
      </c>
      <c r="C875">
        <v>80</v>
      </c>
      <c r="D875">
        <v>78.660018921000002</v>
      </c>
      <c r="E875">
        <v>50</v>
      </c>
      <c r="F875">
        <v>49.49124527</v>
      </c>
      <c r="G875">
        <v>1358.6954346</v>
      </c>
      <c r="H875">
        <v>1350.762207</v>
      </c>
      <c r="I875">
        <v>1312.8433838000001</v>
      </c>
      <c r="J875">
        <v>1304.2772216999999</v>
      </c>
      <c r="K875">
        <v>1100</v>
      </c>
      <c r="L875">
        <v>0</v>
      </c>
      <c r="M875">
        <v>0</v>
      </c>
      <c r="N875">
        <v>1100</v>
      </c>
    </row>
    <row r="876" spans="1:14" x14ac:dyDescent="0.25">
      <c r="A876">
        <v>735.04624200000001</v>
      </c>
      <c r="B876" s="1">
        <f>DATE(2012,5,5) + TIME(1,6,35)</f>
        <v>41034.046238425923</v>
      </c>
      <c r="C876">
        <v>80</v>
      </c>
      <c r="D876">
        <v>78.830940247000001</v>
      </c>
      <c r="E876">
        <v>50</v>
      </c>
      <c r="F876">
        <v>49.471096039000003</v>
      </c>
      <c r="G876">
        <v>1358.6616211</v>
      </c>
      <c r="H876">
        <v>1350.7419434000001</v>
      </c>
      <c r="I876">
        <v>1312.8421631000001</v>
      </c>
      <c r="J876">
        <v>1304.2747803</v>
      </c>
      <c r="K876">
        <v>1100</v>
      </c>
      <c r="L876">
        <v>0</v>
      </c>
      <c r="M876">
        <v>0</v>
      </c>
      <c r="N876">
        <v>1100</v>
      </c>
    </row>
    <row r="877" spans="1:14" x14ac:dyDescent="0.25">
      <c r="A877">
        <v>735.27741300000002</v>
      </c>
      <c r="B877" s="1">
        <f>DATE(2012,5,5) + TIME(6,39,28)</f>
        <v>41034.277407407404</v>
      </c>
      <c r="C877">
        <v>80</v>
      </c>
      <c r="D877">
        <v>78.987724303999997</v>
      </c>
      <c r="E877">
        <v>50</v>
      </c>
      <c r="F877">
        <v>49.449695587000001</v>
      </c>
      <c r="G877">
        <v>1358.6268310999999</v>
      </c>
      <c r="H877">
        <v>1350.7204589999999</v>
      </c>
      <c r="I877">
        <v>1312.8406981999999</v>
      </c>
      <c r="J877">
        <v>1304.2720947</v>
      </c>
      <c r="K877">
        <v>1100</v>
      </c>
      <c r="L877">
        <v>0</v>
      </c>
      <c r="M877">
        <v>0</v>
      </c>
      <c r="N877">
        <v>1100</v>
      </c>
    </row>
    <row r="878" spans="1:14" x14ac:dyDescent="0.25">
      <c r="A878">
        <v>735.52195900000004</v>
      </c>
      <c r="B878" s="1">
        <f>DATE(2012,5,5) + TIME(12,31,37)</f>
        <v>41034.521956018521</v>
      </c>
      <c r="C878">
        <v>80</v>
      </c>
      <c r="D878">
        <v>79.127777100000003</v>
      </c>
      <c r="E878">
        <v>50</v>
      </c>
      <c r="F878">
        <v>49.427322388</v>
      </c>
      <c r="G878">
        <v>1358.5919189000001</v>
      </c>
      <c r="H878">
        <v>1350.6977539</v>
      </c>
      <c r="I878">
        <v>1312.8391113</v>
      </c>
      <c r="J878">
        <v>1304.2692870999999</v>
      </c>
      <c r="K878">
        <v>1100</v>
      </c>
      <c r="L878">
        <v>0</v>
      </c>
      <c r="M878">
        <v>0</v>
      </c>
      <c r="N878">
        <v>1100</v>
      </c>
    </row>
    <row r="879" spans="1:14" x14ac:dyDescent="0.25">
      <c r="A879">
        <v>735.76875199999995</v>
      </c>
      <c r="B879" s="1">
        <f>DATE(2012,5,5) + TIME(18,27,0)</f>
        <v>41034.768750000003</v>
      </c>
      <c r="C879">
        <v>80</v>
      </c>
      <c r="D879">
        <v>79.246978760000005</v>
      </c>
      <c r="E879">
        <v>50</v>
      </c>
      <c r="F879">
        <v>49.404884338000002</v>
      </c>
      <c r="G879">
        <v>1358.5581055</v>
      </c>
      <c r="H879">
        <v>1350.6748047000001</v>
      </c>
      <c r="I879">
        <v>1312.8374022999999</v>
      </c>
      <c r="J879">
        <v>1304.2662353999999</v>
      </c>
      <c r="K879">
        <v>1100</v>
      </c>
      <c r="L879">
        <v>0</v>
      </c>
      <c r="M879">
        <v>0</v>
      </c>
      <c r="N879">
        <v>1100</v>
      </c>
    </row>
    <row r="880" spans="1:14" x14ac:dyDescent="0.25">
      <c r="A880">
        <v>736.01887899999997</v>
      </c>
      <c r="B880" s="1">
        <f>DATE(2012,5,6) + TIME(0,27,11)</f>
        <v>41035.018877314818</v>
      </c>
      <c r="C880">
        <v>80</v>
      </c>
      <c r="D880">
        <v>79.348670959000003</v>
      </c>
      <c r="E880">
        <v>50</v>
      </c>
      <c r="F880">
        <v>49.382289886000002</v>
      </c>
      <c r="G880">
        <v>1358.5246582</v>
      </c>
      <c r="H880">
        <v>1350.6514893000001</v>
      </c>
      <c r="I880">
        <v>1312.8355713000001</v>
      </c>
      <c r="J880">
        <v>1304.2631836</v>
      </c>
      <c r="K880">
        <v>1100</v>
      </c>
      <c r="L880">
        <v>0</v>
      </c>
      <c r="M880">
        <v>0</v>
      </c>
      <c r="N880">
        <v>1100</v>
      </c>
    </row>
    <row r="881" spans="1:14" x14ac:dyDescent="0.25">
      <c r="A881">
        <v>736.27295700000002</v>
      </c>
      <c r="B881" s="1">
        <f>DATE(2012,5,6) + TIME(6,33,3)</f>
        <v>41035.272951388892</v>
      </c>
      <c r="C881">
        <v>80</v>
      </c>
      <c r="D881">
        <v>79.435424804999997</v>
      </c>
      <c r="E881">
        <v>50</v>
      </c>
      <c r="F881">
        <v>49.359493256</v>
      </c>
      <c r="G881">
        <v>1358.4916992000001</v>
      </c>
      <c r="H881">
        <v>1350.6280518000001</v>
      </c>
      <c r="I881">
        <v>1312.8337402</v>
      </c>
      <c r="J881">
        <v>1304.2601318</v>
      </c>
      <c r="K881">
        <v>1100</v>
      </c>
      <c r="L881">
        <v>0</v>
      </c>
      <c r="M881">
        <v>0</v>
      </c>
      <c r="N881">
        <v>1100</v>
      </c>
    </row>
    <row r="882" spans="1:14" x14ac:dyDescent="0.25">
      <c r="A882">
        <v>736.53166599999997</v>
      </c>
      <c r="B882" s="1">
        <f>DATE(2012,5,6) + TIME(12,45,35)</f>
        <v>41035.531655092593</v>
      </c>
      <c r="C882">
        <v>80</v>
      </c>
      <c r="D882">
        <v>79.509414672999995</v>
      </c>
      <c r="E882">
        <v>50</v>
      </c>
      <c r="F882">
        <v>49.336441039999997</v>
      </c>
      <c r="G882">
        <v>1358.4588623</v>
      </c>
      <c r="H882">
        <v>1350.6043701000001</v>
      </c>
      <c r="I882">
        <v>1312.8319091999999</v>
      </c>
      <c r="J882">
        <v>1304.2570800999999</v>
      </c>
      <c r="K882">
        <v>1100</v>
      </c>
      <c r="L882">
        <v>0</v>
      </c>
      <c r="M882">
        <v>0</v>
      </c>
      <c r="N882">
        <v>1100</v>
      </c>
    </row>
    <row r="883" spans="1:14" x14ac:dyDescent="0.25">
      <c r="A883">
        <v>736.79414299999996</v>
      </c>
      <c r="B883" s="1">
        <f>DATE(2012,5,6) + TIME(19,3,33)</f>
        <v>41035.794131944444</v>
      </c>
      <c r="C883">
        <v>80</v>
      </c>
      <c r="D883">
        <v>79.572166443</v>
      </c>
      <c r="E883">
        <v>50</v>
      </c>
      <c r="F883">
        <v>49.31319809</v>
      </c>
      <c r="G883">
        <v>1358.4263916</v>
      </c>
      <c r="H883">
        <v>1350.5804443</v>
      </c>
      <c r="I883">
        <v>1312.8299560999999</v>
      </c>
      <c r="J883">
        <v>1304.2537841999999</v>
      </c>
      <c r="K883">
        <v>1100</v>
      </c>
      <c r="L883">
        <v>0</v>
      </c>
      <c r="M883">
        <v>0</v>
      </c>
      <c r="N883">
        <v>1100</v>
      </c>
    </row>
    <row r="884" spans="1:14" x14ac:dyDescent="0.25">
      <c r="A884">
        <v>737.06082400000003</v>
      </c>
      <c r="B884" s="1">
        <f>DATE(2012,5,7) + TIME(1,27,35)</f>
        <v>41036.06082175926</v>
      </c>
      <c r="C884">
        <v>80</v>
      </c>
      <c r="D884">
        <v>79.625350952000005</v>
      </c>
      <c r="E884">
        <v>50</v>
      </c>
      <c r="F884">
        <v>49.289733886999997</v>
      </c>
      <c r="G884">
        <v>1358.3941649999999</v>
      </c>
      <c r="H884">
        <v>1350.5565185999999</v>
      </c>
      <c r="I884">
        <v>1312.8278809000001</v>
      </c>
      <c r="J884">
        <v>1304.2506103999999</v>
      </c>
      <c r="K884">
        <v>1100</v>
      </c>
      <c r="L884">
        <v>0</v>
      </c>
      <c r="M884">
        <v>0</v>
      </c>
      <c r="N884">
        <v>1100</v>
      </c>
    </row>
    <row r="885" spans="1:14" x14ac:dyDescent="0.25">
      <c r="A885">
        <v>737.33225100000004</v>
      </c>
      <c r="B885" s="1">
        <f>DATE(2012,5,7) + TIME(7,58,26)</f>
        <v>41036.332245370373</v>
      </c>
      <c r="C885">
        <v>80</v>
      </c>
      <c r="D885">
        <v>79.670394896999994</v>
      </c>
      <c r="E885">
        <v>50</v>
      </c>
      <c r="F885">
        <v>49.266010283999996</v>
      </c>
      <c r="G885">
        <v>1358.3620605000001</v>
      </c>
      <c r="H885">
        <v>1350.5323486</v>
      </c>
      <c r="I885">
        <v>1312.8258057</v>
      </c>
      <c r="J885">
        <v>1304.2473144999999</v>
      </c>
      <c r="K885">
        <v>1100</v>
      </c>
      <c r="L885">
        <v>0</v>
      </c>
      <c r="M885">
        <v>0</v>
      </c>
      <c r="N885">
        <v>1100</v>
      </c>
    </row>
    <row r="886" spans="1:14" x14ac:dyDescent="0.25">
      <c r="A886">
        <v>737.60898099999997</v>
      </c>
      <c r="B886" s="1">
        <f>DATE(2012,5,7) + TIME(14,36,55)</f>
        <v>41036.608969907407</v>
      </c>
      <c r="C886">
        <v>80</v>
      </c>
      <c r="D886">
        <v>79.708511353000006</v>
      </c>
      <c r="E886">
        <v>50</v>
      </c>
      <c r="F886">
        <v>49.241981506000002</v>
      </c>
      <c r="G886">
        <v>1358.3302002</v>
      </c>
      <c r="H886">
        <v>1350.5081786999999</v>
      </c>
      <c r="I886">
        <v>1312.8237305</v>
      </c>
      <c r="J886">
        <v>1304.2438964999999</v>
      </c>
      <c r="K886">
        <v>1100</v>
      </c>
      <c r="L886">
        <v>0</v>
      </c>
      <c r="M886">
        <v>0</v>
      </c>
      <c r="N886">
        <v>1100</v>
      </c>
    </row>
    <row r="887" spans="1:14" x14ac:dyDescent="0.25">
      <c r="A887">
        <v>737.89172099999996</v>
      </c>
      <c r="B887" s="1">
        <f>DATE(2012,5,7) + TIME(21,24,4)</f>
        <v>41036.891712962963</v>
      </c>
      <c r="C887">
        <v>80</v>
      </c>
      <c r="D887">
        <v>79.740745544000006</v>
      </c>
      <c r="E887">
        <v>50</v>
      </c>
      <c r="F887">
        <v>49.217601776000002</v>
      </c>
      <c r="G887">
        <v>1358.2983397999999</v>
      </c>
      <c r="H887">
        <v>1350.4838867000001</v>
      </c>
      <c r="I887">
        <v>1312.8215332</v>
      </c>
      <c r="J887">
        <v>1304.2403564000001</v>
      </c>
      <c r="K887">
        <v>1100</v>
      </c>
      <c r="L887">
        <v>0</v>
      </c>
      <c r="M887">
        <v>0</v>
      </c>
      <c r="N887">
        <v>1100</v>
      </c>
    </row>
    <row r="888" spans="1:14" x14ac:dyDescent="0.25">
      <c r="A888">
        <v>738.18097299999999</v>
      </c>
      <c r="B888" s="1">
        <f>DATE(2012,5,8) + TIME(4,20,36)</f>
        <v>41037.180972222224</v>
      </c>
      <c r="C888">
        <v>80</v>
      </c>
      <c r="D888">
        <v>79.767951964999995</v>
      </c>
      <c r="E888">
        <v>50</v>
      </c>
      <c r="F888">
        <v>49.192829132</v>
      </c>
      <c r="G888">
        <v>1358.2664795000001</v>
      </c>
      <c r="H888">
        <v>1350.4594727000001</v>
      </c>
      <c r="I888">
        <v>1312.8193358999999</v>
      </c>
      <c r="J888">
        <v>1304.2368164</v>
      </c>
      <c r="K888">
        <v>1100</v>
      </c>
      <c r="L888">
        <v>0</v>
      </c>
      <c r="M888">
        <v>0</v>
      </c>
      <c r="N888">
        <v>1100</v>
      </c>
    </row>
    <row r="889" spans="1:14" x14ac:dyDescent="0.25">
      <c r="A889">
        <v>738.47740399999998</v>
      </c>
      <c r="B889" s="1">
        <f>DATE(2012,5,8) + TIME(11,27,27)</f>
        <v>41037.477395833332</v>
      </c>
      <c r="C889">
        <v>80</v>
      </c>
      <c r="D889">
        <v>79.790878296000002</v>
      </c>
      <c r="E889">
        <v>50</v>
      </c>
      <c r="F889">
        <v>49.167617798000002</v>
      </c>
      <c r="G889">
        <v>1358.2347411999999</v>
      </c>
      <c r="H889">
        <v>1350.4349365</v>
      </c>
      <c r="I889">
        <v>1312.8170166</v>
      </c>
      <c r="J889">
        <v>1304.2331543</v>
      </c>
      <c r="K889">
        <v>1100</v>
      </c>
      <c r="L889">
        <v>0</v>
      </c>
      <c r="M889">
        <v>0</v>
      </c>
      <c r="N889">
        <v>1100</v>
      </c>
    </row>
    <row r="890" spans="1:14" x14ac:dyDescent="0.25">
      <c r="A890">
        <v>738.78172900000004</v>
      </c>
      <c r="B890" s="1">
        <f>DATE(2012,5,8) + TIME(18,45,41)</f>
        <v>41037.781724537039</v>
      </c>
      <c r="C890">
        <v>80</v>
      </c>
      <c r="D890">
        <v>79.810165405000006</v>
      </c>
      <c r="E890">
        <v>50</v>
      </c>
      <c r="F890">
        <v>49.141921996999997</v>
      </c>
      <c r="G890">
        <v>1358.2027588000001</v>
      </c>
      <c r="H890">
        <v>1350.4102783000001</v>
      </c>
      <c r="I890">
        <v>1312.8146973</v>
      </c>
      <c r="J890">
        <v>1304.2294922000001</v>
      </c>
      <c r="K890">
        <v>1100</v>
      </c>
      <c r="L890">
        <v>0</v>
      </c>
      <c r="M890">
        <v>0</v>
      </c>
      <c r="N890">
        <v>1100</v>
      </c>
    </row>
    <row r="891" spans="1:14" x14ac:dyDescent="0.25">
      <c r="A891">
        <v>739.09472900000003</v>
      </c>
      <c r="B891" s="1">
        <f>DATE(2012,5,9) + TIME(2,16,24)</f>
        <v>41038.094722222224</v>
      </c>
      <c r="C891">
        <v>80</v>
      </c>
      <c r="D891">
        <v>79.826362610000004</v>
      </c>
      <c r="E891">
        <v>50</v>
      </c>
      <c r="F891">
        <v>49.115684508999998</v>
      </c>
      <c r="G891">
        <v>1358.1707764</v>
      </c>
      <c r="H891">
        <v>1350.3856201000001</v>
      </c>
      <c r="I891">
        <v>1312.8122559000001</v>
      </c>
      <c r="J891">
        <v>1304.2255858999999</v>
      </c>
      <c r="K891">
        <v>1100</v>
      </c>
      <c r="L891">
        <v>0</v>
      </c>
      <c r="M891">
        <v>0</v>
      </c>
      <c r="N891">
        <v>1100</v>
      </c>
    </row>
    <row r="892" spans="1:14" x14ac:dyDescent="0.25">
      <c r="A892">
        <v>739.41725699999995</v>
      </c>
      <c r="B892" s="1">
        <f>DATE(2012,5,9) + TIME(10,0,51)</f>
        <v>41038.417256944442</v>
      </c>
      <c r="C892">
        <v>80</v>
      </c>
      <c r="D892">
        <v>79.839935303000004</v>
      </c>
      <c r="E892">
        <v>50</v>
      </c>
      <c r="F892">
        <v>49.088844299000002</v>
      </c>
      <c r="G892">
        <v>1358.1386719</v>
      </c>
      <c r="H892">
        <v>1350.3605957</v>
      </c>
      <c r="I892">
        <v>1312.8096923999999</v>
      </c>
      <c r="J892">
        <v>1304.2215576000001</v>
      </c>
      <c r="K892">
        <v>1100</v>
      </c>
      <c r="L892">
        <v>0</v>
      </c>
      <c r="M892">
        <v>0</v>
      </c>
      <c r="N892">
        <v>1100</v>
      </c>
    </row>
    <row r="893" spans="1:14" x14ac:dyDescent="0.25">
      <c r="A893">
        <v>739.75025600000004</v>
      </c>
      <c r="B893" s="1">
        <f>DATE(2012,5,9) + TIME(18,0,22)</f>
        <v>41038.750254629631</v>
      </c>
      <c r="C893">
        <v>80</v>
      </c>
      <c r="D893">
        <v>79.851287842000005</v>
      </c>
      <c r="E893">
        <v>50</v>
      </c>
      <c r="F893">
        <v>49.061344147</v>
      </c>
      <c r="G893">
        <v>1358.1063231999999</v>
      </c>
      <c r="H893">
        <v>1350.3355713000001</v>
      </c>
      <c r="I893">
        <v>1312.8070068</v>
      </c>
      <c r="J893">
        <v>1304.2174072</v>
      </c>
      <c r="K893">
        <v>1100</v>
      </c>
      <c r="L893">
        <v>0</v>
      </c>
      <c r="M893">
        <v>0</v>
      </c>
      <c r="N893">
        <v>1100</v>
      </c>
    </row>
    <row r="894" spans="1:14" x14ac:dyDescent="0.25">
      <c r="A894">
        <v>740.09477300000003</v>
      </c>
      <c r="B894" s="1">
        <f>DATE(2012,5,10) + TIME(2,16,28)</f>
        <v>41039.094768518517</v>
      </c>
      <c r="C894">
        <v>80</v>
      </c>
      <c r="D894">
        <v>79.860755920000003</v>
      </c>
      <c r="E894">
        <v>50</v>
      </c>
      <c r="F894">
        <v>49.033115387000002</v>
      </c>
      <c r="G894">
        <v>1358.0737305</v>
      </c>
      <c r="H894">
        <v>1350.3103027</v>
      </c>
      <c r="I894">
        <v>1312.8041992000001</v>
      </c>
      <c r="J894">
        <v>1304.2131348</v>
      </c>
      <c r="K894">
        <v>1100</v>
      </c>
      <c r="L894">
        <v>0</v>
      </c>
      <c r="M894">
        <v>0</v>
      </c>
      <c r="N894">
        <v>1100</v>
      </c>
    </row>
    <row r="895" spans="1:14" x14ac:dyDescent="0.25">
      <c r="A895">
        <v>740.44979599999999</v>
      </c>
      <c r="B895" s="1">
        <f>DATE(2012,5,10) + TIME(10,47,42)</f>
        <v>41039.449791666666</v>
      </c>
      <c r="C895">
        <v>80</v>
      </c>
      <c r="D895">
        <v>79.868598938000005</v>
      </c>
      <c r="E895">
        <v>50</v>
      </c>
      <c r="F895">
        <v>49.00422287</v>
      </c>
      <c r="G895">
        <v>1358.0408935999999</v>
      </c>
      <c r="H895">
        <v>1350.2847899999999</v>
      </c>
      <c r="I895">
        <v>1312.8013916</v>
      </c>
      <c r="J895">
        <v>1304.2086182</v>
      </c>
      <c r="K895">
        <v>1100</v>
      </c>
      <c r="L895">
        <v>0</v>
      </c>
      <c r="M895">
        <v>0</v>
      </c>
      <c r="N895">
        <v>1100</v>
      </c>
    </row>
    <row r="896" spans="1:14" x14ac:dyDescent="0.25">
      <c r="A896">
        <v>740.81580899999994</v>
      </c>
      <c r="B896" s="1">
        <f>DATE(2012,5,10) + TIME(19,34,45)</f>
        <v>41039.815798611111</v>
      </c>
      <c r="C896">
        <v>80</v>
      </c>
      <c r="D896">
        <v>79.875076293999996</v>
      </c>
      <c r="E896">
        <v>50</v>
      </c>
      <c r="F896">
        <v>48.974643706999998</v>
      </c>
      <c r="G896">
        <v>1358.0078125</v>
      </c>
      <c r="H896">
        <v>1350.2591553</v>
      </c>
      <c r="I896">
        <v>1312.7983397999999</v>
      </c>
      <c r="J896">
        <v>1304.2039795000001</v>
      </c>
      <c r="K896">
        <v>1100</v>
      </c>
      <c r="L896">
        <v>0</v>
      </c>
      <c r="M896">
        <v>0</v>
      </c>
      <c r="N896">
        <v>1100</v>
      </c>
    </row>
    <row r="897" spans="1:14" x14ac:dyDescent="0.25">
      <c r="A897">
        <v>741.19384300000002</v>
      </c>
      <c r="B897" s="1">
        <f>DATE(2012,5,11) + TIME(4,39,8)</f>
        <v>41040.193842592591</v>
      </c>
      <c r="C897">
        <v>80</v>
      </c>
      <c r="D897">
        <v>79.880424500000004</v>
      </c>
      <c r="E897">
        <v>50</v>
      </c>
      <c r="F897">
        <v>48.944313049000002</v>
      </c>
      <c r="G897">
        <v>1357.9747314000001</v>
      </c>
      <c r="H897">
        <v>1350.2333983999999</v>
      </c>
      <c r="I897">
        <v>1312.7952881000001</v>
      </c>
      <c r="J897">
        <v>1304.1992187999999</v>
      </c>
      <c r="K897">
        <v>1100</v>
      </c>
      <c r="L897">
        <v>0</v>
      </c>
      <c r="M897">
        <v>0</v>
      </c>
      <c r="N897">
        <v>1100</v>
      </c>
    </row>
    <row r="898" spans="1:14" x14ac:dyDescent="0.25">
      <c r="A898">
        <v>741.58503099999996</v>
      </c>
      <c r="B898" s="1">
        <f>DATE(2012,5,11) + TIME(14,2,26)</f>
        <v>41040.585023148145</v>
      </c>
      <c r="C898">
        <v>80</v>
      </c>
      <c r="D898">
        <v>79.884834290000001</v>
      </c>
      <c r="E898">
        <v>50</v>
      </c>
      <c r="F898">
        <v>48.913158416999998</v>
      </c>
      <c r="G898">
        <v>1357.9412841999999</v>
      </c>
      <c r="H898">
        <v>1350.2075195</v>
      </c>
      <c r="I898">
        <v>1312.7919922000001</v>
      </c>
      <c r="J898">
        <v>1304.1942139</v>
      </c>
      <c r="K898">
        <v>1100</v>
      </c>
      <c r="L898">
        <v>0</v>
      </c>
      <c r="M898">
        <v>0</v>
      </c>
      <c r="N898">
        <v>1100</v>
      </c>
    </row>
    <row r="899" spans="1:14" x14ac:dyDescent="0.25">
      <c r="A899">
        <v>741.99064199999998</v>
      </c>
      <c r="B899" s="1">
        <f>DATE(2012,5,11) + TIME(23,46,31)</f>
        <v>41040.990636574075</v>
      </c>
      <c r="C899">
        <v>80</v>
      </c>
      <c r="D899">
        <v>79.888458252000007</v>
      </c>
      <c r="E899">
        <v>50</v>
      </c>
      <c r="F899">
        <v>48.881099700999997</v>
      </c>
      <c r="G899">
        <v>1357.9075928</v>
      </c>
      <c r="H899">
        <v>1350.1815185999999</v>
      </c>
      <c r="I899">
        <v>1312.7885742000001</v>
      </c>
      <c r="J899">
        <v>1304.1889647999999</v>
      </c>
      <c r="K899">
        <v>1100</v>
      </c>
      <c r="L899">
        <v>0</v>
      </c>
      <c r="M899">
        <v>0</v>
      </c>
      <c r="N899">
        <v>1100</v>
      </c>
    </row>
    <row r="900" spans="1:14" x14ac:dyDescent="0.25">
      <c r="A900">
        <v>742.412102</v>
      </c>
      <c r="B900" s="1">
        <f>DATE(2012,5,12) + TIME(9,53,25)</f>
        <v>41041.412094907406</v>
      </c>
      <c r="C900">
        <v>80</v>
      </c>
      <c r="D900">
        <v>79.891448975000003</v>
      </c>
      <c r="E900">
        <v>50</v>
      </c>
      <c r="F900">
        <v>48.848052979000002</v>
      </c>
      <c r="G900">
        <v>1357.8735352000001</v>
      </c>
      <c r="H900">
        <v>1350.1552733999999</v>
      </c>
      <c r="I900">
        <v>1312.7850341999999</v>
      </c>
      <c r="J900">
        <v>1304.1834716999999</v>
      </c>
      <c r="K900">
        <v>1100</v>
      </c>
      <c r="L900">
        <v>0</v>
      </c>
      <c r="M900">
        <v>0</v>
      </c>
      <c r="N900">
        <v>1100</v>
      </c>
    </row>
    <row r="901" spans="1:14" x14ac:dyDescent="0.25">
      <c r="A901">
        <v>742.85103400000003</v>
      </c>
      <c r="B901" s="1">
        <f>DATE(2012,5,12) + TIME(20,25,29)</f>
        <v>41041.851030092592</v>
      </c>
      <c r="C901">
        <v>80</v>
      </c>
      <c r="D901">
        <v>79.89390564</v>
      </c>
      <c r="E901">
        <v>50</v>
      </c>
      <c r="F901">
        <v>48.813915252999998</v>
      </c>
      <c r="G901">
        <v>1357.8391113</v>
      </c>
      <c r="H901">
        <v>1350.1287841999999</v>
      </c>
      <c r="I901">
        <v>1312.7813721</v>
      </c>
      <c r="J901">
        <v>1304.1778564000001</v>
      </c>
      <c r="K901">
        <v>1100</v>
      </c>
      <c r="L901">
        <v>0</v>
      </c>
      <c r="M901">
        <v>0</v>
      </c>
      <c r="N901">
        <v>1100</v>
      </c>
    </row>
    <row r="902" spans="1:14" x14ac:dyDescent="0.25">
      <c r="A902">
        <v>743.30951300000004</v>
      </c>
      <c r="B902" s="1">
        <f>DATE(2012,5,13) + TIME(7,25,41)</f>
        <v>41042.309502314813</v>
      </c>
      <c r="C902">
        <v>80</v>
      </c>
      <c r="D902">
        <v>79.895927428999997</v>
      </c>
      <c r="E902">
        <v>50</v>
      </c>
      <c r="F902">
        <v>48.778560638000002</v>
      </c>
      <c r="G902">
        <v>1357.8043213000001</v>
      </c>
      <c r="H902">
        <v>1350.1019286999999</v>
      </c>
      <c r="I902">
        <v>1312.7774658000001</v>
      </c>
      <c r="J902">
        <v>1304.171875</v>
      </c>
      <c r="K902">
        <v>1100</v>
      </c>
      <c r="L902">
        <v>0</v>
      </c>
      <c r="M902">
        <v>0</v>
      </c>
      <c r="N902">
        <v>1100</v>
      </c>
    </row>
    <row r="903" spans="1:14" x14ac:dyDescent="0.25">
      <c r="A903">
        <v>743.78956100000005</v>
      </c>
      <c r="B903" s="1">
        <f>DATE(2012,5,13) + TIME(18,56,58)</f>
        <v>41042.789560185185</v>
      </c>
      <c r="C903">
        <v>80</v>
      </c>
      <c r="D903">
        <v>79.897590636999993</v>
      </c>
      <c r="E903">
        <v>50</v>
      </c>
      <c r="F903">
        <v>48.74187088</v>
      </c>
      <c r="G903">
        <v>1357.7687988</v>
      </c>
      <c r="H903">
        <v>1350.074707</v>
      </c>
      <c r="I903">
        <v>1312.7734375</v>
      </c>
      <c r="J903">
        <v>1304.1655272999999</v>
      </c>
      <c r="K903">
        <v>1100</v>
      </c>
      <c r="L903">
        <v>0</v>
      </c>
      <c r="M903">
        <v>0</v>
      </c>
      <c r="N903">
        <v>1100</v>
      </c>
    </row>
    <row r="904" spans="1:14" x14ac:dyDescent="0.25">
      <c r="A904">
        <v>744.28361399999994</v>
      </c>
      <c r="B904" s="1">
        <f>DATE(2012,5,14) + TIME(6,48,24)</f>
        <v>41043.28361111111</v>
      </c>
      <c r="C904">
        <v>80</v>
      </c>
      <c r="D904">
        <v>79.898941039999997</v>
      </c>
      <c r="E904">
        <v>50</v>
      </c>
      <c r="F904">
        <v>48.704303740999997</v>
      </c>
      <c r="G904">
        <v>1357.7327881000001</v>
      </c>
      <c r="H904">
        <v>1350.0471190999999</v>
      </c>
      <c r="I904">
        <v>1312.769043</v>
      </c>
      <c r="J904">
        <v>1304.1589355000001</v>
      </c>
      <c r="K904">
        <v>1100</v>
      </c>
      <c r="L904">
        <v>0</v>
      </c>
      <c r="M904">
        <v>0</v>
      </c>
      <c r="N904">
        <v>1100</v>
      </c>
    </row>
    <row r="905" spans="1:14" x14ac:dyDescent="0.25">
      <c r="A905">
        <v>744.78048100000001</v>
      </c>
      <c r="B905" s="1">
        <f>DATE(2012,5,14) + TIME(18,43,53)</f>
        <v>41043.780474537038</v>
      </c>
      <c r="C905">
        <v>80</v>
      </c>
      <c r="D905">
        <v>79.900009155000006</v>
      </c>
      <c r="E905">
        <v>50</v>
      </c>
      <c r="F905">
        <v>48.666538238999998</v>
      </c>
      <c r="G905">
        <v>1357.6967772999999</v>
      </c>
      <c r="H905">
        <v>1350.0195312000001</v>
      </c>
      <c r="I905">
        <v>1312.7645264</v>
      </c>
      <c r="J905">
        <v>1304.1520995999999</v>
      </c>
      <c r="K905">
        <v>1100</v>
      </c>
      <c r="L905">
        <v>0</v>
      </c>
      <c r="M905">
        <v>0</v>
      </c>
      <c r="N905">
        <v>1100</v>
      </c>
    </row>
    <row r="906" spans="1:14" x14ac:dyDescent="0.25">
      <c r="A906">
        <v>745.28089</v>
      </c>
      <c r="B906" s="1">
        <f>DATE(2012,5,15) + TIME(6,44,28)</f>
        <v>41044.28087962963</v>
      </c>
      <c r="C906">
        <v>80</v>
      </c>
      <c r="D906">
        <v>79.900871276999993</v>
      </c>
      <c r="E906">
        <v>50</v>
      </c>
      <c r="F906">
        <v>48.628582000999998</v>
      </c>
      <c r="G906">
        <v>1357.661499</v>
      </c>
      <c r="H906">
        <v>1349.9926757999999</v>
      </c>
      <c r="I906">
        <v>1312.7598877</v>
      </c>
      <c r="J906">
        <v>1304.1451416</v>
      </c>
      <c r="K906">
        <v>1100</v>
      </c>
      <c r="L906">
        <v>0</v>
      </c>
      <c r="M906">
        <v>0</v>
      </c>
      <c r="N906">
        <v>1100</v>
      </c>
    </row>
    <row r="907" spans="1:14" x14ac:dyDescent="0.25">
      <c r="A907">
        <v>745.78628200000003</v>
      </c>
      <c r="B907" s="1">
        <f>DATE(2012,5,15) + TIME(18,52,14)</f>
        <v>41044.786273148151</v>
      </c>
      <c r="C907">
        <v>80</v>
      </c>
      <c r="D907">
        <v>79.901565551999994</v>
      </c>
      <c r="E907">
        <v>50</v>
      </c>
      <c r="F907">
        <v>48.590377808</v>
      </c>
      <c r="G907">
        <v>1357.6269531</v>
      </c>
      <c r="H907">
        <v>1349.9664307</v>
      </c>
      <c r="I907">
        <v>1312.7551269999999</v>
      </c>
      <c r="J907">
        <v>1304.1379394999999</v>
      </c>
      <c r="K907">
        <v>1100</v>
      </c>
      <c r="L907">
        <v>0</v>
      </c>
      <c r="M907">
        <v>0</v>
      </c>
      <c r="N907">
        <v>1100</v>
      </c>
    </row>
    <row r="908" spans="1:14" x14ac:dyDescent="0.25">
      <c r="A908">
        <v>746.29777000000001</v>
      </c>
      <c r="B908" s="1">
        <f>DATE(2012,5,16) + TIME(7,8,47)</f>
        <v>41045.297766203701</v>
      </c>
      <c r="C908">
        <v>80</v>
      </c>
      <c r="D908">
        <v>79.902130127000007</v>
      </c>
      <c r="E908">
        <v>50</v>
      </c>
      <c r="F908">
        <v>48.551887512</v>
      </c>
      <c r="G908">
        <v>1357.5928954999999</v>
      </c>
      <c r="H908">
        <v>1349.9406738</v>
      </c>
      <c r="I908">
        <v>1312.7503661999999</v>
      </c>
      <c r="J908">
        <v>1304.1307373</v>
      </c>
      <c r="K908">
        <v>1100</v>
      </c>
      <c r="L908">
        <v>0</v>
      </c>
      <c r="M908">
        <v>0</v>
      </c>
      <c r="N908">
        <v>1100</v>
      </c>
    </row>
    <row r="909" spans="1:14" x14ac:dyDescent="0.25">
      <c r="A909">
        <v>746.81656199999998</v>
      </c>
      <c r="B909" s="1">
        <f>DATE(2012,5,16) + TIME(19,35,50)</f>
        <v>41045.816550925927</v>
      </c>
      <c r="C909">
        <v>80</v>
      </c>
      <c r="D909">
        <v>79.902595520000006</v>
      </c>
      <c r="E909">
        <v>50</v>
      </c>
      <c r="F909">
        <v>48.513050079000003</v>
      </c>
      <c r="G909">
        <v>1357.5594481999999</v>
      </c>
      <c r="H909">
        <v>1349.9152832</v>
      </c>
      <c r="I909">
        <v>1312.7454834</v>
      </c>
      <c r="J909">
        <v>1304.1232910000001</v>
      </c>
      <c r="K909">
        <v>1100</v>
      </c>
      <c r="L909">
        <v>0</v>
      </c>
      <c r="M909">
        <v>0</v>
      </c>
      <c r="N909">
        <v>1100</v>
      </c>
    </row>
    <row r="910" spans="1:14" x14ac:dyDescent="0.25">
      <c r="A910">
        <v>747.343931</v>
      </c>
      <c r="B910" s="1">
        <f>DATE(2012,5,17) + TIME(8,15,15)</f>
        <v>41046.343923611108</v>
      </c>
      <c r="C910">
        <v>80</v>
      </c>
      <c r="D910">
        <v>79.902976989999999</v>
      </c>
      <c r="E910">
        <v>50</v>
      </c>
      <c r="F910">
        <v>48.473804473999998</v>
      </c>
      <c r="G910">
        <v>1357.5262451000001</v>
      </c>
      <c r="H910">
        <v>1349.8902588000001</v>
      </c>
      <c r="I910">
        <v>1312.7406006000001</v>
      </c>
      <c r="J910">
        <v>1304.1157227000001</v>
      </c>
      <c r="K910">
        <v>1100</v>
      </c>
      <c r="L910">
        <v>0</v>
      </c>
      <c r="M910">
        <v>0</v>
      </c>
      <c r="N910">
        <v>1100</v>
      </c>
    </row>
    <row r="911" spans="1:14" x14ac:dyDescent="0.25">
      <c r="A911">
        <v>747.88120800000002</v>
      </c>
      <c r="B911" s="1">
        <f>DATE(2012,5,17) + TIME(21,8,56)</f>
        <v>41046.881203703706</v>
      </c>
      <c r="C911">
        <v>80</v>
      </c>
      <c r="D911">
        <v>79.903297424000002</v>
      </c>
      <c r="E911">
        <v>50</v>
      </c>
      <c r="F911">
        <v>48.434078217</v>
      </c>
      <c r="G911">
        <v>1357.4934082</v>
      </c>
      <c r="H911">
        <v>1349.8654785000001</v>
      </c>
      <c r="I911">
        <v>1312.7354736</v>
      </c>
      <c r="J911">
        <v>1304.1077881000001</v>
      </c>
      <c r="K911">
        <v>1100</v>
      </c>
      <c r="L911">
        <v>0</v>
      </c>
      <c r="M911">
        <v>0</v>
      </c>
      <c r="N911">
        <v>1100</v>
      </c>
    </row>
    <row r="912" spans="1:14" x14ac:dyDescent="0.25">
      <c r="A912">
        <v>748.429802</v>
      </c>
      <c r="B912" s="1">
        <f>DATE(2012,5,18) + TIME(10,18,54)</f>
        <v>41047.429791666669</v>
      </c>
      <c r="C912">
        <v>80</v>
      </c>
      <c r="D912">
        <v>79.903556824000006</v>
      </c>
      <c r="E912">
        <v>50</v>
      </c>
      <c r="F912">
        <v>48.393795013000002</v>
      </c>
      <c r="G912">
        <v>1357.4608154</v>
      </c>
      <c r="H912">
        <v>1349.8408202999999</v>
      </c>
      <c r="I912">
        <v>1312.7302245999999</v>
      </c>
      <c r="J912">
        <v>1304.0997314000001</v>
      </c>
      <c r="K912">
        <v>1100</v>
      </c>
      <c r="L912">
        <v>0</v>
      </c>
      <c r="M912">
        <v>0</v>
      </c>
      <c r="N912">
        <v>1100</v>
      </c>
    </row>
    <row r="913" spans="1:14" x14ac:dyDescent="0.25">
      <c r="A913">
        <v>748.99120600000003</v>
      </c>
      <c r="B913" s="1">
        <f>DATE(2012,5,18) + TIME(23,47,20)</f>
        <v>41047.991203703707</v>
      </c>
      <c r="C913">
        <v>80</v>
      </c>
      <c r="D913">
        <v>79.903770446999999</v>
      </c>
      <c r="E913">
        <v>50</v>
      </c>
      <c r="F913">
        <v>48.352867126</v>
      </c>
      <c r="G913">
        <v>1357.4282227000001</v>
      </c>
      <c r="H913">
        <v>1349.8164062000001</v>
      </c>
      <c r="I913">
        <v>1312.7247314000001</v>
      </c>
      <c r="J913">
        <v>1304.0914307</v>
      </c>
      <c r="K913">
        <v>1100</v>
      </c>
      <c r="L913">
        <v>0</v>
      </c>
      <c r="M913">
        <v>0</v>
      </c>
      <c r="N913">
        <v>1100</v>
      </c>
    </row>
    <row r="914" spans="1:14" x14ac:dyDescent="0.25">
      <c r="A914">
        <v>749.56704500000001</v>
      </c>
      <c r="B914" s="1">
        <f>DATE(2012,5,19) + TIME(13,36,32)</f>
        <v>41048.567037037035</v>
      </c>
      <c r="C914">
        <v>80</v>
      </c>
      <c r="D914">
        <v>79.903945922999995</v>
      </c>
      <c r="E914">
        <v>50</v>
      </c>
      <c r="F914">
        <v>48.311203003000003</v>
      </c>
      <c r="G914">
        <v>1357.3957519999999</v>
      </c>
      <c r="H914">
        <v>1349.7921143000001</v>
      </c>
      <c r="I914">
        <v>1312.7191161999999</v>
      </c>
      <c r="J914">
        <v>1304.0827637</v>
      </c>
      <c r="K914">
        <v>1100</v>
      </c>
      <c r="L914">
        <v>0</v>
      </c>
      <c r="M914">
        <v>0</v>
      </c>
      <c r="N914">
        <v>1100</v>
      </c>
    </row>
    <row r="915" spans="1:14" x14ac:dyDescent="0.25">
      <c r="A915">
        <v>750.15909599999998</v>
      </c>
      <c r="B915" s="1">
        <f>DATE(2012,5,20) + TIME(3,49,5)</f>
        <v>41049.159085648149</v>
      </c>
      <c r="C915">
        <v>80</v>
      </c>
      <c r="D915">
        <v>79.904098511000001</v>
      </c>
      <c r="E915">
        <v>50</v>
      </c>
      <c r="F915">
        <v>48.268703461000001</v>
      </c>
      <c r="G915">
        <v>1357.3632812000001</v>
      </c>
      <c r="H915">
        <v>1349.7678223</v>
      </c>
      <c r="I915">
        <v>1312.7132568</v>
      </c>
      <c r="J915">
        <v>1304.0738524999999</v>
      </c>
      <c r="K915">
        <v>1100</v>
      </c>
      <c r="L915">
        <v>0</v>
      </c>
      <c r="M915">
        <v>0</v>
      </c>
      <c r="N915">
        <v>1100</v>
      </c>
    </row>
    <row r="916" spans="1:14" x14ac:dyDescent="0.25">
      <c r="A916">
        <v>750.76382999999998</v>
      </c>
      <c r="B916" s="1">
        <f>DATE(2012,5,20) + TIME(18,19,54)</f>
        <v>41049.763819444444</v>
      </c>
      <c r="C916">
        <v>80</v>
      </c>
      <c r="D916">
        <v>79.904220581000004</v>
      </c>
      <c r="E916">
        <v>50</v>
      </c>
      <c r="F916">
        <v>48.225547790999997</v>
      </c>
      <c r="G916">
        <v>1357.3306885</v>
      </c>
      <c r="H916">
        <v>1349.7434082</v>
      </c>
      <c r="I916">
        <v>1312.7072754000001</v>
      </c>
      <c r="J916">
        <v>1304.0645752</v>
      </c>
      <c r="K916">
        <v>1100</v>
      </c>
      <c r="L916">
        <v>0</v>
      </c>
      <c r="M916">
        <v>0</v>
      </c>
      <c r="N916">
        <v>1100</v>
      </c>
    </row>
    <row r="917" spans="1:14" x14ac:dyDescent="0.25">
      <c r="A917">
        <v>751.38127899999995</v>
      </c>
      <c r="B917" s="1">
        <f>DATE(2012,5,21) + TIME(9,9,2)</f>
        <v>41050.381273148145</v>
      </c>
      <c r="C917">
        <v>80</v>
      </c>
      <c r="D917">
        <v>79.904312133999994</v>
      </c>
      <c r="E917">
        <v>50</v>
      </c>
      <c r="F917">
        <v>48.181739807</v>
      </c>
      <c r="G917">
        <v>1357.2980957</v>
      </c>
      <c r="H917">
        <v>1349.7191161999999</v>
      </c>
      <c r="I917">
        <v>1312.7009277</v>
      </c>
      <c r="J917">
        <v>1304.0549315999999</v>
      </c>
      <c r="K917">
        <v>1100</v>
      </c>
      <c r="L917">
        <v>0</v>
      </c>
      <c r="M917">
        <v>0</v>
      </c>
      <c r="N917">
        <v>1100</v>
      </c>
    </row>
    <row r="918" spans="1:14" x14ac:dyDescent="0.25">
      <c r="A918">
        <v>752.01302599999997</v>
      </c>
      <c r="B918" s="1">
        <f>DATE(2012,5,22) + TIME(0,18,45)</f>
        <v>41051.013020833336</v>
      </c>
      <c r="C918">
        <v>80</v>
      </c>
      <c r="D918">
        <v>79.904388428000004</v>
      </c>
      <c r="E918">
        <v>50</v>
      </c>
      <c r="F918">
        <v>48.137207031000003</v>
      </c>
      <c r="G918">
        <v>1357.265625</v>
      </c>
      <c r="H918">
        <v>1349.6949463000001</v>
      </c>
      <c r="I918">
        <v>1312.6944579999999</v>
      </c>
      <c r="J918">
        <v>1304.0449219</v>
      </c>
      <c r="K918">
        <v>1100</v>
      </c>
      <c r="L918">
        <v>0</v>
      </c>
      <c r="M918">
        <v>0</v>
      </c>
      <c r="N918">
        <v>1100</v>
      </c>
    </row>
    <row r="919" spans="1:14" x14ac:dyDescent="0.25">
      <c r="A919">
        <v>752.66076899999996</v>
      </c>
      <c r="B919" s="1">
        <f>DATE(2012,5,22) + TIME(15,51,30)</f>
        <v>41051.660763888889</v>
      </c>
      <c r="C919">
        <v>80</v>
      </c>
      <c r="D919">
        <v>79.904449463000006</v>
      </c>
      <c r="E919">
        <v>50</v>
      </c>
      <c r="F919">
        <v>48.091861725000001</v>
      </c>
      <c r="G919">
        <v>1357.2332764</v>
      </c>
      <c r="H919">
        <v>1349.6708983999999</v>
      </c>
      <c r="I919">
        <v>1312.6877440999999</v>
      </c>
      <c r="J919">
        <v>1304.034668</v>
      </c>
      <c r="K919">
        <v>1100</v>
      </c>
      <c r="L919">
        <v>0</v>
      </c>
      <c r="M919">
        <v>0</v>
      </c>
      <c r="N919">
        <v>1100</v>
      </c>
    </row>
    <row r="920" spans="1:14" x14ac:dyDescent="0.25">
      <c r="A920">
        <v>753.32638399999996</v>
      </c>
      <c r="B920" s="1">
        <f>DATE(2012,5,23) + TIME(7,49,59)</f>
        <v>41052.326377314814</v>
      </c>
      <c r="C920">
        <v>80</v>
      </c>
      <c r="D920">
        <v>79.904495238999999</v>
      </c>
      <c r="E920">
        <v>50</v>
      </c>
      <c r="F920">
        <v>48.045604705999999</v>
      </c>
      <c r="G920">
        <v>1357.2008057</v>
      </c>
      <c r="H920">
        <v>1349.6467285000001</v>
      </c>
      <c r="I920">
        <v>1312.6807861</v>
      </c>
      <c r="J920">
        <v>1304.0239257999999</v>
      </c>
      <c r="K920">
        <v>1100</v>
      </c>
      <c r="L920">
        <v>0</v>
      </c>
      <c r="M920">
        <v>0</v>
      </c>
      <c r="N920">
        <v>1100</v>
      </c>
    </row>
    <row r="921" spans="1:14" x14ac:dyDescent="0.25">
      <c r="A921">
        <v>754.01194799999996</v>
      </c>
      <c r="B921" s="1">
        <f>DATE(2012,5,24) + TIME(0,17,12)</f>
        <v>41053.011944444443</v>
      </c>
      <c r="C921">
        <v>80</v>
      </c>
      <c r="D921">
        <v>79.904525757000002</v>
      </c>
      <c r="E921">
        <v>50</v>
      </c>
      <c r="F921">
        <v>47.998321533000002</v>
      </c>
      <c r="G921">
        <v>1357.1680908000001</v>
      </c>
      <c r="H921">
        <v>1349.6225586</v>
      </c>
      <c r="I921">
        <v>1312.6735839999999</v>
      </c>
      <c r="J921">
        <v>1304.0126952999999</v>
      </c>
      <c r="K921">
        <v>1100</v>
      </c>
      <c r="L921">
        <v>0</v>
      </c>
      <c r="M921">
        <v>0</v>
      </c>
      <c r="N921">
        <v>1100</v>
      </c>
    </row>
    <row r="922" spans="1:14" x14ac:dyDescent="0.25">
      <c r="A922">
        <v>754.71978100000001</v>
      </c>
      <c r="B922" s="1">
        <f>DATE(2012,5,24) + TIME(17,16,29)</f>
        <v>41053.719780092593</v>
      </c>
      <c r="C922">
        <v>80</v>
      </c>
      <c r="D922">
        <v>79.904548645000006</v>
      </c>
      <c r="E922">
        <v>50</v>
      </c>
      <c r="F922">
        <v>47.949893951</v>
      </c>
      <c r="G922">
        <v>1357.135376</v>
      </c>
      <c r="H922">
        <v>1349.5982666</v>
      </c>
      <c r="I922">
        <v>1312.6660156</v>
      </c>
      <c r="J922">
        <v>1304.0010986</v>
      </c>
      <c r="K922">
        <v>1100</v>
      </c>
      <c r="L922">
        <v>0</v>
      </c>
      <c r="M922">
        <v>0</v>
      </c>
      <c r="N922">
        <v>1100</v>
      </c>
    </row>
    <row r="923" spans="1:14" x14ac:dyDescent="0.25">
      <c r="A923">
        <v>755.45258699999999</v>
      </c>
      <c r="B923" s="1">
        <f>DATE(2012,5,25) + TIME(10,51,43)</f>
        <v>41054.452581018515</v>
      </c>
      <c r="C923">
        <v>80</v>
      </c>
      <c r="D923">
        <v>79.904556274000001</v>
      </c>
      <c r="E923">
        <v>50</v>
      </c>
      <c r="F923">
        <v>47.900165557999998</v>
      </c>
      <c r="G923">
        <v>1357.1022949000001</v>
      </c>
      <c r="H923">
        <v>1349.5738524999999</v>
      </c>
      <c r="I923">
        <v>1312.6580810999999</v>
      </c>
      <c r="J923">
        <v>1303.9887695</v>
      </c>
      <c r="K923">
        <v>1100</v>
      </c>
      <c r="L923">
        <v>0</v>
      </c>
      <c r="M923">
        <v>0</v>
      </c>
      <c r="N923">
        <v>1100</v>
      </c>
    </row>
    <row r="924" spans="1:14" x14ac:dyDescent="0.25">
      <c r="A924">
        <v>756.20925699999998</v>
      </c>
      <c r="B924" s="1">
        <f>DATE(2012,5,26) + TIME(5,1,19)</f>
        <v>41055.209247685183</v>
      </c>
      <c r="C924">
        <v>80</v>
      </c>
      <c r="D924">
        <v>79.904556274000001</v>
      </c>
      <c r="E924">
        <v>50</v>
      </c>
      <c r="F924">
        <v>47.849182128999999</v>
      </c>
      <c r="G924">
        <v>1357.0687256000001</v>
      </c>
      <c r="H924">
        <v>1349.5491943</v>
      </c>
      <c r="I924">
        <v>1312.6497803</v>
      </c>
      <c r="J924">
        <v>1303.9759521000001</v>
      </c>
      <c r="K924">
        <v>1100</v>
      </c>
      <c r="L924">
        <v>0</v>
      </c>
      <c r="M924">
        <v>0</v>
      </c>
      <c r="N924">
        <v>1100</v>
      </c>
    </row>
    <row r="925" spans="1:14" x14ac:dyDescent="0.25">
      <c r="A925">
        <v>756.97092899999996</v>
      </c>
      <c r="B925" s="1">
        <f>DATE(2012,5,26) + TIME(23,18,8)</f>
        <v>41055.970925925925</v>
      </c>
      <c r="C925">
        <v>80</v>
      </c>
      <c r="D925">
        <v>79.904556274000001</v>
      </c>
      <c r="E925">
        <v>50</v>
      </c>
      <c r="F925">
        <v>47.797840118000003</v>
      </c>
      <c r="G925">
        <v>1357.0350341999999</v>
      </c>
      <c r="H925">
        <v>1349.5242920000001</v>
      </c>
      <c r="I925">
        <v>1312.6411132999999</v>
      </c>
      <c r="J925">
        <v>1303.9625243999999</v>
      </c>
      <c r="K925">
        <v>1100</v>
      </c>
      <c r="L925">
        <v>0</v>
      </c>
      <c r="M925">
        <v>0</v>
      </c>
      <c r="N925">
        <v>1100</v>
      </c>
    </row>
    <row r="926" spans="1:14" x14ac:dyDescent="0.25">
      <c r="A926">
        <v>757.73972700000002</v>
      </c>
      <c r="B926" s="1">
        <f>DATE(2012,5,27) + TIME(17,45,12)</f>
        <v>41056.739722222221</v>
      </c>
      <c r="C926">
        <v>80</v>
      </c>
      <c r="D926">
        <v>79.904541015999996</v>
      </c>
      <c r="E926">
        <v>50</v>
      </c>
      <c r="F926">
        <v>47.746124268000003</v>
      </c>
      <c r="G926">
        <v>1357.0018310999999</v>
      </c>
      <c r="H926">
        <v>1349.4997559000001</v>
      </c>
      <c r="I926">
        <v>1312.6322021000001</v>
      </c>
      <c r="J926">
        <v>1303.9488524999999</v>
      </c>
      <c r="K926">
        <v>1100</v>
      </c>
      <c r="L926">
        <v>0</v>
      </c>
      <c r="M926">
        <v>0</v>
      </c>
      <c r="N926">
        <v>1100</v>
      </c>
    </row>
    <row r="927" spans="1:14" x14ac:dyDescent="0.25">
      <c r="A927">
        <v>758.51773600000001</v>
      </c>
      <c r="B927" s="1">
        <f>DATE(2012,5,28) + TIME(12,25,32)</f>
        <v>41057.517731481479</v>
      </c>
      <c r="C927">
        <v>80</v>
      </c>
      <c r="D927">
        <v>79.904525757000002</v>
      </c>
      <c r="E927">
        <v>50</v>
      </c>
      <c r="F927">
        <v>47.693996429000002</v>
      </c>
      <c r="G927">
        <v>1356.9689940999999</v>
      </c>
      <c r="H927">
        <v>1349.4757079999999</v>
      </c>
      <c r="I927">
        <v>1312.6230469</v>
      </c>
      <c r="J927">
        <v>1303.9346923999999</v>
      </c>
      <c r="K927">
        <v>1100</v>
      </c>
      <c r="L927">
        <v>0</v>
      </c>
      <c r="M927">
        <v>0</v>
      </c>
      <c r="N927">
        <v>1100</v>
      </c>
    </row>
    <row r="928" spans="1:14" x14ac:dyDescent="0.25">
      <c r="A928">
        <v>759.30707399999994</v>
      </c>
      <c r="B928" s="1">
        <f>DATE(2012,5,29) + TIME(7,22,11)</f>
        <v>41058.307071759256</v>
      </c>
      <c r="C928">
        <v>80</v>
      </c>
      <c r="D928">
        <v>79.904502868999998</v>
      </c>
      <c r="E928">
        <v>50</v>
      </c>
      <c r="F928">
        <v>47.641376495000003</v>
      </c>
      <c r="G928">
        <v>1356.9365233999999</v>
      </c>
      <c r="H928">
        <v>1349.4519043</v>
      </c>
      <c r="I928">
        <v>1312.6137695</v>
      </c>
      <c r="J928">
        <v>1303.9201660000001</v>
      </c>
      <c r="K928">
        <v>1100</v>
      </c>
      <c r="L928">
        <v>0</v>
      </c>
      <c r="M928">
        <v>0</v>
      </c>
      <c r="N928">
        <v>1100</v>
      </c>
    </row>
    <row r="929" spans="1:14" x14ac:dyDescent="0.25">
      <c r="A929">
        <v>760.10993199999996</v>
      </c>
      <c r="B929" s="1">
        <f>DATE(2012,5,30) + TIME(2,38,18)</f>
        <v>41059.109930555554</v>
      </c>
      <c r="C929">
        <v>80</v>
      </c>
      <c r="D929">
        <v>79.904479980000005</v>
      </c>
      <c r="E929">
        <v>50</v>
      </c>
      <c r="F929">
        <v>47.588184357000003</v>
      </c>
      <c r="G929">
        <v>1356.9044189000001</v>
      </c>
      <c r="H929">
        <v>1349.4282227000001</v>
      </c>
      <c r="I929">
        <v>1312.6042480000001</v>
      </c>
      <c r="J929">
        <v>1303.9052733999999</v>
      </c>
      <c r="K929">
        <v>1100</v>
      </c>
      <c r="L929">
        <v>0</v>
      </c>
      <c r="M929">
        <v>0</v>
      </c>
      <c r="N929">
        <v>1100</v>
      </c>
    </row>
    <row r="930" spans="1:14" x14ac:dyDescent="0.25">
      <c r="A930">
        <v>760.92858899999999</v>
      </c>
      <c r="B930" s="1">
        <f>DATE(2012,5,30) + TIME(22,17,10)</f>
        <v>41059.928587962961</v>
      </c>
      <c r="C930">
        <v>80</v>
      </c>
      <c r="D930">
        <v>79.904457092000001</v>
      </c>
      <c r="E930">
        <v>50</v>
      </c>
      <c r="F930">
        <v>47.534301757999998</v>
      </c>
      <c r="G930">
        <v>1356.8723144999999</v>
      </c>
      <c r="H930">
        <v>1349.4047852000001</v>
      </c>
      <c r="I930">
        <v>1312.5943603999999</v>
      </c>
      <c r="J930">
        <v>1303.8897704999999</v>
      </c>
      <c r="K930">
        <v>1100</v>
      </c>
      <c r="L930">
        <v>0</v>
      </c>
      <c r="M930">
        <v>0</v>
      </c>
      <c r="N930">
        <v>1100</v>
      </c>
    </row>
    <row r="931" spans="1:14" x14ac:dyDescent="0.25">
      <c r="A931">
        <v>761.76352499999996</v>
      </c>
      <c r="B931" s="1">
        <f>DATE(2012,5,31) + TIME(18,19,28)</f>
        <v>41060.763518518521</v>
      </c>
      <c r="C931">
        <v>80</v>
      </c>
      <c r="D931">
        <v>79.904426575000002</v>
      </c>
      <c r="E931">
        <v>50</v>
      </c>
      <c r="F931">
        <v>47.479701996000003</v>
      </c>
      <c r="G931">
        <v>1356.840332</v>
      </c>
      <c r="H931">
        <v>1349.3813477000001</v>
      </c>
      <c r="I931">
        <v>1312.5841064000001</v>
      </c>
      <c r="J931">
        <v>1303.8737793</v>
      </c>
      <c r="K931">
        <v>1100</v>
      </c>
      <c r="L931">
        <v>0</v>
      </c>
      <c r="M931">
        <v>0</v>
      </c>
      <c r="N931">
        <v>1100</v>
      </c>
    </row>
    <row r="932" spans="1:14" x14ac:dyDescent="0.25">
      <c r="A932">
        <v>762</v>
      </c>
      <c r="B932" s="1">
        <f>DATE(2012,6,1) + TIME(0,0,0)</f>
        <v>41061</v>
      </c>
      <c r="C932">
        <v>80</v>
      </c>
      <c r="D932">
        <v>79.904411315999994</v>
      </c>
      <c r="E932">
        <v>50</v>
      </c>
      <c r="F932">
        <v>47.459938049000002</v>
      </c>
      <c r="G932">
        <v>1356.8083495999999</v>
      </c>
      <c r="H932">
        <v>1349.3579102000001</v>
      </c>
      <c r="I932">
        <v>1312.5725098</v>
      </c>
      <c r="J932">
        <v>1303.8599853999999</v>
      </c>
      <c r="K932">
        <v>1100</v>
      </c>
      <c r="L932">
        <v>0</v>
      </c>
      <c r="M932">
        <v>0</v>
      </c>
      <c r="N932">
        <v>1100</v>
      </c>
    </row>
    <row r="933" spans="1:14" x14ac:dyDescent="0.25">
      <c r="A933">
        <v>762.84993099999997</v>
      </c>
      <c r="B933" s="1">
        <f>DATE(2012,6,1) + TIME(20,23,54)</f>
        <v>41061.849930555552</v>
      </c>
      <c r="C933">
        <v>80</v>
      </c>
      <c r="D933">
        <v>79.904388428000004</v>
      </c>
      <c r="E933">
        <v>50</v>
      </c>
      <c r="F933">
        <v>47.406013489000003</v>
      </c>
      <c r="G933">
        <v>1356.7994385</v>
      </c>
      <c r="H933">
        <v>1349.3514404</v>
      </c>
      <c r="I933">
        <v>1312.5704346</v>
      </c>
      <c r="J933">
        <v>1303.8519286999999</v>
      </c>
      <c r="K933">
        <v>1100</v>
      </c>
      <c r="L933">
        <v>0</v>
      </c>
      <c r="M933">
        <v>0</v>
      </c>
      <c r="N933">
        <v>1100</v>
      </c>
    </row>
    <row r="934" spans="1:14" x14ac:dyDescent="0.25">
      <c r="A934">
        <v>763.72255299999995</v>
      </c>
      <c r="B934" s="1">
        <f>DATE(2012,6,2) + TIME(17,20,28)</f>
        <v>41062.722546296296</v>
      </c>
      <c r="C934">
        <v>80</v>
      </c>
      <c r="D934">
        <v>79.904357910000002</v>
      </c>
      <c r="E934">
        <v>50</v>
      </c>
      <c r="F934">
        <v>47.350704192999999</v>
      </c>
      <c r="G934">
        <v>1356.7679443</v>
      </c>
      <c r="H934">
        <v>1349.3283690999999</v>
      </c>
      <c r="I934">
        <v>1312.5594481999999</v>
      </c>
      <c r="J934">
        <v>1303.8348389</v>
      </c>
      <c r="K934">
        <v>1100</v>
      </c>
      <c r="L934">
        <v>0</v>
      </c>
      <c r="M934">
        <v>0</v>
      </c>
      <c r="N934">
        <v>1100</v>
      </c>
    </row>
    <row r="935" spans="1:14" x14ac:dyDescent="0.25">
      <c r="A935">
        <v>764.61549600000001</v>
      </c>
      <c r="B935" s="1">
        <f>DATE(2012,6,3) + TIME(14,46,18)</f>
        <v>41063.615486111114</v>
      </c>
      <c r="C935">
        <v>80</v>
      </c>
      <c r="D935">
        <v>79.904327393000003</v>
      </c>
      <c r="E935">
        <v>50</v>
      </c>
      <c r="F935">
        <v>47.294181823999999</v>
      </c>
      <c r="G935">
        <v>1356.7360839999999</v>
      </c>
      <c r="H935">
        <v>1349.3050536999999</v>
      </c>
      <c r="I935">
        <v>1312.5480957</v>
      </c>
      <c r="J935">
        <v>1303.8168945</v>
      </c>
      <c r="K935">
        <v>1100</v>
      </c>
      <c r="L935">
        <v>0</v>
      </c>
      <c r="M935">
        <v>0</v>
      </c>
      <c r="N935">
        <v>1100</v>
      </c>
    </row>
    <row r="936" spans="1:14" x14ac:dyDescent="0.25">
      <c r="A936">
        <v>765.53154900000004</v>
      </c>
      <c r="B936" s="1">
        <f>DATE(2012,6,4) + TIME(12,45,25)</f>
        <v>41064.531539351854</v>
      </c>
      <c r="C936">
        <v>80</v>
      </c>
      <c r="D936">
        <v>79.904296875</v>
      </c>
      <c r="E936">
        <v>50</v>
      </c>
      <c r="F936">
        <v>47.236392975000001</v>
      </c>
      <c r="G936">
        <v>1356.7042236</v>
      </c>
      <c r="H936">
        <v>1349.2817382999999</v>
      </c>
      <c r="I936">
        <v>1312.5362548999999</v>
      </c>
      <c r="J936">
        <v>1303.7982178</v>
      </c>
      <c r="K936">
        <v>1100</v>
      </c>
      <c r="L936">
        <v>0</v>
      </c>
      <c r="M936">
        <v>0</v>
      </c>
      <c r="N936">
        <v>1100</v>
      </c>
    </row>
    <row r="937" spans="1:14" x14ac:dyDescent="0.25">
      <c r="A937">
        <v>766.47049000000004</v>
      </c>
      <c r="B937" s="1">
        <f>DATE(2012,6,5) + TIME(11,17,30)</f>
        <v>41065.470486111109</v>
      </c>
      <c r="C937">
        <v>80</v>
      </c>
      <c r="D937">
        <v>79.904266356999997</v>
      </c>
      <c r="E937">
        <v>50</v>
      </c>
      <c r="F937">
        <v>47.177387238000001</v>
      </c>
      <c r="G937">
        <v>1356.6721190999999</v>
      </c>
      <c r="H937">
        <v>1349.2583007999999</v>
      </c>
      <c r="I937">
        <v>1312.5239257999999</v>
      </c>
      <c r="J937">
        <v>1303.7786865</v>
      </c>
      <c r="K937">
        <v>1100</v>
      </c>
      <c r="L937">
        <v>0</v>
      </c>
      <c r="M937">
        <v>0</v>
      </c>
      <c r="N937">
        <v>1100</v>
      </c>
    </row>
    <row r="938" spans="1:14" x14ac:dyDescent="0.25">
      <c r="A938">
        <v>767.43112900000006</v>
      </c>
      <c r="B938" s="1">
        <f>DATE(2012,6,6) + TIME(10,20,49)</f>
        <v>41066.431122685186</v>
      </c>
      <c r="C938">
        <v>80</v>
      </c>
      <c r="D938">
        <v>79.904243468999994</v>
      </c>
      <c r="E938">
        <v>50</v>
      </c>
      <c r="F938">
        <v>47.117237091</v>
      </c>
      <c r="G938">
        <v>1356.6400146000001</v>
      </c>
      <c r="H938">
        <v>1349.2348632999999</v>
      </c>
      <c r="I938">
        <v>1312.5111084</v>
      </c>
      <c r="J938">
        <v>1303.7584228999999</v>
      </c>
      <c r="K938">
        <v>1100</v>
      </c>
      <c r="L938">
        <v>0</v>
      </c>
      <c r="M938">
        <v>0</v>
      </c>
      <c r="N938">
        <v>1100</v>
      </c>
    </row>
    <row r="939" spans="1:14" x14ac:dyDescent="0.25">
      <c r="A939">
        <v>768.41650700000002</v>
      </c>
      <c r="B939" s="1">
        <f>DATE(2012,6,7) + TIME(9,59,46)</f>
        <v>41067.416504629633</v>
      </c>
      <c r="C939">
        <v>80</v>
      </c>
      <c r="D939">
        <v>79.904212951999995</v>
      </c>
      <c r="E939">
        <v>50</v>
      </c>
      <c r="F939">
        <v>47.055858612000002</v>
      </c>
      <c r="G939">
        <v>1356.6076660000001</v>
      </c>
      <c r="H939">
        <v>1349.2113036999999</v>
      </c>
      <c r="I939">
        <v>1312.4978027</v>
      </c>
      <c r="J939">
        <v>1303.7371826000001</v>
      </c>
      <c r="K939">
        <v>1100</v>
      </c>
      <c r="L939">
        <v>0</v>
      </c>
      <c r="M939">
        <v>0</v>
      </c>
      <c r="N939">
        <v>1100</v>
      </c>
    </row>
    <row r="940" spans="1:14" x14ac:dyDescent="0.25">
      <c r="A940">
        <v>769.42990999999995</v>
      </c>
      <c r="B940" s="1">
        <f>DATE(2012,6,8) + TIME(10,19,4)</f>
        <v>41068.429907407408</v>
      </c>
      <c r="C940">
        <v>80</v>
      </c>
      <c r="D940">
        <v>79.904182434000006</v>
      </c>
      <c r="E940">
        <v>50</v>
      </c>
      <c r="F940">
        <v>46.993114470999998</v>
      </c>
      <c r="G940">
        <v>1356.5753173999999</v>
      </c>
      <c r="H940">
        <v>1349.1876221</v>
      </c>
      <c r="I940">
        <v>1312.4840088000001</v>
      </c>
      <c r="J940">
        <v>1303.7150879000001</v>
      </c>
      <c r="K940">
        <v>1100</v>
      </c>
      <c r="L940">
        <v>0</v>
      </c>
      <c r="M940">
        <v>0</v>
      </c>
      <c r="N940">
        <v>1100</v>
      </c>
    </row>
    <row r="941" spans="1:14" x14ac:dyDescent="0.25">
      <c r="A941">
        <v>770.46020499999997</v>
      </c>
      <c r="B941" s="1">
        <f>DATE(2012,6,9) + TIME(11,2,41)</f>
        <v>41069.460196759261</v>
      </c>
      <c r="C941">
        <v>80</v>
      </c>
      <c r="D941">
        <v>79.904151916999993</v>
      </c>
      <c r="E941">
        <v>50</v>
      </c>
      <c r="F941">
        <v>46.929447174000003</v>
      </c>
      <c r="G941">
        <v>1356.5426024999999</v>
      </c>
      <c r="H941">
        <v>1349.1638184000001</v>
      </c>
      <c r="I941">
        <v>1312.4694824000001</v>
      </c>
      <c r="J941">
        <v>1303.6920166</v>
      </c>
      <c r="K941">
        <v>1100</v>
      </c>
      <c r="L941">
        <v>0</v>
      </c>
      <c r="M941">
        <v>0</v>
      </c>
      <c r="N941">
        <v>1100</v>
      </c>
    </row>
    <row r="942" spans="1:14" x14ac:dyDescent="0.25">
      <c r="A942">
        <v>771.49490700000001</v>
      </c>
      <c r="B942" s="1">
        <f>DATE(2012,6,10) + TIME(11,52,39)</f>
        <v>41070.494895833333</v>
      </c>
      <c r="C942">
        <v>80</v>
      </c>
      <c r="D942">
        <v>79.904121399000005</v>
      </c>
      <c r="E942">
        <v>50</v>
      </c>
      <c r="F942">
        <v>46.865425109999997</v>
      </c>
      <c r="G942">
        <v>1356.5100098</v>
      </c>
      <c r="H942">
        <v>1349.1400146000001</v>
      </c>
      <c r="I942">
        <v>1312.4545897999999</v>
      </c>
      <c r="J942">
        <v>1303.6680908000001</v>
      </c>
      <c r="K942">
        <v>1100</v>
      </c>
      <c r="L942">
        <v>0</v>
      </c>
      <c r="M942">
        <v>0</v>
      </c>
      <c r="N942">
        <v>1100</v>
      </c>
    </row>
    <row r="943" spans="1:14" x14ac:dyDescent="0.25">
      <c r="A943">
        <v>772.53516500000001</v>
      </c>
      <c r="B943" s="1">
        <f>DATE(2012,6,11) + TIME(12,50,38)</f>
        <v>41071.535162037035</v>
      </c>
      <c r="C943">
        <v>80</v>
      </c>
      <c r="D943">
        <v>79.904090881000002</v>
      </c>
      <c r="E943">
        <v>50</v>
      </c>
      <c r="F943">
        <v>46.801143646</v>
      </c>
      <c r="G943">
        <v>1356.4779053</v>
      </c>
      <c r="H943">
        <v>1349.1165771000001</v>
      </c>
      <c r="I943">
        <v>1312.4393310999999</v>
      </c>
      <c r="J943">
        <v>1303.6436768000001</v>
      </c>
      <c r="K943">
        <v>1100</v>
      </c>
      <c r="L943">
        <v>0</v>
      </c>
      <c r="M943">
        <v>0</v>
      </c>
      <c r="N943">
        <v>1100</v>
      </c>
    </row>
    <row r="944" spans="1:14" x14ac:dyDescent="0.25">
      <c r="A944">
        <v>773.58398</v>
      </c>
      <c r="B944" s="1">
        <f>DATE(2012,6,12) + TIME(14,0,55)</f>
        <v>41072.583969907406</v>
      </c>
      <c r="C944">
        <v>80</v>
      </c>
      <c r="D944">
        <v>79.904067992999998</v>
      </c>
      <c r="E944">
        <v>50</v>
      </c>
      <c r="F944">
        <v>46.736568450999997</v>
      </c>
      <c r="G944">
        <v>1356.4462891000001</v>
      </c>
      <c r="H944">
        <v>1349.0936279</v>
      </c>
      <c r="I944">
        <v>1312.4238281</v>
      </c>
      <c r="J944">
        <v>1303.6186522999999</v>
      </c>
      <c r="K944">
        <v>1100</v>
      </c>
      <c r="L944">
        <v>0</v>
      </c>
      <c r="M944">
        <v>0</v>
      </c>
      <c r="N944">
        <v>1100</v>
      </c>
    </row>
    <row r="945" spans="1:14" x14ac:dyDescent="0.25">
      <c r="A945">
        <v>774.64376700000003</v>
      </c>
      <c r="B945" s="1">
        <f>DATE(2012,6,13) + TIME(15,27,1)</f>
        <v>41073.643761574072</v>
      </c>
      <c r="C945">
        <v>80</v>
      </c>
      <c r="D945">
        <v>79.904037475999999</v>
      </c>
      <c r="E945">
        <v>50</v>
      </c>
      <c r="F945">
        <v>46.671630858999997</v>
      </c>
      <c r="G945">
        <v>1356.4149170000001</v>
      </c>
      <c r="H945">
        <v>1349.0708007999999</v>
      </c>
      <c r="I945">
        <v>1312.4079589999999</v>
      </c>
      <c r="J945">
        <v>1303.5930175999999</v>
      </c>
      <c r="K945">
        <v>1100</v>
      </c>
      <c r="L945">
        <v>0</v>
      </c>
      <c r="M945">
        <v>0</v>
      </c>
      <c r="N945">
        <v>1100</v>
      </c>
    </row>
    <row r="946" spans="1:14" x14ac:dyDescent="0.25">
      <c r="A946">
        <v>775.71711100000005</v>
      </c>
      <c r="B946" s="1">
        <f>DATE(2012,6,14) + TIME(17,12,38)</f>
        <v>41074.717106481483</v>
      </c>
      <c r="C946">
        <v>80</v>
      </c>
      <c r="D946">
        <v>79.904014587000006</v>
      </c>
      <c r="E946">
        <v>50</v>
      </c>
      <c r="F946">
        <v>46.606239318999997</v>
      </c>
      <c r="G946">
        <v>1356.3839111</v>
      </c>
      <c r="H946">
        <v>1349.0480957</v>
      </c>
      <c r="I946">
        <v>1312.3916016000001</v>
      </c>
      <c r="J946">
        <v>1303.5666504000001</v>
      </c>
      <c r="K946">
        <v>1100</v>
      </c>
      <c r="L946">
        <v>0</v>
      </c>
      <c r="M946">
        <v>0</v>
      </c>
      <c r="N946">
        <v>1100</v>
      </c>
    </row>
    <row r="947" spans="1:14" x14ac:dyDescent="0.25">
      <c r="A947">
        <v>776.80678499999999</v>
      </c>
      <c r="B947" s="1">
        <f>DATE(2012,6,15) + TIME(19,21,46)</f>
        <v>41075.80678240741</v>
      </c>
      <c r="C947">
        <v>80</v>
      </c>
      <c r="D947">
        <v>79.903991699000002</v>
      </c>
      <c r="E947">
        <v>50</v>
      </c>
      <c r="F947">
        <v>46.540267944</v>
      </c>
      <c r="G947">
        <v>1356.3530272999999</v>
      </c>
      <c r="H947">
        <v>1349.0256348</v>
      </c>
      <c r="I947">
        <v>1312.3748779</v>
      </c>
      <c r="J947">
        <v>1303.5394286999999</v>
      </c>
      <c r="K947">
        <v>1100</v>
      </c>
      <c r="L947">
        <v>0</v>
      </c>
      <c r="M947">
        <v>0</v>
      </c>
      <c r="N947">
        <v>1100</v>
      </c>
    </row>
    <row r="948" spans="1:14" x14ac:dyDescent="0.25">
      <c r="A948">
        <v>777.91568199999995</v>
      </c>
      <c r="B948" s="1">
        <f>DATE(2012,6,16) + TIME(21,58,34)</f>
        <v>41076.915671296294</v>
      </c>
      <c r="C948">
        <v>80</v>
      </c>
      <c r="D948">
        <v>79.903968810999999</v>
      </c>
      <c r="E948">
        <v>50</v>
      </c>
      <c r="F948">
        <v>46.473579407000003</v>
      </c>
      <c r="G948">
        <v>1356.3222656</v>
      </c>
      <c r="H948">
        <v>1349.0031738</v>
      </c>
      <c r="I948">
        <v>1312.3576660000001</v>
      </c>
      <c r="J948">
        <v>1303.5113524999999</v>
      </c>
      <c r="K948">
        <v>1100</v>
      </c>
      <c r="L948">
        <v>0</v>
      </c>
      <c r="M948">
        <v>0</v>
      </c>
      <c r="N948">
        <v>1100</v>
      </c>
    </row>
    <row r="949" spans="1:14" x14ac:dyDescent="0.25">
      <c r="A949">
        <v>779.04689699999994</v>
      </c>
      <c r="B949" s="1">
        <f>DATE(2012,6,18) + TIME(1,7,31)</f>
        <v>41078.046886574077</v>
      </c>
      <c r="C949">
        <v>80</v>
      </c>
      <c r="D949">
        <v>79.903953552000004</v>
      </c>
      <c r="E949">
        <v>50</v>
      </c>
      <c r="F949">
        <v>46.406024932999998</v>
      </c>
      <c r="G949">
        <v>1356.2915039</v>
      </c>
      <c r="H949">
        <v>1348.9807129000001</v>
      </c>
      <c r="I949">
        <v>1312.3399658000001</v>
      </c>
      <c r="J949">
        <v>1303.4824219</v>
      </c>
      <c r="K949">
        <v>1100</v>
      </c>
      <c r="L949">
        <v>0</v>
      </c>
      <c r="M949">
        <v>0</v>
      </c>
      <c r="N949">
        <v>1100</v>
      </c>
    </row>
    <row r="950" spans="1:14" x14ac:dyDescent="0.25">
      <c r="A950">
        <v>780.203756</v>
      </c>
      <c r="B950" s="1">
        <f>DATE(2012,6,19) + TIME(4,53,24)</f>
        <v>41079.203750000001</v>
      </c>
      <c r="C950">
        <v>80</v>
      </c>
      <c r="D950">
        <v>79.903938292999996</v>
      </c>
      <c r="E950">
        <v>50</v>
      </c>
      <c r="F950">
        <v>46.337429047000001</v>
      </c>
      <c r="G950">
        <v>1356.2607422000001</v>
      </c>
      <c r="H950">
        <v>1348.9582519999999</v>
      </c>
      <c r="I950">
        <v>1312.3216553</v>
      </c>
      <c r="J950">
        <v>1303.4523925999999</v>
      </c>
      <c r="K950">
        <v>1100</v>
      </c>
      <c r="L950">
        <v>0</v>
      </c>
      <c r="M950">
        <v>0</v>
      </c>
      <c r="N950">
        <v>1100</v>
      </c>
    </row>
    <row r="951" spans="1:14" x14ac:dyDescent="0.25">
      <c r="A951">
        <v>781.38990200000001</v>
      </c>
      <c r="B951" s="1">
        <f>DATE(2012,6,20) + TIME(9,21,27)</f>
        <v>41080.38989583333</v>
      </c>
      <c r="C951">
        <v>80</v>
      </c>
      <c r="D951">
        <v>79.903915405000006</v>
      </c>
      <c r="E951">
        <v>50</v>
      </c>
      <c r="F951">
        <v>46.267620086999997</v>
      </c>
      <c r="G951">
        <v>1356.2297363</v>
      </c>
      <c r="H951">
        <v>1348.9355469</v>
      </c>
      <c r="I951">
        <v>1312.3027344</v>
      </c>
      <c r="J951">
        <v>1303.4211425999999</v>
      </c>
      <c r="K951">
        <v>1100</v>
      </c>
      <c r="L951">
        <v>0</v>
      </c>
      <c r="M951">
        <v>0</v>
      </c>
      <c r="N951">
        <v>1100</v>
      </c>
    </row>
    <row r="952" spans="1:14" x14ac:dyDescent="0.25">
      <c r="A952">
        <v>782.60935700000005</v>
      </c>
      <c r="B952" s="1">
        <f>DATE(2012,6,21) + TIME(14,37,28)</f>
        <v>41081.609351851854</v>
      </c>
      <c r="C952">
        <v>80</v>
      </c>
      <c r="D952">
        <v>79.903900145999998</v>
      </c>
      <c r="E952">
        <v>50</v>
      </c>
      <c r="F952">
        <v>46.196399689000003</v>
      </c>
      <c r="G952">
        <v>1356.1986084</v>
      </c>
      <c r="H952">
        <v>1348.9128418</v>
      </c>
      <c r="I952">
        <v>1312.2830810999999</v>
      </c>
      <c r="J952">
        <v>1303.3886719</v>
      </c>
      <c r="K952">
        <v>1100</v>
      </c>
      <c r="L952">
        <v>0</v>
      </c>
      <c r="M952">
        <v>0</v>
      </c>
      <c r="N952">
        <v>1100</v>
      </c>
    </row>
    <row r="953" spans="1:14" x14ac:dyDescent="0.25">
      <c r="A953">
        <v>783.866578</v>
      </c>
      <c r="B953" s="1">
        <f>DATE(2012,6,22) + TIME(20,47,52)</f>
        <v>41082.866574074076</v>
      </c>
      <c r="C953">
        <v>80</v>
      </c>
      <c r="D953">
        <v>79.903892517000003</v>
      </c>
      <c r="E953">
        <v>50</v>
      </c>
      <c r="F953">
        <v>46.123550414999997</v>
      </c>
      <c r="G953">
        <v>1356.1669922000001</v>
      </c>
      <c r="H953">
        <v>1348.8897704999999</v>
      </c>
      <c r="I953">
        <v>1312.2625731999999</v>
      </c>
      <c r="J953">
        <v>1303.3547363</v>
      </c>
      <c r="K953">
        <v>1100</v>
      </c>
      <c r="L953">
        <v>0</v>
      </c>
      <c r="M953">
        <v>0</v>
      </c>
      <c r="N953">
        <v>1100</v>
      </c>
    </row>
    <row r="954" spans="1:14" x14ac:dyDescent="0.25">
      <c r="A954">
        <v>785.16065900000001</v>
      </c>
      <c r="B954" s="1">
        <f>DATE(2012,6,24) + TIME(3,51,20)</f>
        <v>41084.16064814815</v>
      </c>
      <c r="C954">
        <v>80</v>
      </c>
      <c r="D954">
        <v>79.903877257999994</v>
      </c>
      <c r="E954">
        <v>50</v>
      </c>
      <c r="F954">
        <v>46.049045563</v>
      </c>
      <c r="G954">
        <v>1356.1351318</v>
      </c>
      <c r="H954">
        <v>1348.8664550999999</v>
      </c>
      <c r="I954">
        <v>1312.2412108999999</v>
      </c>
      <c r="J954">
        <v>1303.3193358999999</v>
      </c>
      <c r="K954">
        <v>1100</v>
      </c>
      <c r="L954">
        <v>0</v>
      </c>
      <c r="M954">
        <v>0</v>
      </c>
      <c r="N954">
        <v>1100</v>
      </c>
    </row>
    <row r="955" spans="1:14" x14ac:dyDescent="0.25">
      <c r="A955">
        <v>786.47212999999999</v>
      </c>
      <c r="B955" s="1">
        <f>DATE(2012,6,25) + TIME(11,19,52)</f>
        <v>41085.472129629627</v>
      </c>
      <c r="C955">
        <v>80</v>
      </c>
      <c r="D955">
        <v>79.903869628999999</v>
      </c>
      <c r="E955">
        <v>50</v>
      </c>
      <c r="F955">
        <v>45.973522185999997</v>
      </c>
      <c r="G955">
        <v>1356.1027832</v>
      </c>
      <c r="H955">
        <v>1348.8427733999999</v>
      </c>
      <c r="I955">
        <v>1312.2189940999999</v>
      </c>
      <c r="J955">
        <v>1303.2823486</v>
      </c>
      <c r="K955">
        <v>1100</v>
      </c>
      <c r="L955">
        <v>0</v>
      </c>
      <c r="M955">
        <v>0</v>
      </c>
      <c r="N955">
        <v>1100</v>
      </c>
    </row>
    <row r="956" spans="1:14" x14ac:dyDescent="0.25">
      <c r="A956">
        <v>787.78756499999997</v>
      </c>
      <c r="B956" s="1">
        <f>DATE(2012,6,26) + TIME(18,54,5)</f>
        <v>41086.787557870368</v>
      </c>
      <c r="C956">
        <v>80</v>
      </c>
      <c r="D956">
        <v>79.903862000000004</v>
      </c>
      <c r="E956">
        <v>50</v>
      </c>
      <c r="F956">
        <v>45.897613524999997</v>
      </c>
      <c r="G956">
        <v>1356.0706786999999</v>
      </c>
      <c r="H956">
        <v>1348.8192139</v>
      </c>
      <c r="I956">
        <v>1312.1961670000001</v>
      </c>
      <c r="J956">
        <v>1303.2443848</v>
      </c>
      <c r="K956">
        <v>1100</v>
      </c>
      <c r="L956">
        <v>0</v>
      </c>
      <c r="M956">
        <v>0</v>
      </c>
      <c r="N956">
        <v>1100</v>
      </c>
    </row>
    <row r="957" spans="1:14" x14ac:dyDescent="0.25">
      <c r="A957">
        <v>789.11001799999997</v>
      </c>
      <c r="B957" s="1">
        <f>DATE(2012,6,28) + TIME(2,38,25)</f>
        <v>41088.110011574077</v>
      </c>
      <c r="C957">
        <v>80</v>
      </c>
      <c r="D957">
        <v>79.903854370000005</v>
      </c>
      <c r="E957">
        <v>50</v>
      </c>
      <c r="F957">
        <v>45.821460723999998</v>
      </c>
      <c r="G957">
        <v>1356.0389404</v>
      </c>
      <c r="H957">
        <v>1348.7960204999999</v>
      </c>
      <c r="I957">
        <v>1312.1728516000001</v>
      </c>
      <c r="J957">
        <v>1303.2055664</v>
      </c>
      <c r="K957">
        <v>1100</v>
      </c>
      <c r="L957">
        <v>0</v>
      </c>
      <c r="M957">
        <v>0</v>
      </c>
      <c r="N957">
        <v>1100</v>
      </c>
    </row>
    <row r="958" spans="1:14" x14ac:dyDescent="0.25">
      <c r="A958">
        <v>790.44322699999998</v>
      </c>
      <c r="B958" s="1">
        <f>DATE(2012,6,29) + TIME(10,38,14)</f>
        <v>41089.44321759259</v>
      </c>
      <c r="C958">
        <v>80</v>
      </c>
      <c r="D958">
        <v>79.903846740999995</v>
      </c>
      <c r="E958">
        <v>50</v>
      </c>
      <c r="F958">
        <v>45.745056151999997</v>
      </c>
      <c r="G958">
        <v>1356.0076904</v>
      </c>
      <c r="H958">
        <v>1348.7730713000001</v>
      </c>
      <c r="I958">
        <v>1312.1492920000001</v>
      </c>
      <c r="J958">
        <v>1303.1660156</v>
      </c>
      <c r="K958">
        <v>1100</v>
      </c>
      <c r="L958">
        <v>0</v>
      </c>
      <c r="M958">
        <v>0</v>
      </c>
      <c r="N958">
        <v>1100</v>
      </c>
    </row>
    <row r="959" spans="1:14" x14ac:dyDescent="0.25">
      <c r="A959">
        <v>791.79034799999999</v>
      </c>
      <c r="B959" s="1">
        <f>DATE(2012,6,30) + TIME(18,58,6)</f>
        <v>41090.790347222224</v>
      </c>
      <c r="C959">
        <v>80</v>
      </c>
      <c r="D959">
        <v>79.903839110999996</v>
      </c>
      <c r="E959">
        <v>50</v>
      </c>
      <c r="F959">
        <v>45.668331146</v>
      </c>
      <c r="G959">
        <v>1355.9765625</v>
      </c>
      <c r="H959">
        <v>1348.7502440999999</v>
      </c>
      <c r="I959">
        <v>1312.1252440999999</v>
      </c>
      <c r="J959">
        <v>1303.1253661999999</v>
      </c>
      <c r="K959">
        <v>1100</v>
      </c>
      <c r="L959">
        <v>0</v>
      </c>
      <c r="M959">
        <v>0</v>
      </c>
      <c r="N959">
        <v>1100</v>
      </c>
    </row>
    <row r="960" spans="1:14" x14ac:dyDescent="0.25">
      <c r="A960">
        <v>792</v>
      </c>
      <c r="B960" s="1">
        <f>DATE(2012,7,1) + TIME(0,0,0)</f>
        <v>41091</v>
      </c>
      <c r="C960">
        <v>80</v>
      </c>
      <c r="D960">
        <v>79.903823853000006</v>
      </c>
      <c r="E960">
        <v>50</v>
      </c>
      <c r="F960">
        <v>45.650039673000002</v>
      </c>
      <c r="G960">
        <v>1355.9458007999999</v>
      </c>
      <c r="H960">
        <v>1348.7276611</v>
      </c>
      <c r="I960">
        <v>1312.1020507999999</v>
      </c>
      <c r="J960">
        <v>1303.0942382999999</v>
      </c>
      <c r="K960">
        <v>1100</v>
      </c>
      <c r="L960">
        <v>0</v>
      </c>
      <c r="M960">
        <v>0</v>
      </c>
      <c r="N960">
        <v>1100</v>
      </c>
    </row>
    <row r="961" spans="1:14" x14ac:dyDescent="0.25">
      <c r="A961">
        <v>793.36463300000003</v>
      </c>
      <c r="B961" s="1">
        <f>DATE(2012,7,2) + TIME(8,45,4)</f>
        <v>41092.364629629628</v>
      </c>
      <c r="C961">
        <v>80</v>
      </c>
      <c r="D961">
        <v>79.903831482000001</v>
      </c>
      <c r="E961">
        <v>50</v>
      </c>
      <c r="F961">
        <v>45.575576781999999</v>
      </c>
      <c r="G961">
        <v>1355.9407959</v>
      </c>
      <c r="H961">
        <v>1348.7238769999999</v>
      </c>
      <c r="I961">
        <v>1312.0964355000001</v>
      </c>
      <c r="J961">
        <v>1303.0761719</v>
      </c>
      <c r="K961">
        <v>1100</v>
      </c>
      <c r="L961">
        <v>0</v>
      </c>
      <c r="M961">
        <v>0</v>
      </c>
      <c r="N961">
        <v>1100</v>
      </c>
    </row>
    <row r="962" spans="1:14" x14ac:dyDescent="0.25">
      <c r="A962">
        <v>794.75433399999997</v>
      </c>
      <c r="B962" s="1">
        <f>DATE(2012,7,3) + TIME(18,6,14)</f>
        <v>41093.754328703704</v>
      </c>
      <c r="C962">
        <v>80</v>
      </c>
      <c r="D962">
        <v>79.903831482000001</v>
      </c>
      <c r="E962">
        <v>50</v>
      </c>
      <c r="F962">
        <v>45.499347686999997</v>
      </c>
      <c r="G962">
        <v>1355.9101562000001</v>
      </c>
      <c r="H962">
        <v>1348.7014160000001</v>
      </c>
      <c r="I962">
        <v>1312.0715332</v>
      </c>
      <c r="J962">
        <v>1303.0339355000001</v>
      </c>
      <c r="K962">
        <v>1100</v>
      </c>
      <c r="L962">
        <v>0</v>
      </c>
      <c r="M962">
        <v>0</v>
      </c>
      <c r="N962">
        <v>1100</v>
      </c>
    </row>
    <row r="963" spans="1:14" x14ac:dyDescent="0.25">
      <c r="A963">
        <v>796.16980699999999</v>
      </c>
      <c r="B963" s="1">
        <f>DATE(2012,7,5) + TIME(4,4,31)</f>
        <v>41095.169803240744</v>
      </c>
      <c r="C963">
        <v>80</v>
      </c>
      <c r="D963">
        <v>79.903839110999996</v>
      </c>
      <c r="E963">
        <v>50</v>
      </c>
      <c r="F963">
        <v>45.421703338999997</v>
      </c>
      <c r="G963">
        <v>1355.8793945</v>
      </c>
      <c r="H963">
        <v>1348.6787108999999</v>
      </c>
      <c r="I963">
        <v>1312.0458983999999</v>
      </c>
      <c r="J963">
        <v>1302.9902344</v>
      </c>
      <c r="K963">
        <v>1100</v>
      </c>
      <c r="L963">
        <v>0</v>
      </c>
      <c r="M963">
        <v>0</v>
      </c>
      <c r="N963">
        <v>1100</v>
      </c>
    </row>
    <row r="964" spans="1:14" x14ac:dyDescent="0.25">
      <c r="A964">
        <v>797.61536799999999</v>
      </c>
      <c r="B964" s="1">
        <f>DATE(2012,7,6) + TIME(14,46,7)</f>
        <v>41096.615358796298</v>
      </c>
      <c r="C964">
        <v>80</v>
      </c>
      <c r="D964">
        <v>79.903839110999996</v>
      </c>
      <c r="E964">
        <v>50</v>
      </c>
      <c r="F964">
        <v>45.342754364000001</v>
      </c>
      <c r="G964">
        <v>1355.8485106999999</v>
      </c>
      <c r="H964">
        <v>1348.6560059000001</v>
      </c>
      <c r="I964">
        <v>1312.0194091999999</v>
      </c>
      <c r="J964">
        <v>1302.9451904</v>
      </c>
      <c r="K964">
        <v>1100</v>
      </c>
      <c r="L964">
        <v>0</v>
      </c>
      <c r="M964">
        <v>0</v>
      </c>
      <c r="N964">
        <v>1100</v>
      </c>
    </row>
    <row r="965" spans="1:14" x14ac:dyDescent="0.25">
      <c r="A965">
        <v>799.09567100000004</v>
      </c>
      <c r="B965" s="1">
        <f>DATE(2012,7,8) + TIME(2,17,45)</f>
        <v>41098.095659722225</v>
      </c>
      <c r="C965">
        <v>80</v>
      </c>
      <c r="D965">
        <v>79.903846740999995</v>
      </c>
      <c r="E965">
        <v>50</v>
      </c>
      <c r="F965">
        <v>45.262477875000002</v>
      </c>
      <c r="G965">
        <v>1355.8175048999999</v>
      </c>
      <c r="H965">
        <v>1348.6330565999999</v>
      </c>
      <c r="I965">
        <v>1311.9923096</v>
      </c>
      <c r="J965">
        <v>1302.8984375</v>
      </c>
      <c r="K965">
        <v>1100</v>
      </c>
      <c r="L965">
        <v>0</v>
      </c>
      <c r="M965">
        <v>0</v>
      </c>
      <c r="N965">
        <v>1100</v>
      </c>
    </row>
    <row r="966" spans="1:14" x14ac:dyDescent="0.25">
      <c r="A966">
        <v>800.61584100000005</v>
      </c>
      <c r="B966" s="1">
        <f>DATE(2012,7,9) + TIME(14,46,48)</f>
        <v>41099.615833333337</v>
      </c>
      <c r="C966">
        <v>80</v>
      </c>
      <c r="D966">
        <v>79.903854370000005</v>
      </c>
      <c r="E966">
        <v>50</v>
      </c>
      <c r="F966">
        <v>45.180778502999999</v>
      </c>
      <c r="G966">
        <v>1355.7861327999999</v>
      </c>
      <c r="H966">
        <v>1348.6098632999999</v>
      </c>
      <c r="I966">
        <v>1311.9642334</v>
      </c>
      <c r="J966">
        <v>1302.8500977000001</v>
      </c>
      <c r="K966">
        <v>1100</v>
      </c>
      <c r="L966">
        <v>0</v>
      </c>
      <c r="M966">
        <v>0</v>
      </c>
      <c r="N966">
        <v>1100</v>
      </c>
    </row>
    <row r="967" spans="1:14" x14ac:dyDescent="0.25">
      <c r="A967">
        <v>802.18153600000005</v>
      </c>
      <c r="B967" s="1">
        <f>DATE(2012,7,11) + TIME(4,21,24)</f>
        <v>41101.181527777779</v>
      </c>
      <c r="C967">
        <v>80</v>
      </c>
      <c r="D967">
        <v>79.903869628999999</v>
      </c>
      <c r="E967">
        <v>50</v>
      </c>
      <c r="F967">
        <v>45.097515106000003</v>
      </c>
      <c r="G967">
        <v>1355.7545166</v>
      </c>
      <c r="H967">
        <v>1348.5864257999999</v>
      </c>
      <c r="I967">
        <v>1311.9351807</v>
      </c>
      <c r="J967">
        <v>1302.7999268000001</v>
      </c>
      <c r="K967">
        <v>1100</v>
      </c>
      <c r="L967">
        <v>0</v>
      </c>
      <c r="M967">
        <v>0</v>
      </c>
      <c r="N967">
        <v>1100</v>
      </c>
    </row>
    <row r="968" spans="1:14" x14ac:dyDescent="0.25">
      <c r="A968">
        <v>803.793184</v>
      </c>
      <c r="B968" s="1">
        <f>DATE(2012,7,12) + TIME(19,2,11)</f>
        <v>41102.793182870373</v>
      </c>
      <c r="C968">
        <v>80</v>
      </c>
      <c r="D968">
        <v>79.903877257999994</v>
      </c>
      <c r="E968">
        <v>50</v>
      </c>
      <c r="F968">
        <v>45.012668609999999</v>
      </c>
      <c r="G968">
        <v>1355.7224120999999</v>
      </c>
      <c r="H968">
        <v>1348.5626221</v>
      </c>
      <c r="I968">
        <v>1311.9051514</v>
      </c>
      <c r="J968">
        <v>1302.7476807</v>
      </c>
      <c r="K968">
        <v>1100</v>
      </c>
      <c r="L968">
        <v>0</v>
      </c>
      <c r="M968">
        <v>0</v>
      </c>
      <c r="N968">
        <v>1100</v>
      </c>
    </row>
    <row r="969" spans="1:14" x14ac:dyDescent="0.25">
      <c r="A969">
        <v>805.42581900000005</v>
      </c>
      <c r="B969" s="1">
        <f>DATE(2012,7,14) + TIME(10,13,10)</f>
        <v>41104.425810185188</v>
      </c>
      <c r="C969">
        <v>80</v>
      </c>
      <c r="D969">
        <v>79.903892517000003</v>
      </c>
      <c r="E969">
        <v>50</v>
      </c>
      <c r="F969">
        <v>44.926998138000002</v>
      </c>
      <c r="G969">
        <v>1355.6898193</v>
      </c>
      <c r="H969">
        <v>1348.5384521000001</v>
      </c>
      <c r="I969">
        <v>1311.8741454999999</v>
      </c>
      <c r="J969">
        <v>1302.6937256000001</v>
      </c>
      <c r="K969">
        <v>1100</v>
      </c>
      <c r="L969">
        <v>0</v>
      </c>
      <c r="M969">
        <v>0</v>
      </c>
      <c r="N969">
        <v>1100</v>
      </c>
    </row>
    <row r="970" spans="1:14" x14ac:dyDescent="0.25">
      <c r="A970">
        <v>807.06786899999997</v>
      </c>
      <c r="B970" s="1">
        <f>DATE(2012,7,16) + TIME(1,37,43)</f>
        <v>41106.067858796298</v>
      </c>
      <c r="C970">
        <v>80</v>
      </c>
      <c r="D970">
        <v>79.903907775999997</v>
      </c>
      <c r="E970">
        <v>50</v>
      </c>
      <c r="F970">
        <v>44.84116745</v>
      </c>
      <c r="G970">
        <v>1355.6573486</v>
      </c>
      <c r="H970">
        <v>1348.5144043</v>
      </c>
      <c r="I970">
        <v>1311.8426514</v>
      </c>
      <c r="J970">
        <v>1302.6384277</v>
      </c>
      <c r="K970">
        <v>1100</v>
      </c>
      <c r="L970">
        <v>0</v>
      </c>
      <c r="M970">
        <v>0</v>
      </c>
      <c r="N970">
        <v>1100</v>
      </c>
    </row>
    <row r="971" spans="1:14" x14ac:dyDescent="0.25">
      <c r="A971">
        <v>808.72077300000001</v>
      </c>
      <c r="B971" s="1">
        <f>DATE(2012,7,17) + TIME(17,17,54)</f>
        <v>41107.720763888887</v>
      </c>
      <c r="C971">
        <v>80</v>
      </c>
      <c r="D971">
        <v>79.903923035000005</v>
      </c>
      <c r="E971">
        <v>50</v>
      </c>
      <c r="F971">
        <v>44.755496979</v>
      </c>
      <c r="G971">
        <v>1355.6252440999999</v>
      </c>
      <c r="H971">
        <v>1348.4903564000001</v>
      </c>
      <c r="I971">
        <v>1311.8106689000001</v>
      </c>
      <c r="J971">
        <v>1302.5821533000001</v>
      </c>
      <c r="K971">
        <v>1100</v>
      </c>
      <c r="L971">
        <v>0</v>
      </c>
      <c r="M971">
        <v>0</v>
      </c>
      <c r="N971">
        <v>1100</v>
      </c>
    </row>
    <row r="972" spans="1:14" x14ac:dyDescent="0.25">
      <c r="A972">
        <v>810.38869599999998</v>
      </c>
      <c r="B972" s="1">
        <f>DATE(2012,7,19) + TIME(9,19,43)</f>
        <v>41109.388692129629</v>
      </c>
      <c r="C972">
        <v>80</v>
      </c>
      <c r="D972">
        <v>79.903938292999996</v>
      </c>
      <c r="E972">
        <v>50</v>
      </c>
      <c r="F972">
        <v>44.670093536000003</v>
      </c>
      <c r="G972">
        <v>1355.5932617000001</v>
      </c>
      <c r="H972">
        <v>1348.4665527</v>
      </c>
      <c r="I972">
        <v>1311.7784423999999</v>
      </c>
      <c r="J972">
        <v>1302.5251464999999</v>
      </c>
      <c r="K972">
        <v>1100</v>
      </c>
      <c r="L972">
        <v>0</v>
      </c>
      <c r="M972">
        <v>0</v>
      </c>
      <c r="N972">
        <v>1100</v>
      </c>
    </row>
    <row r="973" spans="1:14" x14ac:dyDescent="0.25">
      <c r="A973">
        <v>812.07627500000001</v>
      </c>
      <c r="B973" s="1">
        <f>DATE(2012,7,21) + TIME(1,49,50)</f>
        <v>41111.076273148145</v>
      </c>
      <c r="C973">
        <v>80</v>
      </c>
      <c r="D973">
        <v>79.903961182000003</v>
      </c>
      <c r="E973">
        <v>50</v>
      </c>
      <c r="F973">
        <v>44.584960938000002</v>
      </c>
      <c r="G973">
        <v>1355.5615233999999</v>
      </c>
      <c r="H973">
        <v>1348.4428711</v>
      </c>
      <c r="I973">
        <v>1311.7458495999999</v>
      </c>
      <c r="J973">
        <v>1302.4671631000001</v>
      </c>
      <c r="K973">
        <v>1100</v>
      </c>
      <c r="L973">
        <v>0</v>
      </c>
      <c r="M973">
        <v>0</v>
      </c>
      <c r="N973">
        <v>1100</v>
      </c>
    </row>
    <row r="974" spans="1:14" x14ac:dyDescent="0.25">
      <c r="A974">
        <v>813.78837899999996</v>
      </c>
      <c r="B974" s="1">
        <f>DATE(2012,7,22) + TIME(18,55,15)</f>
        <v>41112.788368055553</v>
      </c>
      <c r="C974">
        <v>80</v>
      </c>
      <c r="D974">
        <v>79.903984070000007</v>
      </c>
      <c r="E974">
        <v>50</v>
      </c>
      <c r="F974">
        <v>44.500057220000002</v>
      </c>
      <c r="G974">
        <v>1355.5299072</v>
      </c>
      <c r="H974">
        <v>1348.4191894999999</v>
      </c>
      <c r="I974">
        <v>1311.7128906</v>
      </c>
      <c r="J974">
        <v>1302.4082031</v>
      </c>
      <c r="K974">
        <v>1100</v>
      </c>
      <c r="L974">
        <v>0</v>
      </c>
      <c r="M974">
        <v>0</v>
      </c>
      <c r="N974">
        <v>1100</v>
      </c>
    </row>
    <row r="975" spans="1:14" x14ac:dyDescent="0.25">
      <c r="A975">
        <v>815.53013499999997</v>
      </c>
      <c r="B975" s="1">
        <f>DATE(2012,7,24) + TIME(12,43,23)</f>
        <v>41114.530127314814</v>
      </c>
      <c r="C975">
        <v>80</v>
      </c>
      <c r="D975">
        <v>79.904006957999997</v>
      </c>
      <c r="E975">
        <v>50</v>
      </c>
      <c r="F975">
        <v>44.415321349999999</v>
      </c>
      <c r="G975">
        <v>1355.4982910000001</v>
      </c>
      <c r="H975">
        <v>1348.3953856999999</v>
      </c>
      <c r="I975">
        <v>1311.6794434000001</v>
      </c>
      <c r="J975">
        <v>1302.3481445</v>
      </c>
      <c r="K975">
        <v>1100</v>
      </c>
      <c r="L975">
        <v>0</v>
      </c>
      <c r="M975">
        <v>0</v>
      </c>
      <c r="N975">
        <v>1100</v>
      </c>
    </row>
    <row r="976" spans="1:14" x14ac:dyDescent="0.25">
      <c r="A976">
        <v>817.30698299999995</v>
      </c>
      <c r="B976" s="1">
        <f>DATE(2012,7,26) + TIME(7,22,3)</f>
        <v>41116.306979166664</v>
      </c>
      <c r="C976">
        <v>80</v>
      </c>
      <c r="D976">
        <v>79.904037475999999</v>
      </c>
      <c r="E976">
        <v>50</v>
      </c>
      <c r="F976">
        <v>44.330696105999998</v>
      </c>
      <c r="G976">
        <v>1355.4664307</v>
      </c>
      <c r="H976">
        <v>1348.371582</v>
      </c>
      <c r="I976">
        <v>1311.6455077999999</v>
      </c>
      <c r="J976">
        <v>1302.2868652</v>
      </c>
      <c r="K976">
        <v>1100</v>
      </c>
      <c r="L976">
        <v>0</v>
      </c>
      <c r="M976">
        <v>0</v>
      </c>
      <c r="N976">
        <v>1100</v>
      </c>
    </row>
    <row r="977" spans="1:14" x14ac:dyDescent="0.25">
      <c r="A977">
        <v>819.12491</v>
      </c>
      <c r="B977" s="1">
        <f>DATE(2012,7,28) + TIME(2,59,52)</f>
        <v>41118.124907407408</v>
      </c>
      <c r="C977">
        <v>80</v>
      </c>
      <c r="D977">
        <v>79.904060364000003</v>
      </c>
      <c r="E977">
        <v>50</v>
      </c>
      <c r="F977">
        <v>44.246139526</v>
      </c>
      <c r="G977">
        <v>1355.4345702999999</v>
      </c>
      <c r="H977">
        <v>1348.3475341999999</v>
      </c>
      <c r="I977">
        <v>1311.6110839999999</v>
      </c>
      <c r="J977">
        <v>1302.2242432</v>
      </c>
      <c r="K977">
        <v>1100</v>
      </c>
      <c r="L977">
        <v>0</v>
      </c>
      <c r="M977">
        <v>0</v>
      </c>
      <c r="N977">
        <v>1100</v>
      </c>
    </row>
    <row r="978" spans="1:14" x14ac:dyDescent="0.25">
      <c r="A978">
        <v>820.97564599999998</v>
      </c>
      <c r="B978" s="1">
        <f>DATE(2012,7,29) + TIME(23,24,55)</f>
        <v>41119.975636574076</v>
      </c>
      <c r="C978">
        <v>80</v>
      </c>
      <c r="D978">
        <v>79.904098511000001</v>
      </c>
      <c r="E978">
        <v>50</v>
      </c>
      <c r="F978">
        <v>44.161968231000003</v>
      </c>
      <c r="G978">
        <v>1355.4022216999999</v>
      </c>
      <c r="H978">
        <v>1348.3231201000001</v>
      </c>
      <c r="I978">
        <v>1311.5759277</v>
      </c>
      <c r="J978">
        <v>1302.1601562000001</v>
      </c>
      <c r="K978">
        <v>1100</v>
      </c>
      <c r="L978">
        <v>0</v>
      </c>
      <c r="M978">
        <v>0</v>
      </c>
      <c r="N978">
        <v>1100</v>
      </c>
    </row>
    <row r="979" spans="1:14" x14ac:dyDescent="0.25">
      <c r="A979">
        <v>822.858788</v>
      </c>
      <c r="B979" s="1">
        <f>DATE(2012,7,31) + TIME(20,36,39)</f>
        <v>41121.858784722222</v>
      </c>
      <c r="C979">
        <v>80</v>
      </c>
      <c r="D979">
        <v>79.904129028</v>
      </c>
      <c r="E979">
        <v>50</v>
      </c>
      <c r="F979">
        <v>44.078487396</v>
      </c>
      <c r="G979">
        <v>1355.3698730000001</v>
      </c>
      <c r="H979">
        <v>1348.2987060999999</v>
      </c>
      <c r="I979">
        <v>1311.5405272999999</v>
      </c>
      <c r="J979">
        <v>1302.0949707</v>
      </c>
      <c r="K979">
        <v>1100</v>
      </c>
      <c r="L979">
        <v>0</v>
      </c>
      <c r="M979">
        <v>0</v>
      </c>
      <c r="N979">
        <v>1100</v>
      </c>
    </row>
    <row r="980" spans="1:14" x14ac:dyDescent="0.25">
      <c r="A980">
        <v>823</v>
      </c>
      <c r="B980" s="1">
        <f>DATE(2012,8,1) + TIME(0,0,0)</f>
        <v>41122</v>
      </c>
      <c r="C980">
        <v>80</v>
      </c>
      <c r="D980">
        <v>79.904121399000005</v>
      </c>
      <c r="E980">
        <v>50</v>
      </c>
      <c r="F980">
        <v>44.067073821999998</v>
      </c>
      <c r="G980">
        <v>1355.3380127</v>
      </c>
      <c r="H980">
        <v>1348.2746582</v>
      </c>
      <c r="I980">
        <v>1311.5109863</v>
      </c>
      <c r="J980">
        <v>1302.050293</v>
      </c>
      <c r="K980">
        <v>1100</v>
      </c>
      <c r="L980">
        <v>0</v>
      </c>
      <c r="M980">
        <v>0</v>
      </c>
      <c r="N980">
        <v>1100</v>
      </c>
    </row>
    <row r="981" spans="1:14" x14ac:dyDescent="0.25">
      <c r="A981">
        <v>824.91668800000002</v>
      </c>
      <c r="B981" s="1">
        <f>DATE(2012,8,2) + TIME(22,0,1)</f>
        <v>41123.916678240741</v>
      </c>
      <c r="C981">
        <v>80</v>
      </c>
      <c r="D981">
        <v>79.904167174999998</v>
      </c>
      <c r="E981">
        <v>50</v>
      </c>
      <c r="F981">
        <v>43.987411498999997</v>
      </c>
      <c r="G981">
        <v>1355.3347168</v>
      </c>
      <c r="H981">
        <v>1348.2720947</v>
      </c>
      <c r="I981">
        <v>1311.5012207</v>
      </c>
      <c r="J981">
        <v>1302.0220947</v>
      </c>
      <c r="K981">
        <v>1100</v>
      </c>
      <c r="L981">
        <v>0</v>
      </c>
      <c r="M981">
        <v>0</v>
      </c>
      <c r="N981">
        <v>1100</v>
      </c>
    </row>
    <row r="982" spans="1:14" x14ac:dyDescent="0.25">
      <c r="A982">
        <v>826.85236599999996</v>
      </c>
      <c r="B982" s="1">
        <f>DATE(2012,8,4) + TIME(20,27,24)</f>
        <v>41125.852361111109</v>
      </c>
      <c r="C982">
        <v>80</v>
      </c>
      <c r="D982">
        <v>79.904205321999996</v>
      </c>
      <c r="E982">
        <v>50</v>
      </c>
      <c r="F982">
        <v>43.908061981000003</v>
      </c>
      <c r="G982">
        <v>1355.3022461</v>
      </c>
      <c r="H982">
        <v>1348.2473144999999</v>
      </c>
      <c r="I982">
        <v>1311.4655762</v>
      </c>
      <c r="J982">
        <v>1301.9558105000001</v>
      </c>
      <c r="K982">
        <v>1100</v>
      </c>
      <c r="L982">
        <v>0</v>
      </c>
      <c r="M982">
        <v>0</v>
      </c>
      <c r="N982">
        <v>1100</v>
      </c>
    </row>
    <row r="983" spans="1:14" x14ac:dyDescent="0.25">
      <c r="A983">
        <v>828.811284</v>
      </c>
      <c r="B983" s="1">
        <f>DATE(2012,8,6) + TIME(19,28,14)</f>
        <v>41127.811273148145</v>
      </c>
      <c r="C983">
        <v>80</v>
      </c>
      <c r="D983">
        <v>79.904243468999994</v>
      </c>
      <c r="E983">
        <v>50</v>
      </c>
      <c r="F983">
        <v>43.830104828000003</v>
      </c>
      <c r="G983">
        <v>1355.2696533000001</v>
      </c>
      <c r="H983">
        <v>1348.2225341999999</v>
      </c>
      <c r="I983">
        <v>1311.4296875</v>
      </c>
      <c r="J983">
        <v>1301.8885498</v>
      </c>
      <c r="K983">
        <v>1100</v>
      </c>
      <c r="L983">
        <v>0</v>
      </c>
      <c r="M983">
        <v>0</v>
      </c>
      <c r="N983">
        <v>1100</v>
      </c>
    </row>
    <row r="984" spans="1:14" x14ac:dyDescent="0.25">
      <c r="A984">
        <v>830.79907500000002</v>
      </c>
      <c r="B984" s="1">
        <f>DATE(2012,8,8) + TIME(19,10,40)</f>
        <v>41129.799074074072</v>
      </c>
      <c r="C984">
        <v>80</v>
      </c>
      <c r="D984">
        <v>79.904289246000005</v>
      </c>
      <c r="E984">
        <v>50</v>
      </c>
      <c r="F984">
        <v>43.754173279</v>
      </c>
      <c r="G984">
        <v>1355.2370605000001</v>
      </c>
      <c r="H984">
        <v>1348.1977539</v>
      </c>
      <c r="I984">
        <v>1311.3936768000001</v>
      </c>
      <c r="J984">
        <v>1301.8206786999999</v>
      </c>
      <c r="K984">
        <v>1100</v>
      </c>
      <c r="L984">
        <v>0</v>
      </c>
      <c r="M984">
        <v>0</v>
      </c>
      <c r="N984">
        <v>1100</v>
      </c>
    </row>
    <row r="985" spans="1:14" x14ac:dyDescent="0.25">
      <c r="A985">
        <v>832.82167300000003</v>
      </c>
      <c r="B985" s="1">
        <f>DATE(2012,8,10) + TIME(19,43,12)</f>
        <v>41131.821666666663</v>
      </c>
      <c r="C985">
        <v>80</v>
      </c>
      <c r="D985">
        <v>79.904327393000003</v>
      </c>
      <c r="E985">
        <v>50</v>
      </c>
      <c r="F985">
        <v>43.680721282999997</v>
      </c>
      <c r="G985">
        <v>1355.2044678</v>
      </c>
      <c r="H985">
        <v>1348.1727295000001</v>
      </c>
      <c r="I985">
        <v>1311.3576660000001</v>
      </c>
      <c r="J985">
        <v>1301.7523193</v>
      </c>
      <c r="K985">
        <v>1100</v>
      </c>
      <c r="L985">
        <v>0</v>
      </c>
      <c r="M985">
        <v>0</v>
      </c>
      <c r="N985">
        <v>1100</v>
      </c>
    </row>
    <row r="986" spans="1:14" x14ac:dyDescent="0.25">
      <c r="A986">
        <v>834.885445</v>
      </c>
      <c r="B986" s="1">
        <f>DATE(2012,8,12) + TIME(21,15,2)</f>
        <v>41133.885439814818</v>
      </c>
      <c r="C986">
        <v>80</v>
      </c>
      <c r="D986">
        <v>79.904373168999996</v>
      </c>
      <c r="E986">
        <v>50</v>
      </c>
      <c r="F986">
        <v>43.610149384000003</v>
      </c>
      <c r="G986">
        <v>1355.1716309000001</v>
      </c>
      <c r="H986">
        <v>1348.1475829999999</v>
      </c>
      <c r="I986">
        <v>1311.3216553</v>
      </c>
      <c r="J986">
        <v>1301.6834716999999</v>
      </c>
      <c r="K986">
        <v>1100</v>
      </c>
      <c r="L986">
        <v>0</v>
      </c>
      <c r="M986">
        <v>0</v>
      </c>
      <c r="N986">
        <v>1100</v>
      </c>
    </row>
    <row r="987" spans="1:14" x14ac:dyDescent="0.25">
      <c r="A987">
        <v>836.99730599999998</v>
      </c>
      <c r="B987" s="1">
        <f>DATE(2012,8,14) + TIME(23,56,7)</f>
        <v>41135.997303240743</v>
      </c>
      <c r="C987">
        <v>80</v>
      </c>
      <c r="D987">
        <v>79.904426575000002</v>
      </c>
      <c r="E987">
        <v>50</v>
      </c>
      <c r="F987">
        <v>43.542892455999997</v>
      </c>
      <c r="G987">
        <v>1355.1385498</v>
      </c>
      <c r="H987">
        <v>1348.1221923999999</v>
      </c>
      <c r="I987">
        <v>1311.2857666</v>
      </c>
      <c r="J987">
        <v>1301.6140137</v>
      </c>
      <c r="K987">
        <v>1100</v>
      </c>
      <c r="L987">
        <v>0</v>
      </c>
      <c r="M987">
        <v>0</v>
      </c>
      <c r="N987">
        <v>1100</v>
      </c>
    </row>
    <row r="988" spans="1:14" x14ac:dyDescent="0.25">
      <c r="A988">
        <v>839.15207299999997</v>
      </c>
      <c r="B988" s="1">
        <f>DATE(2012,8,17) + TIME(3,38,59)</f>
        <v>41138.152071759258</v>
      </c>
      <c r="C988">
        <v>80</v>
      </c>
      <c r="D988">
        <v>79.904479980000005</v>
      </c>
      <c r="E988">
        <v>50</v>
      </c>
      <c r="F988">
        <v>43.479629516999999</v>
      </c>
      <c r="G988">
        <v>1355.1051024999999</v>
      </c>
      <c r="H988">
        <v>1348.0964355000001</v>
      </c>
      <c r="I988">
        <v>1311.2497559000001</v>
      </c>
      <c r="J988">
        <v>1301.5441894999999</v>
      </c>
      <c r="K988">
        <v>1100</v>
      </c>
      <c r="L988">
        <v>0</v>
      </c>
      <c r="M988">
        <v>0</v>
      </c>
      <c r="N988">
        <v>1100</v>
      </c>
    </row>
    <row r="989" spans="1:14" x14ac:dyDescent="0.25">
      <c r="A989">
        <v>841.32432600000004</v>
      </c>
      <c r="B989" s="1">
        <f>DATE(2012,8,19) + TIME(7,47,1)</f>
        <v>41140.324317129627</v>
      </c>
      <c r="C989">
        <v>80</v>
      </c>
      <c r="D989">
        <v>79.904533385999997</v>
      </c>
      <c r="E989">
        <v>50</v>
      </c>
      <c r="F989">
        <v>43.421451568999998</v>
      </c>
      <c r="G989">
        <v>1355.0714111</v>
      </c>
      <c r="H989">
        <v>1348.0703125</v>
      </c>
      <c r="I989">
        <v>1311.2142334</v>
      </c>
      <c r="J989">
        <v>1301.4744873</v>
      </c>
      <c r="K989">
        <v>1100</v>
      </c>
      <c r="L989">
        <v>0</v>
      </c>
      <c r="M989">
        <v>0</v>
      </c>
      <c r="N989">
        <v>1100</v>
      </c>
    </row>
    <row r="990" spans="1:14" x14ac:dyDescent="0.25">
      <c r="A990">
        <v>843.52148999999997</v>
      </c>
      <c r="B990" s="1">
        <f>DATE(2012,8,21) + TIME(12,30,56)</f>
        <v>41142.521481481483</v>
      </c>
      <c r="C990">
        <v>80</v>
      </c>
      <c r="D990">
        <v>79.904586792000003</v>
      </c>
      <c r="E990">
        <v>50</v>
      </c>
      <c r="F990">
        <v>43.369186401</v>
      </c>
      <c r="G990">
        <v>1355.0377197</v>
      </c>
      <c r="H990">
        <v>1348.0443115</v>
      </c>
      <c r="I990">
        <v>1311.1791992000001</v>
      </c>
      <c r="J990">
        <v>1301.4053954999999</v>
      </c>
      <c r="K990">
        <v>1100</v>
      </c>
      <c r="L990">
        <v>0</v>
      </c>
      <c r="M990">
        <v>0</v>
      </c>
      <c r="N990">
        <v>1100</v>
      </c>
    </row>
    <row r="991" spans="1:14" x14ac:dyDescent="0.25">
      <c r="A991">
        <v>845.75420699999995</v>
      </c>
      <c r="B991" s="1">
        <f>DATE(2012,8,23) + TIME(18,6,3)</f>
        <v>41144.754201388889</v>
      </c>
      <c r="C991">
        <v>80</v>
      </c>
      <c r="D991">
        <v>79.904647827000005</v>
      </c>
      <c r="E991">
        <v>50</v>
      </c>
      <c r="F991">
        <v>43.323547363000003</v>
      </c>
      <c r="G991">
        <v>1355.0041504000001</v>
      </c>
      <c r="H991">
        <v>1348.0181885</v>
      </c>
      <c r="I991">
        <v>1311.1450195</v>
      </c>
      <c r="J991">
        <v>1301.3371582</v>
      </c>
      <c r="K991">
        <v>1100</v>
      </c>
      <c r="L991">
        <v>0</v>
      </c>
      <c r="M991">
        <v>0</v>
      </c>
      <c r="N991">
        <v>1100</v>
      </c>
    </row>
    <row r="992" spans="1:14" x14ac:dyDescent="0.25">
      <c r="A992">
        <v>848.012114</v>
      </c>
      <c r="B992" s="1">
        <f>DATE(2012,8,26) + TIME(0,17,26)</f>
        <v>41147.012106481481</v>
      </c>
      <c r="C992">
        <v>80</v>
      </c>
      <c r="D992">
        <v>79.904701232999997</v>
      </c>
      <c r="E992">
        <v>50</v>
      </c>
      <c r="F992">
        <v>43.285438538000001</v>
      </c>
      <c r="G992">
        <v>1354.9703368999999</v>
      </c>
      <c r="H992">
        <v>1347.9918213000001</v>
      </c>
      <c r="I992">
        <v>1311.1115723</v>
      </c>
      <c r="J992">
        <v>1301.2698975000001</v>
      </c>
      <c r="K992">
        <v>1100</v>
      </c>
      <c r="L992">
        <v>0</v>
      </c>
      <c r="M992">
        <v>0</v>
      </c>
      <c r="N992">
        <v>1100</v>
      </c>
    </row>
    <row r="993" spans="1:14" x14ac:dyDescent="0.25">
      <c r="A993">
        <v>850.29384000000005</v>
      </c>
      <c r="B993" s="1">
        <f>DATE(2012,8,28) + TIME(7,3,7)</f>
        <v>41149.29383101852</v>
      </c>
      <c r="C993">
        <v>80</v>
      </c>
      <c r="D993">
        <v>79.904762267999999</v>
      </c>
      <c r="E993">
        <v>50</v>
      </c>
      <c r="F993">
        <v>43.255737304999997</v>
      </c>
      <c r="G993">
        <v>1354.9365233999999</v>
      </c>
      <c r="H993">
        <v>1347.965332</v>
      </c>
      <c r="I993">
        <v>1311.0791016000001</v>
      </c>
      <c r="J993">
        <v>1301.2041016000001</v>
      </c>
      <c r="K993">
        <v>1100</v>
      </c>
      <c r="L993">
        <v>0</v>
      </c>
      <c r="M993">
        <v>0</v>
      </c>
      <c r="N993">
        <v>1100</v>
      </c>
    </row>
    <row r="994" spans="1:14" x14ac:dyDescent="0.25">
      <c r="A994">
        <v>852.60634800000003</v>
      </c>
      <c r="B994" s="1">
        <f>DATE(2012,8,30) + TIME(14,33,8)</f>
        <v>41151.606342592589</v>
      </c>
      <c r="C994">
        <v>80</v>
      </c>
      <c r="D994">
        <v>79.904830933</v>
      </c>
      <c r="E994">
        <v>50</v>
      </c>
      <c r="F994">
        <v>43.235298157000003</v>
      </c>
      <c r="G994">
        <v>1354.9027100000001</v>
      </c>
      <c r="H994">
        <v>1347.9388428</v>
      </c>
      <c r="I994">
        <v>1311.0477295000001</v>
      </c>
      <c r="J994">
        <v>1301.1400146000001</v>
      </c>
      <c r="K994">
        <v>1100</v>
      </c>
      <c r="L994">
        <v>0</v>
      </c>
      <c r="M994">
        <v>0</v>
      </c>
      <c r="N994">
        <v>1100</v>
      </c>
    </row>
    <row r="995" spans="1:14" x14ac:dyDescent="0.25">
      <c r="A995">
        <v>854</v>
      </c>
      <c r="B995" s="1">
        <f>DATE(2012,9,1) + TIME(0,0,0)</f>
        <v>41153</v>
      </c>
      <c r="C995">
        <v>80</v>
      </c>
      <c r="D995">
        <v>79.904846191000004</v>
      </c>
      <c r="E995">
        <v>50</v>
      </c>
      <c r="F995">
        <v>43.227436066000003</v>
      </c>
      <c r="G995">
        <v>1354.8686522999999</v>
      </c>
      <c r="H995">
        <v>1347.9121094</v>
      </c>
      <c r="I995">
        <v>1311.0211182</v>
      </c>
      <c r="J995">
        <v>1301.0842285000001</v>
      </c>
      <c r="K995">
        <v>1100</v>
      </c>
      <c r="L995">
        <v>0</v>
      </c>
      <c r="M995">
        <v>0</v>
      </c>
      <c r="N995">
        <v>1100</v>
      </c>
    </row>
    <row r="996" spans="1:14" x14ac:dyDescent="0.25">
      <c r="A996">
        <v>856.35033199999998</v>
      </c>
      <c r="B996" s="1">
        <f>DATE(2012,9,3) + TIME(8,24,28)</f>
        <v>41155.350324074076</v>
      </c>
      <c r="C996">
        <v>80</v>
      </c>
      <c r="D996">
        <v>79.904930114999999</v>
      </c>
      <c r="E996">
        <v>50</v>
      </c>
      <c r="F996">
        <v>43.224750518999997</v>
      </c>
      <c r="G996">
        <v>1354.8485106999999</v>
      </c>
      <c r="H996">
        <v>1347.8962402</v>
      </c>
      <c r="I996">
        <v>1310.9981689000001</v>
      </c>
      <c r="J996">
        <v>1301.0385742000001</v>
      </c>
      <c r="K996">
        <v>1100</v>
      </c>
      <c r="L996">
        <v>0</v>
      </c>
      <c r="M996">
        <v>0</v>
      </c>
      <c r="N996">
        <v>1100</v>
      </c>
    </row>
    <row r="997" spans="1:14" x14ac:dyDescent="0.25">
      <c r="A997">
        <v>858.77731100000005</v>
      </c>
      <c r="B997" s="1">
        <f>DATE(2012,9,5) + TIME(18,39,19)</f>
        <v>41157.777303240742</v>
      </c>
      <c r="C997">
        <v>80</v>
      </c>
      <c r="D997">
        <v>79.905006408999995</v>
      </c>
      <c r="E997">
        <v>50</v>
      </c>
      <c r="F997">
        <v>43.233249663999999</v>
      </c>
      <c r="G997">
        <v>1354.8146973</v>
      </c>
      <c r="H997">
        <v>1347.8695068</v>
      </c>
      <c r="I997">
        <v>1310.9714355000001</v>
      </c>
      <c r="J997">
        <v>1300.9821777</v>
      </c>
      <c r="K997">
        <v>1100</v>
      </c>
      <c r="L997">
        <v>0</v>
      </c>
      <c r="M997">
        <v>0</v>
      </c>
      <c r="N997">
        <v>1100</v>
      </c>
    </row>
    <row r="998" spans="1:14" x14ac:dyDescent="0.25">
      <c r="A998">
        <v>861.26216799999997</v>
      </c>
      <c r="B998" s="1">
        <f>DATE(2012,9,8) + TIME(6,17,31)</f>
        <v>41160.262164351851</v>
      </c>
      <c r="C998">
        <v>80</v>
      </c>
      <c r="D998">
        <v>79.905082703000005</v>
      </c>
      <c r="E998">
        <v>50</v>
      </c>
      <c r="F998">
        <v>43.254634856999999</v>
      </c>
      <c r="G998">
        <v>1354.7800293</v>
      </c>
      <c r="H998">
        <v>1347.8420410000001</v>
      </c>
      <c r="I998">
        <v>1310.9451904</v>
      </c>
      <c r="J998">
        <v>1300.9267577999999</v>
      </c>
      <c r="K998">
        <v>1100</v>
      </c>
      <c r="L998">
        <v>0</v>
      </c>
      <c r="M998">
        <v>0</v>
      </c>
      <c r="N998">
        <v>1100</v>
      </c>
    </row>
    <row r="999" spans="1:14" x14ac:dyDescent="0.25">
      <c r="A999">
        <v>863.80668700000001</v>
      </c>
      <c r="B999" s="1">
        <f>DATE(2012,9,10) + TIME(19,21,37)</f>
        <v>41162.80667824074</v>
      </c>
      <c r="C999">
        <v>80</v>
      </c>
      <c r="D999">
        <v>79.905158997000001</v>
      </c>
      <c r="E999">
        <v>50</v>
      </c>
      <c r="F999">
        <v>43.290470122999999</v>
      </c>
      <c r="G999">
        <v>1354.7449951000001</v>
      </c>
      <c r="H999">
        <v>1347.8142089999999</v>
      </c>
      <c r="I999">
        <v>1310.9200439000001</v>
      </c>
      <c r="J999">
        <v>1300.8732910000001</v>
      </c>
      <c r="K999">
        <v>1100</v>
      </c>
      <c r="L999">
        <v>0</v>
      </c>
      <c r="M999">
        <v>0</v>
      </c>
      <c r="N999">
        <v>1100</v>
      </c>
    </row>
    <row r="1000" spans="1:14" x14ac:dyDescent="0.25">
      <c r="A1000">
        <v>866.39199199999996</v>
      </c>
      <c r="B1000" s="1">
        <f>DATE(2012,9,13) + TIME(9,24,28)</f>
        <v>41165.39199074074</v>
      </c>
      <c r="C1000">
        <v>80</v>
      </c>
      <c r="D1000">
        <v>79.905242920000006</v>
      </c>
      <c r="E1000">
        <v>50</v>
      </c>
      <c r="F1000">
        <v>43.342136383000003</v>
      </c>
      <c r="G1000">
        <v>1354.7094727000001</v>
      </c>
      <c r="H1000">
        <v>1347.7858887</v>
      </c>
      <c r="I1000">
        <v>1310.8964844</v>
      </c>
      <c r="J1000">
        <v>1300.8226318</v>
      </c>
      <c r="K1000">
        <v>1100</v>
      </c>
      <c r="L1000">
        <v>0</v>
      </c>
      <c r="M1000">
        <v>0</v>
      </c>
      <c r="N1000">
        <v>1100</v>
      </c>
    </row>
    <row r="1001" spans="1:14" x14ac:dyDescent="0.25">
      <c r="A1001">
        <v>868.98853299999996</v>
      </c>
      <c r="B1001" s="1">
        <f>DATE(2012,9,15) + TIME(23,43,29)</f>
        <v>41167.988530092596</v>
      </c>
      <c r="C1001">
        <v>80</v>
      </c>
      <c r="D1001">
        <v>79.905319214000002</v>
      </c>
      <c r="E1001">
        <v>50</v>
      </c>
      <c r="F1001">
        <v>43.410457610999998</v>
      </c>
      <c r="G1001">
        <v>1354.6737060999999</v>
      </c>
      <c r="H1001">
        <v>1347.7573242000001</v>
      </c>
      <c r="I1001">
        <v>1310.8747559000001</v>
      </c>
      <c r="J1001">
        <v>1300.7758789</v>
      </c>
      <c r="K1001">
        <v>1100</v>
      </c>
      <c r="L1001">
        <v>0</v>
      </c>
      <c r="M1001">
        <v>0</v>
      </c>
      <c r="N1001">
        <v>1100</v>
      </c>
    </row>
    <row r="1002" spans="1:14" x14ac:dyDescent="0.25">
      <c r="A1002">
        <v>871.59260300000005</v>
      </c>
      <c r="B1002" s="1">
        <f>DATE(2012,9,18) + TIME(14,13,20)</f>
        <v>41170.592592592591</v>
      </c>
      <c r="C1002">
        <v>80</v>
      </c>
      <c r="D1002">
        <v>79.905403136999993</v>
      </c>
      <c r="E1002">
        <v>50</v>
      </c>
      <c r="F1002">
        <v>43.495807648000003</v>
      </c>
      <c r="G1002">
        <v>1354.6381836</v>
      </c>
      <c r="H1002">
        <v>1347.7288818</v>
      </c>
      <c r="I1002">
        <v>1310.8553466999999</v>
      </c>
      <c r="J1002">
        <v>1300.7336425999999</v>
      </c>
      <c r="K1002">
        <v>1100</v>
      </c>
      <c r="L1002">
        <v>0</v>
      </c>
      <c r="M1002">
        <v>0</v>
      </c>
      <c r="N1002">
        <v>1100</v>
      </c>
    </row>
    <row r="1003" spans="1:14" x14ac:dyDescent="0.25">
      <c r="A1003">
        <v>874.21285799999998</v>
      </c>
      <c r="B1003" s="1">
        <f>DATE(2012,9,21) + TIME(5,6,30)</f>
        <v>41173.212847222225</v>
      </c>
      <c r="C1003">
        <v>80</v>
      </c>
      <c r="D1003">
        <v>79.905487061000002</v>
      </c>
      <c r="E1003">
        <v>50</v>
      </c>
      <c r="F1003">
        <v>43.598510742000002</v>
      </c>
      <c r="G1003">
        <v>1354.6030272999999</v>
      </c>
      <c r="H1003">
        <v>1347.7005615</v>
      </c>
      <c r="I1003">
        <v>1310.8381348</v>
      </c>
      <c r="J1003">
        <v>1300.6961670000001</v>
      </c>
      <c r="K1003">
        <v>1100</v>
      </c>
      <c r="L1003">
        <v>0</v>
      </c>
      <c r="M1003">
        <v>0</v>
      </c>
      <c r="N1003">
        <v>1100</v>
      </c>
    </row>
    <row r="1004" spans="1:14" x14ac:dyDescent="0.25">
      <c r="A1004">
        <v>876.85894099999996</v>
      </c>
      <c r="B1004" s="1">
        <f>DATE(2012,9,23) + TIME(20,36,52)</f>
        <v>41175.858935185184</v>
      </c>
      <c r="C1004">
        <v>80</v>
      </c>
      <c r="D1004">
        <v>79.905570983999993</v>
      </c>
      <c r="E1004">
        <v>50</v>
      </c>
      <c r="F1004">
        <v>43.719013214</v>
      </c>
      <c r="G1004">
        <v>1354.5679932</v>
      </c>
      <c r="H1004">
        <v>1347.6723632999999</v>
      </c>
      <c r="I1004">
        <v>1310.8233643000001</v>
      </c>
      <c r="J1004">
        <v>1300.6636963000001</v>
      </c>
      <c r="K1004">
        <v>1100</v>
      </c>
      <c r="L1004">
        <v>0</v>
      </c>
      <c r="M1004">
        <v>0</v>
      </c>
      <c r="N1004">
        <v>1100</v>
      </c>
    </row>
    <row r="1005" spans="1:14" x14ac:dyDescent="0.25">
      <c r="A1005">
        <v>879.54052100000001</v>
      </c>
      <c r="B1005" s="1">
        <f>DATE(2012,9,26) + TIME(12,58,21)</f>
        <v>41178.540520833332</v>
      </c>
      <c r="C1005">
        <v>80</v>
      </c>
      <c r="D1005">
        <v>79.905662536999998</v>
      </c>
      <c r="E1005">
        <v>50</v>
      </c>
      <c r="F1005">
        <v>43.857822417999998</v>
      </c>
      <c r="G1005">
        <v>1354.5329589999999</v>
      </c>
      <c r="H1005">
        <v>1347.6441649999999</v>
      </c>
      <c r="I1005">
        <v>1310.8109131000001</v>
      </c>
      <c r="J1005">
        <v>1300.6363524999999</v>
      </c>
      <c r="K1005">
        <v>1100</v>
      </c>
      <c r="L1005">
        <v>0</v>
      </c>
      <c r="M1005">
        <v>0</v>
      </c>
      <c r="N1005">
        <v>1100</v>
      </c>
    </row>
    <row r="1006" spans="1:14" x14ac:dyDescent="0.25">
      <c r="A1006">
        <v>882.26747999999998</v>
      </c>
      <c r="B1006" s="1">
        <f>DATE(2012,9,29) + TIME(6,25,10)</f>
        <v>41181.267476851855</v>
      </c>
      <c r="C1006">
        <v>80</v>
      </c>
      <c r="D1006">
        <v>79.905754088999998</v>
      </c>
      <c r="E1006">
        <v>50</v>
      </c>
      <c r="F1006">
        <v>44.015522003000001</v>
      </c>
      <c r="G1006">
        <v>1354.4980469</v>
      </c>
      <c r="H1006">
        <v>1347.6158447</v>
      </c>
      <c r="I1006">
        <v>1310.8007812000001</v>
      </c>
      <c r="J1006">
        <v>1300.6140137</v>
      </c>
      <c r="K1006">
        <v>1100</v>
      </c>
      <c r="L1006">
        <v>0</v>
      </c>
      <c r="M1006">
        <v>0</v>
      </c>
      <c r="N1006">
        <v>1100</v>
      </c>
    </row>
    <row r="1007" spans="1:14" x14ac:dyDescent="0.25">
      <c r="A1007">
        <v>884</v>
      </c>
      <c r="B1007" s="1">
        <f>DATE(2012,10,1) + TIME(0,0,0)</f>
        <v>41183</v>
      </c>
      <c r="C1007">
        <v>80</v>
      </c>
      <c r="D1007">
        <v>79.905792235999996</v>
      </c>
      <c r="E1007">
        <v>50</v>
      </c>
      <c r="F1007">
        <v>44.159278870000001</v>
      </c>
      <c r="G1007">
        <v>1354.4627685999999</v>
      </c>
      <c r="H1007">
        <v>1347.5872803</v>
      </c>
      <c r="I1007">
        <v>1310.7979736</v>
      </c>
      <c r="J1007">
        <v>1300.5996094</v>
      </c>
      <c r="K1007">
        <v>1100</v>
      </c>
      <c r="L1007">
        <v>0</v>
      </c>
      <c r="M1007">
        <v>0</v>
      </c>
      <c r="N1007">
        <v>1100</v>
      </c>
    </row>
    <row r="1008" spans="1:14" x14ac:dyDescent="0.25">
      <c r="A1008">
        <v>886.79675199999997</v>
      </c>
      <c r="B1008" s="1">
        <f>DATE(2012,10,3) + TIME(19,7,19)</f>
        <v>41185.796747685185</v>
      </c>
      <c r="C1008">
        <v>80</v>
      </c>
      <c r="D1008">
        <v>79.905899047999995</v>
      </c>
      <c r="E1008">
        <v>50</v>
      </c>
      <c r="F1008">
        <v>44.327617644999997</v>
      </c>
      <c r="G1008">
        <v>1354.4406738</v>
      </c>
      <c r="H1008">
        <v>1347.5693358999999</v>
      </c>
      <c r="I1008">
        <v>1310.7878418</v>
      </c>
      <c r="J1008">
        <v>1300.5891113</v>
      </c>
      <c r="K1008">
        <v>1100</v>
      </c>
      <c r="L1008">
        <v>0</v>
      </c>
      <c r="M1008">
        <v>0</v>
      </c>
      <c r="N1008">
        <v>1100</v>
      </c>
    </row>
    <row r="1009" spans="1:14" x14ac:dyDescent="0.25">
      <c r="A1009">
        <v>889.70629799999995</v>
      </c>
      <c r="B1009" s="1">
        <f>DATE(2012,10,6) + TIME(16,57,4)</f>
        <v>41188.706296296295</v>
      </c>
      <c r="C1009">
        <v>80</v>
      </c>
      <c r="D1009">
        <v>79.906005859000004</v>
      </c>
      <c r="E1009">
        <v>50</v>
      </c>
      <c r="F1009">
        <v>44.529113770000002</v>
      </c>
      <c r="G1009">
        <v>1354.4053954999999</v>
      </c>
      <c r="H1009">
        <v>1347.5406493999999</v>
      </c>
      <c r="I1009">
        <v>1310.7849120999999</v>
      </c>
      <c r="J1009">
        <v>1300.5810547000001</v>
      </c>
      <c r="K1009">
        <v>1100</v>
      </c>
      <c r="L1009">
        <v>0</v>
      </c>
      <c r="M1009">
        <v>0</v>
      </c>
      <c r="N1009">
        <v>1100</v>
      </c>
    </row>
    <row r="1010" spans="1:14" x14ac:dyDescent="0.25">
      <c r="A1010">
        <v>892.65651600000001</v>
      </c>
      <c r="B1010" s="1">
        <f>DATE(2012,10,9) + TIME(15,45,23)</f>
        <v>41191.6565162037</v>
      </c>
      <c r="C1010">
        <v>80</v>
      </c>
      <c r="D1010">
        <v>79.906105041999993</v>
      </c>
      <c r="E1010">
        <v>50</v>
      </c>
      <c r="F1010">
        <v>44.756298065000003</v>
      </c>
      <c r="G1010">
        <v>1354.3692627</v>
      </c>
      <c r="H1010">
        <v>1347.5112305</v>
      </c>
      <c r="I1010">
        <v>1310.7841797000001</v>
      </c>
      <c r="J1010">
        <v>1300.5784911999999</v>
      </c>
      <c r="K1010">
        <v>1100</v>
      </c>
      <c r="L1010">
        <v>0</v>
      </c>
      <c r="M1010">
        <v>0</v>
      </c>
      <c r="N1010">
        <v>1100</v>
      </c>
    </row>
    <row r="1011" spans="1:14" x14ac:dyDescent="0.25">
      <c r="A1011">
        <v>895.65771600000005</v>
      </c>
      <c r="B1011" s="1">
        <f>DATE(2012,10,12) + TIME(15,47,6)</f>
        <v>41194.657708333332</v>
      </c>
      <c r="C1011">
        <v>80</v>
      </c>
      <c r="D1011">
        <v>79.906211853000002</v>
      </c>
      <c r="E1011">
        <v>50</v>
      </c>
      <c r="F1011">
        <v>45.004268646</v>
      </c>
      <c r="G1011">
        <v>1354.3330077999999</v>
      </c>
      <c r="H1011">
        <v>1347.4816894999999</v>
      </c>
      <c r="I1011">
        <v>1310.7857666</v>
      </c>
      <c r="J1011">
        <v>1300.581543</v>
      </c>
      <c r="K1011">
        <v>1100</v>
      </c>
      <c r="L1011">
        <v>0</v>
      </c>
      <c r="M1011">
        <v>0</v>
      </c>
      <c r="N1011">
        <v>1100</v>
      </c>
    </row>
    <row r="1012" spans="1:14" x14ac:dyDescent="0.25">
      <c r="A1012">
        <v>898.69330500000001</v>
      </c>
      <c r="B1012" s="1">
        <f>DATE(2012,10,15) + TIME(16,38,21)</f>
        <v>41197.693298611113</v>
      </c>
      <c r="C1012">
        <v>80</v>
      </c>
      <c r="D1012">
        <v>79.906318665000001</v>
      </c>
      <c r="E1012">
        <v>50</v>
      </c>
      <c r="F1012">
        <v>45.270030974999997</v>
      </c>
      <c r="G1012">
        <v>1354.296875</v>
      </c>
      <c r="H1012">
        <v>1347.4520264</v>
      </c>
      <c r="I1012">
        <v>1310.7897949000001</v>
      </c>
      <c r="J1012">
        <v>1300.5904541</v>
      </c>
      <c r="K1012">
        <v>1100</v>
      </c>
      <c r="L1012">
        <v>0</v>
      </c>
      <c r="M1012">
        <v>0</v>
      </c>
      <c r="N1012">
        <v>1100</v>
      </c>
    </row>
    <row r="1013" spans="1:14" x14ac:dyDescent="0.25">
      <c r="A1013">
        <v>901.77241300000003</v>
      </c>
      <c r="B1013" s="1">
        <f>DATE(2012,10,18) + TIME(18,32,16)</f>
        <v>41200.772407407407</v>
      </c>
      <c r="C1013">
        <v>80</v>
      </c>
      <c r="D1013">
        <v>79.906425475999995</v>
      </c>
      <c r="E1013">
        <v>50</v>
      </c>
      <c r="F1013">
        <v>45.551231383999998</v>
      </c>
      <c r="G1013">
        <v>1354.2607422000001</v>
      </c>
      <c r="H1013">
        <v>1347.4226074000001</v>
      </c>
      <c r="I1013">
        <v>1310.7963867000001</v>
      </c>
      <c r="J1013">
        <v>1300.6047363</v>
      </c>
      <c r="K1013">
        <v>1100</v>
      </c>
      <c r="L1013">
        <v>0</v>
      </c>
      <c r="M1013">
        <v>0</v>
      </c>
      <c r="N1013">
        <v>1100</v>
      </c>
    </row>
    <row r="1014" spans="1:14" x14ac:dyDescent="0.25">
      <c r="A1014">
        <v>904.90451299999995</v>
      </c>
      <c r="B1014" s="1">
        <f>DATE(2012,10,21) + TIME(21,42,29)</f>
        <v>41203.904502314814</v>
      </c>
      <c r="C1014">
        <v>80</v>
      </c>
      <c r="D1014">
        <v>79.906539917000003</v>
      </c>
      <c r="E1014">
        <v>50</v>
      </c>
      <c r="F1014">
        <v>45.846370696999998</v>
      </c>
      <c r="G1014">
        <v>1354.2248535000001</v>
      </c>
      <c r="H1014">
        <v>1347.3931885</v>
      </c>
      <c r="I1014">
        <v>1310.8052978999999</v>
      </c>
      <c r="J1014">
        <v>1300.6243896000001</v>
      </c>
      <c r="K1014">
        <v>1100</v>
      </c>
      <c r="L1014">
        <v>0</v>
      </c>
      <c r="M1014">
        <v>0</v>
      </c>
      <c r="N1014">
        <v>1100</v>
      </c>
    </row>
    <row r="1015" spans="1:14" x14ac:dyDescent="0.25">
      <c r="A1015">
        <v>908.09961299999998</v>
      </c>
      <c r="B1015" s="1">
        <f>DATE(2012,10,25) + TIME(2,23,26)</f>
        <v>41207.099606481483</v>
      </c>
      <c r="C1015">
        <v>80</v>
      </c>
      <c r="D1015">
        <v>79.906654357999997</v>
      </c>
      <c r="E1015">
        <v>50</v>
      </c>
      <c r="F1015">
        <v>46.154262543000002</v>
      </c>
      <c r="G1015">
        <v>1354.1889647999999</v>
      </c>
      <c r="H1015">
        <v>1347.3638916</v>
      </c>
      <c r="I1015">
        <v>1310.8167725000001</v>
      </c>
      <c r="J1015">
        <v>1300.6492920000001</v>
      </c>
      <c r="K1015">
        <v>1100</v>
      </c>
      <c r="L1015">
        <v>0</v>
      </c>
      <c r="M1015">
        <v>0</v>
      </c>
      <c r="N1015">
        <v>1100</v>
      </c>
    </row>
    <row r="1016" spans="1:14" x14ac:dyDescent="0.25">
      <c r="A1016">
        <v>911.32865500000003</v>
      </c>
      <c r="B1016" s="1">
        <f>DATE(2012,10,28) + TIME(7,53,15)</f>
        <v>41210.328645833331</v>
      </c>
      <c r="C1016">
        <v>80</v>
      </c>
      <c r="D1016">
        <v>79.906768799000005</v>
      </c>
      <c r="E1016">
        <v>50</v>
      </c>
      <c r="F1016">
        <v>46.472522736000002</v>
      </c>
      <c r="G1016">
        <v>1354.1530762</v>
      </c>
      <c r="H1016">
        <v>1347.3344727000001</v>
      </c>
      <c r="I1016">
        <v>1310.8308105000001</v>
      </c>
      <c r="J1016">
        <v>1300.6790771000001</v>
      </c>
      <c r="K1016">
        <v>1100</v>
      </c>
      <c r="L1016">
        <v>0</v>
      </c>
      <c r="M1016">
        <v>0</v>
      </c>
      <c r="N1016">
        <v>1100</v>
      </c>
    </row>
    <row r="1017" spans="1:14" x14ac:dyDescent="0.25">
      <c r="A1017">
        <v>914.57881199999997</v>
      </c>
      <c r="B1017" s="1">
        <f>DATE(2012,10,31) + TIME(13,53,29)</f>
        <v>41213.57880787037</v>
      </c>
      <c r="C1017">
        <v>80</v>
      </c>
      <c r="D1017">
        <v>79.906883239999999</v>
      </c>
      <c r="E1017">
        <v>50</v>
      </c>
      <c r="F1017">
        <v>46.797550201</v>
      </c>
      <c r="G1017">
        <v>1354.1174315999999</v>
      </c>
      <c r="H1017">
        <v>1347.3052978999999</v>
      </c>
      <c r="I1017">
        <v>1310.8470459</v>
      </c>
      <c r="J1017">
        <v>1300.713501</v>
      </c>
      <c r="K1017">
        <v>1100</v>
      </c>
      <c r="L1017">
        <v>0</v>
      </c>
      <c r="M1017">
        <v>0</v>
      </c>
      <c r="N1017">
        <v>1100</v>
      </c>
    </row>
    <row r="1018" spans="1:14" x14ac:dyDescent="0.25">
      <c r="A1018">
        <v>915</v>
      </c>
      <c r="B1018" s="1">
        <f>DATE(2012,11,1) + TIME(0,0,0)</f>
        <v>41214</v>
      </c>
      <c r="C1018">
        <v>80</v>
      </c>
      <c r="D1018">
        <v>79.906883239999999</v>
      </c>
      <c r="E1018">
        <v>50</v>
      </c>
      <c r="F1018">
        <v>46.897865295000003</v>
      </c>
      <c r="G1018">
        <v>1354.0830077999999</v>
      </c>
      <c r="H1018">
        <v>1347.2773437999999</v>
      </c>
      <c r="I1018">
        <v>1310.8842772999999</v>
      </c>
      <c r="J1018">
        <v>1300.744751</v>
      </c>
      <c r="K1018">
        <v>1100</v>
      </c>
      <c r="L1018">
        <v>0</v>
      </c>
      <c r="M1018">
        <v>0</v>
      </c>
      <c r="N1018">
        <v>1100</v>
      </c>
    </row>
    <row r="1019" spans="1:14" x14ac:dyDescent="0.25">
      <c r="A1019">
        <v>915.000001</v>
      </c>
      <c r="B1019" s="1">
        <f>DATE(2012,11,1) + TIME(0,0,0)</f>
        <v>41214</v>
      </c>
      <c r="C1019">
        <v>80</v>
      </c>
      <c r="D1019">
        <v>79.906822204999997</v>
      </c>
      <c r="E1019">
        <v>50</v>
      </c>
      <c r="F1019">
        <v>46.897922516000001</v>
      </c>
      <c r="G1019">
        <v>1346.8779297000001</v>
      </c>
      <c r="H1019">
        <v>1342.0791016000001</v>
      </c>
      <c r="I1019">
        <v>1321.5762939000001</v>
      </c>
      <c r="J1019">
        <v>1311.3270264</v>
      </c>
      <c r="K1019">
        <v>0</v>
      </c>
      <c r="L1019">
        <v>1100</v>
      </c>
      <c r="M1019">
        <v>1100</v>
      </c>
      <c r="N1019">
        <v>0</v>
      </c>
    </row>
    <row r="1020" spans="1:14" x14ac:dyDescent="0.25">
      <c r="A1020">
        <v>915.00000399999999</v>
      </c>
      <c r="B1020" s="1">
        <f>DATE(2012,11,1) + TIME(0,0,0)</f>
        <v>41214</v>
      </c>
      <c r="C1020">
        <v>80</v>
      </c>
      <c r="D1020">
        <v>79.906677246000001</v>
      </c>
      <c r="E1020">
        <v>50</v>
      </c>
      <c r="F1020">
        <v>46.898075104</v>
      </c>
      <c r="G1020">
        <v>1345.8686522999999</v>
      </c>
      <c r="H1020">
        <v>1341.0693358999999</v>
      </c>
      <c r="I1020">
        <v>1322.6793213000001</v>
      </c>
      <c r="J1020">
        <v>1312.5134277</v>
      </c>
      <c r="K1020">
        <v>0</v>
      </c>
      <c r="L1020">
        <v>1100</v>
      </c>
      <c r="M1020">
        <v>1100</v>
      </c>
      <c r="N1020">
        <v>0</v>
      </c>
    </row>
    <row r="1021" spans="1:14" x14ac:dyDescent="0.25">
      <c r="A1021">
        <v>915.00001299999997</v>
      </c>
      <c r="B1021" s="1">
        <f>DATE(2012,11,1) + TIME(0,0,1)</f>
        <v>41214.000011574077</v>
      </c>
      <c r="C1021">
        <v>80</v>
      </c>
      <c r="D1021">
        <v>79.906387328999998</v>
      </c>
      <c r="E1021">
        <v>50</v>
      </c>
      <c r="F1021">
        <v>46.898429870999998</v>
      </c>
      <c r="G1021">
        <v>1343.8308105000001</v>
      </c>
      <c r="H1021">
        <v>1339.0311279</v>
      </c>
      <c r="I1021">
        <v>1325.2332764</v>
      </c>
      <c r="J1021">
        <v>1315.2028809000001</v>
      </c>
      <c r="K1021">
        <v>0</v>
      </c>
      <c r="L1021">
        <v>1100</v>
      </c>
      <c r="M1021">
        <v>1100</v>
      </c>
      <c r="N1021">
        <v>0</v>
      </c>
    </row>
    <row r="1022" spans="1:14" x14ac:dyDescent="0.25">
      <c r="A1022">
        <v>915.00004000000001</v>
      </c>
      <c r="B1022" s="1">
        <f>DATE(2012,11,1) + TIME(0,0,3)</f>
        <v>41214.000034722223</v>
      </c>
      <c r="C1022">
        <v>80</v>
      </c>
      <c r="D1022">
        <v>79.905960082999997</v>
      </c>
      <c r="E1022">
        <v>50</v>
      </c>
      <c r="F1022">
        <v>46.899040221999996</v>
      </c>
      <c r="G1022">
        <v>1340.8518065999999</v>
      </c>
      <c r="H1022">
        <v>1336.0531006000001</v>
      </c>
      <c r="I1022">
        <v>1329.6800536999999</v>
      </c>
      <c r="J1022">
        <v>1319.7279053</v>
      </c>
      <c r="K1022">
        <v>0</v>
      </c>
      <c r="L1022">
        <v>1100</v>
      </c>
      <c r="M1022">
        <v>1100</v>
      </c>
      <c r="N1022">
        <v>0</v>
      </c>
    </row>
    <row r="1023" spans="1:14" x14ac:dyDescent="0.25">
      <c r="A1023">
        <v>915.00012100000004</v>
      </c>
      <c r="B1023" s="1">
        <f>DATE(2012,11,1) + TIME(0,0,10)</f>
        <v>41214.000115740739</v>
      </c>
      <c r="C1023">
        <v>80</v>
      </c>
      <c r="D1023">
        <v>79.905479431000003</v>
      </c>
      <c r="E1023">
        <v>50</v>
      </c>
      <c r="F1023">
        <v>46.899887085000003</v>
      </c>
      <c r="G1023">
        <v>1337.5316161999999</v>
      </c>
      <c r="H1023">
        <v>1332.7344971</v>
      </c>
      <c r="I1023">
        <v>1335.3480225000001</v>
      </c>
      <c r="J1023">
        <v>1325.3831786999999</v>
      </c>
      <c r="K1023">
        <v>0</v>
      </c>
      <c r="L1023">
        <v>1100</v>
      </c>
      <c r="M1023">
        <v>1100</v>
      </c>
      <c r="N1023">
        <v>0</v>
      </c>
    </row>
    <row r="1024" spans="1:14" x14ac:dyDescent="0.25">
      <c r="A1024">
        <v>915.00036399999999</v>
      </c>
      <c r="B1024" s="1">
        <f>DATE(2012,11,1) + TIME(0,0,31)</f>
        <v>41214.000358796293</v>
      </c>
      <c r="C1024">
        <v>80</v>
      </c>
      <c r="D1024">
        <v>79.904960631999998</v>
      </c>
      <c r="E1024">
        <v>50</v>
      </c>
      <c r="F1024">
        <v>46.901069640999999</v>
      </c>
      <c r="G1024">
        <v>1334.1665039</v>
      </c>
      <c r="H1024">
        <v>1329.3516846</v>
      </c>
      <c r="I1024">
        <v>1341.3566894999999</v>
      </c>
      <c r="J1024">
        <v>1331.3621826000001</v>
      </c>
      <c r="K1024">
        <v>0</v>
      </c>
      <c r="L1024">
        <v>1100</v>
      </c>
      <c r="M1024">
        <v>1100</v>
      </c>
      <c r="N1024">
        <v>0</v>
      </c>
    </row>
    <row r="1025" spans="1:14" x14ac:dyDescent="0.25">
      <c r="A1025">
        <v>915.00109299999997</v>
      </c>
      <c r="B1025" s="1">
        <f>DATE(2012,11,1) + TIME(0,1,34)</f>
        <v>41214.001087962963</v>
      </c>
      <c r="C1025">
        <v>80</v>
      </c>
      <c r="D1025">
        <v>79.904327393000003</v>
      </c>
      <c r="E1025">
        <v>50</v>
      </c>
      <c r="F1025">
        <v>46.903141022</v>
      </c>
      <c r="G1025">
        <v>1330.6961670000001</v>
      </c>
      <c r="H1025">
        <v>1325.7883300999999</v>
      </c>
      <c r="I1025">
        <v>1347.4700928</v>
      </c>
      <c r="J1025">
        <v>1337.4394531</v>
      </c>
      <c r="K1025">
        <v>0</v>
      </c>
      <c r="L1025">
        <v>1100</v>
      </c>
      <c r="M1025">
        <v>1100</v>
      </c>
      <c r="N1025">
        <v>0</v>
      </c>
    </row>
    <row r="1026" spans="1:14" x14ac:dyDescent="0.25">
      <c r="A1026">
        <v>915.00328000000002</v>
      </c>
      <c r="B1026" s="1">
        <f>DATE(2012,11,1) + TIME(0,4,43)</f>
        <v>41214.003275462965</v>
      </c>
      <c r="C1026">
        <v>80</v>
      </c>
      <c r="D1026">
        <v>79.903396606000001</v>
      </c>
      <c r="E1026">
        <v>50</v>
      </c>
      <c r="F1026">
        <v>46.907833099000001</v>
      </c>
      <c r="G1026">
        <v>1327.1578368999999</v>
      </c>
      <c r="H1026">
        <v>1322.083374</v>
      </c>
      <c r="I1026">
        <v>1353.3171387</v>
      </c>
      <c r="J1026">
        <v>1343.2164307</v>
      </c>
      <c r="K1026">
        <v>0</v>
      </c>
      <c r="L1026">
        <v>1100</v>
      </c>
      <c r="M1026">
        <v>1100</v>
      </c>
      <c r="N1026">
        <v>0</v>
      </c>
    </row>
    <row r="1027" spans="1:14" x14ac:dyDescent="0.25">
      <c r="A1027">
        <v>915.00984100000005</v>
      </c>
      <c r="B1027" s="1">
        <f>DATE(2012,11,1) + TIME(0,14,10)</f>
        <v>41214.009837962964</v>
      </c>
      <c r="C1027">
        <v>80</v>
      </c>
      <c r="D1027">
        <v>79.901657103999995</v>
      </c>
      <c r="E1027">
        <v>50</v>
      </c>
      <c r="F1027">
        <v>46.920379638999997</v>
      </c>
      <c r="G1027">
        <v>1324.027832</v>
      </c>
      <c r="H1027">
        <v>1318.8314209</v>
      </c>
      <c r="I1027">
        <v>1357.9182129000001</v>
      </c>
      <c r="J1027">
        <v>1347.7313231999999</v>
      </c>
      <c r="K1027">
        <v>0</v>
      </c>
      <c r="L1027">
        <v>1100</v>
      </c>
      <c r="M1027">
        <v>1100</v>
      </c>
      <c r="N1027">
        <v>0</v>
      </c>
    </row>
    <row r="1028" spans="1:14" x14ac:dyDescent="0.25">
      <c r="A1028">
        <v>915.02952400000004</v>
      </c>
      <c r="B1028" s="1">
        <f>DATE(2012,11,1) + TIME(0,42,30)</f>
        <v>41214.029513888891</v>
      </c>
      <c r="C1028">
        <v>80</v>
      </c>
      <c r="D1028">
        <v>79.897476196</v>
      </c>
      <c r="E1028">
        <v>50</v>
      </c>
      <c r="F1028">
        <v>46.956436156999999</v>
      </c>
      <c r="G1028">
        <v>1321.8936768000001</v>
      </c>
      <c r="H1028">
        <v>1316.6578368999999</v>
      </c>
      <c r="I1028">
        <v>1360.5413818</v>
      </c>
      <c r="J1028">
        <v>1350.2989502</v>
      </c>
      <c r="K1028">
        <v>0</v>
      </c>
      <c r="L1028">
        <v>1100</v>
      </c>
      <c r="M1028">
        <v>1100</v>
      </c>
      <c r="N1028">
        <v>0</v>
      </c>
    </row>
    <row r="1029" spans="1:14" x14ac:dyDescent="0.25">
      <c r="A1029">
        <v>915.088573</v>
      </c>
      <c r="B1029" s="1">
        <f>DATE(2012,11,1) + TIME(2,7,32)</f>
        <v>41214.088564814818</v>
      </c>
      <c r="C1029">
        <v>80</v>
      </c>
      <c r="D1029">
        <v>79.885955811000002</v>
      </c>
      <c r="E1029">
        <v>50</v>
      </c>
      <c r="F1029">
        <v>47.060180664000001</v>
      </c>
      <c r="G1029">
        <v>1320.8909911999999</v>
      </c>
      <c r="H1029">
        <v>1315.6481934000001</v>
      </c>
      <c r="I1029">
        <v>1361.4221190999999</v>
      </c>
      <c r="J1029">
        <v>1351.1813964999999</v>
      </c>
      <c r="K1029">
        <v>0</v>
      </c>
      <c r="L1029">
        <v>1100</v>
      </c>
      <c r="M1029">
        <v>1100</v>
      </c>
      <c r="N1029">
        <v>0</v>
      </c>
    </row>
    <row r="1030" spans="1:14" x14ac:dyDescent="0.25">
      <c r="A1030">
        <v>915.20539099999996</v>
      </c>
      <c r="B1030" s="1">
        <f>DATE(2012,11,1) + TIME(4,55,45)</f>
        <v>41214.205381944441</v>
      </c>
      <c r="C1030">
        <v>80</v>
      </c>
      <c r="D1030">
        <v>79.864234924000002</v>
      </c>
      <c r="E1030">
        <v>50</v>
      </c>
      <c r="F1030">
        <v>47.251289368000002</v>
      </c>
      <c r="G1030">
        <v>1320.6367187999999</v>
      </c>
      <c r="H1030">
        <v>1315.3930664</v>
      </c>
      <c r="I1030">
        <v>1361.4461670000001</v>
      </c>
      <c r="J1030">
        <v>1351.2512207</v>
      </c>
      <c r="K1030">
        <v>0</v>
      </c>
      <c r="L1030">
        <v>1100</v>
      </c>
      <c r="M1030">
        <v>1100</v>
      </c>
      <c r="N1030">
        <v>0</v>
      </c>
    </row>
    <row r="1031" spans="1:14" x14ac:dyDescent="0.25">
      <c r="A1031">
        <v>915.32714099999998</v>
      </c>
      <c r="B1031" s="1">
        <f>DATE(2012,11,1) + TIME(7,51,5)</f>
        <v>41214.327141203707</v>
      </c>
      <c r="C1031">
        <v>80</v>
      </c>
      <c r="D1031">
        <v>79.842056274000001</v>
      </c>
      <c r="E1031">
        <v>50</v>
      </c>
      <c r="F1031">
        <v>47.436439514</v>
      </c>
      <c r="G1031">
        <v>1320.5924072</v>
      </c>
      <c r="H1031">
        <v>1315.3482666</v>
      </c>
      <c r="I1031">
        <v>1361.3511963000001</v>
      </c>
      <c r="J1031">
        <v>1351.2004394999999</v>
      </c>
      <c r="K1031">
        <v>0</v>
      </c>
      <c r="L1031">
        <v>1100</v>
      </c>
      <c r="M1031">
        <v>1100</v>
      </c>
      <c r="N1031">
        <v>0</v>
      </c>
    </row>
    <row r="1032" spans="1:14" x14ac:dyDescent="0.25">
      <c r="A1032">
        <v>915.45430799999997</v>
      </c>
      <c r="B1032" s="1">
        <f>DATE(2012,11,1) + TIME(10,54,12)</f>
        <v>41214.454305555555</v>
      </c>
      <c r="C1032">
        <v>80</v>
      </c>
      <c r="D1032">
        <v>79.819343567000004</v>
      </c>
      <c r="E1032">
        <v>50</v>
      </c>
      <c r="F1032">
        <v>47.615680695000002</v>
      </c>
      <c r="G1032">
        <v>1320.5814209</v>
      </c>
      <c r="H1032">
        <v>1315.3369141000001</v>
      </c>
      <c r="I1032">
        <v>1361.2531738</v>
      </c>
      <c r="J1032">
        <v>1351.1456298999999</v>
      </c>
      <c r="K1032">
        <v>0</v>
      </c>
      <c r="L1032">
        <v>1100</v>
      </c>
      <c r="M1032">
        <v>1100</v>
      </c>
      <c r="N1032">
        <v>0</v>
      </c>
    </row>
    <row r="1033" spans="1:14" x14ac:dyDescent="0.25">
      <c r="A1033">
        <v>915.58749699999998</v>
      </c>
      <c r="B1033" s="1">
        <f>DATE(2012,11,1) + TIME(14,5,59)</f>
        <v>41214.587488425925</v>
      </c>
      <c r="C1033">
        <v>80</v>
      </c>
      <c r="D1033">
        <v>79.796012877999999</v>
      </c>
      <c r="E1033">
        <v>50</v>
      </c>
      <c r="F1033">
        <v>47.789096831999998</v>
      </c>
      <c r="G1033">
        <v>1320.5764160000001</v>
      </c>
      <c r="H1033">
        <v>1315.331543</v>
      </c>
      <c r="I1033">
        <v>1361.159668</v>
      </c>
      <c r="J1033">
        <v>1351.0938721</v>
      </c>
      <c r="K1033">
        <v>0</v>
      </c>
      <c r="L1033">
        <v>1100</v>
      </c>
      <c r="M1033">
        <v>1100</v>
      </c>
      <c r="N1033">
        <v>0</v>
      </c>
    </row>
    <row r="1034" spans="1:14" x14ac:dyDescent="0.25">
      <c r="A1034">
        <v>915.72740899999997</v>
      </c>
      <c r="B1034" s="1">
        <f>DATE(2012,11,1) + TIME(17,27,28)</f>
        <v>41214.727407407408</v>
      </c>
      <c r="C1034">
        <v>80</v>
      </c>
      <c r="D1034">
        <v>79.771995544000006</v>
      </c>
      <c r="E1034">
        <v>50</v>
      </c>
      <c r="F1034">
        <v>47.956771850999999</v>
      </c>
      <c r="G1034">
        <v>1320.5725098</v>
      </c>
      <c r="H1034">
        <v>1315.3272704999999</v>
      </c>
      <c r="I1034">
        <v>1361.0695800999999</v>
      </c>
      <c r="J1034">
        <v>1351.0440673999999</v>
      </c>
      <c r="K1034">
        <v>0</v>
      </c>
      <c r="L1034">
        <v>1100</v>
      </c>
      <c r="M1034">
        <v>1100</v>
      </c>
      <c r="N1034">
        <v>0</v>
      </c>
    </row>
    <row r="1035" spans="1:14" x14ac:dyDescent="0.25">
      <c r="A1035">
        <v>915.87486699999999</v>
      </c>
      <c r="B1035" s="1">
        <f>DATE(2012,11,1) + TIME(20,59,48)</f>
        <v>41214.874861111108</v>
      </c>
      <c r="C1035">
        <v>80</v>
      </c>
      <c r="D1035">
        <v>79.747184752999999</v>
      </c>
      <c r="E1035">
        <v>50</v>
      </c>
      <c r="F1035">
        <v>48.118751525999997</v>
      </c>
      <c r="G1035">
        <v>1320.5687256000001</v>
      </c>
      <c r="H1035">
        <v>1315.3231201000001</v>
      </c>
      <c r="I1035">
        <v>1360.9822998</v>
      </c>
      <c r="J1035">
        <v>1350.9957274999999</v>
      </c>
      <c r="K1035">
        <v>0</v>
      </c>
      <c r="L1035">
        <v>1100</v>
      </c>
      <c r="M1035">
        <v>1100</v>
      </c>
      <c r="N1035">
        <v>0</v>
      </c>
    </row>
    <row r="1036" spans="1:14" x14ac:dyDescent="0.25">
      <c r="A1036">
        <v>916.03083900000001</v>
      </c>
      <c r="B1036" s="1">
        <f>DATE(2012,11,2) + TIME(0,44,24)</f>
        <v>41215.030833333331</v>
      </c>
      <c r="C1036">
        <v>80</v>
      </c>
      <c r="D1036">
        <v>79.721473693999997</v>
      </c>
      <c r="E1036">
        <v>50</v>
      </c>
      <c r="F1036">
        <v>48.27507782</v>
      </c>
      <c r="G1036">
        <v>1320.5648193</v>
      </c>
      <c r="H1036">
        <v>1315.3187256000001</v>
      </c>
      <c r="I1036">
        <v>1360.8975829999999</v>
      </c>
      <c r="J1036">
        <v>1350.9487305</v>
      </c>
      <c r="K1036">
        <v>0</v>
      </c>
      <c r="L1036">
        <v>1100</v>
      </c>
      <c r="M1036">
        <v>1100</v>
      </c>
      <c r="N1036">
        <v>0</v>
      </c>
    </row>
    <row r="1037" spans="1:14" x14ac:dyDescent="0.25">
      <c r="A1037">
        <v>916.19648299999994</v>
      </c>
      <c r="B1037" s="1">
        <f>DATE(2012,11,2) + TIME(4,42,56)</f>
        <v>41215.196481481478</v>
      </c>
      <c r="C1037">
        <v>80</v>
      </c>
      <c r="D1037">
        <v>79.694747925000001</v>
      </c>
      <c r="E1037">
        <v>50</v>
      </c>
      <c r="F1037">
        <v>48.425762177000003</v>
      </c>
      <c r="G1037">
        <v>1320.5606689000001</v>
      </c>
      <c r="H1037">
        <v>1315.3140868999999</v>
      </c>
      <c r="I1037">
        <v>1360.8153076000001</v>
      </c>
      <c r="J1037">
        <v>1350.9027100000001</v>
      </c>
      <c r="K1037">
        <v>0</v>
      </c>
      <c r="L1037">
        <v>1100</v>
      </c>
      <c r="M1037">
        <v>1100</v>
      </c>
      <c r="N1037">
        <v>0</v>
      </c>
    </row>
    <row r="1038" spans="1:14" x14ac:dyDescent="0.25">
      <c r="A1038">
        <v>916.37319500000001</v>
      </c>
      <c r="B1038" s="1">
        <f>DATE(2012,11,2) + TIME(8,57,24)</f>
        <v>41215.373194444444</v>
      </c>
      <c r="C1038">
        <v>80</v>
      </c>
      <c r="D1038">
        <v>79.666839600000003</v>
      </c>
      <c r="E1038">
        <v>50</v>
      </c>
      <c r="F1038">
        <v>48.570804596000002</v>
      </c>
      <c r="G1038">
        <v>1320.5563964999999</v>
      </c>
      <c r="H1038">
        <v>1315.3092041</v>
      </c>
      <c r="I1038">
        <v>1360.7352295000001</v>
      </c>
      <c r="J1038">
        <v>1350.8576660000001</v>
      </c>
      <c r="K1038">
        <v>0</v>
      </c>
      <c r="L1038">
        <v>1100</v>
      </c>
      <c r="M1038">
        <v>1100</v>
      </c>
      <c r="N1038">
        <v>0</v>
      </c>
    </row>
    <row r="1039" spans="1:14" x14ac:dyDescent="0.25">
      <c r="A1039">
        <v>916.56268</v>
      </c>
      <c r="B1039" s="1">
        <f>DATE(2012,11,2) + TIME(13,30,15)</f>
        <v>41215.562673611108</v>
      </c>
      <c r="C1039">
        <v>80</v>
      </c>
      <c r="D1039">
        <v>79.637565613000007</v>
      </c>
      <c r="E1039">
        <v>50</v>
      </c>
      <c r="F1039">
        <v>48.710170746000003</v>
      </c>
      <c r="G1039">
        <v>1320.5517577999999</v>
      </c>
      <c r="H1039">
        <v>1315.3039550999999</v>
      </c>
      <c r="I1039">
        <v>1360.6573486</v>
      </c>
      <c r="J1039">
        <v>1350.8135986</v>
      </c>
      <c r="K1039">
        <v>0</v>
      </c>
      <c r="L1039">
        <v>1100</v>
      </c>
      <c r="M1039">
        <v>1100</v>
      </c>
      <c r="N1039">
        <v>0</v>
      </c>
    </row>
    <row r="1040" spans="1:14" x14ac:dyDescent="0.25">
      <c r="A1040">
        <v>916.76704299999994</v>
      </c>
      <c r="B1040" s="1">
        <f>DATE(2012,11,2) + TIME(18,24,32)</f>
        <v>41215.76703703704</v>
      </c>
      <c r="C1040">
        <v>80</v>
      </c>
      <c r="D1040">
        <v>79.606712341000005</v>
      </c>
      <c r="E1040">
        <v>50</v>
      </c>
      <c r="F1040">
        <v>48.843807220000002</v>
      </c>
      <c r="G1040">
        <v>1320.5467529</v>
      </c>
      <c r="H1040">
        <v>1315.2983397999999</v>
      </c>
      <c r="I1040">
        <v>1360.5812988</v>
      </c>
      <c r="J1040">
        <v>1350.7703856999999</v>
      </c>
      <c r="K1040">
        <v>0</v>
      </c>
      <c r="L1040">
        <v>1100</v>
      </c>
      <c r="M1040">
        <v>1100</v>
      </c>
      <c r="N1040">
        <v>0</v>
      </c>
    </row>
    <row r="1041" spans="1:14" x14ac:dyDescent="0.25">
      <c r="A1041">
        <v>916.98893299999997</v>
      </c>
      <c r="B1041" s="1">
        <f>DATE(2012,11,2) + TIME(23,44,3)</f>
        <v>41215.988923611112</v>
      </c>
      <c r="C1041">
        <v>80</v>
      </c>
      <c r="D1041">
        <v>79.574005127000007</v>
      </c>
      <c r="E1041">
        <v>50</v>
      </c>
      <c r="F1041">
        <v>48.971626282000003</v>
      </c>
      <c r="G1041">
        <v>1320.5415039</v>
      </c>
      <c r="H1041">
        <v>1315.2922363</v>
      </c>
      <c r="I1041">
        <v>1360.5072021000001</v>
      </c>
      <c r="J1041">
        <v>1350.7277832</v>
      </c>
      <c r="K1041">
        <v>0</v>
      </c>
      <c r="L1041">
        <v>1100</v>
      </c>
      <c r="M1041">
        <v>1100</v>
      </c>
      <c r="N1041">
        <v>0</v>
      </c>
    </row>
    <row r="1042" spans="1:14" x14ac:dyDescent="0.25">
      <c r="A1042">
        <v>917.23168599999997</v>
      </c>
      <c r="B1042" s="1">
        <f>DATE(2012,11,3) + TIME(5,33,37)</f>
        <v>41216.231678240743</v>
      </c>
      <c r="C1042">
        <v>80</v>
      </c>
      <c r="D1042">
        <v>79.539093018000003</v>
      </c>
      <c r="E1042">
        <v>50</v>
      </c>
      <c r="F1042">
        <v>49.093479156000001</v>
      </c>
      <c r="G1042">
        <v>1320.5357666</v>
      </c>
      <c r="H1042">
        <v>1315.2856445</v>
      </c>
      <c r="I1042">
        <v>1360.4348144999999</v>
      </c>
      <c r="J1042">
        <v>1350.6859131000001</v>
      </c>
      <c r="K1042">
        <v>0</v>
      </c>
      <c r="L1042">
        <v>1100</v>
      </c>
      <c r="M1042">
        <v>1100</v>
      </c>
      <c r="N1042">
        <v>0</v>
      </c>
    </row>
    <row r="1043" spans="1:14" x14ac:dyDescent="0.25">
      <c r="A1043">
        <v>917.49973499999999</v>
      </c>
      <c r="B1043" s="1">
        <f>DATE(2012,11,3) + TIME(11,59,37)</f>
        <v>41216.4997337963</v>
      </c>
      <c r="C1043">
        <v>80</v>
      </c>
      <c r="D1043">
        <v>79.501548767000003</v>
      </c>
      <c r="E1043">
        <v>50</v>
      </c>
      <c r="F1043">
        <v>49.209209442000002</v>
      </c>
      <c r="G1043">
        <v>1320.5294189000001</v>
      </c>
      <c r="H1043">
        <v>1315.2784423999999</v>
      </c>
      <c r="I1043">
        <v>1360.3641356999999</v>
      </c>
      <c r="J1043">
        <v>1350.6445312000001</v>
      </c>
      <c r="K1043">
        <v>0</v>
      </c>
      <c r="L1043">
        <v>1100</v>
      </c>
      <c r="M1043">
        <v>1100</v>
      </c>
      <c r="N1043">
        <v>0</v>
      </c>
    </row>
    <row r="1044" spans="1:14" x14ac:dyDescent="0.25">
      <c r="A1044">
        <v>917.79898300000002</v>
      </c>
      <c r="B1044" s="1">
        <f>DATE(2012,11,3) + TIME(19,10,32)</f>
        <v>41216.798981481479</v>
      </c>
      <c r="C1044">
        <v>80</v>
      </c>
      <c r="D1044">
        <v>79.460777282999999</v>
      </c>
      <c r="E1044">
        <v>50</v>
      </c>
      <c r="F1044">
        <v>49.318599700999997</v>
      </c>
      <c r="G1044">
        <v>1320.5225829999999</v>
      </c>
      <c r="H1044">
        <v>1315.2705077999999</v>
      </c>
      <c r="I1044">
        <v>1360.2947998</v>
      </c>
      <c r="J1044">
        <v>1350.6036377</v>
      </c>
      <c r="K1044">
        <v>0</v>
      </c>
      <c r="L1044">
        <v>1100</v>
      </c>
      <c r="M1044">
        <v>1100</v>
      </c>
      <c r="N1044">
        <v>0</v>
      </c>
    </row>
    <row r="1045" spans="1:14" x14ac:dyDescent="0.25">
      <c r="A1045">
        <v>918.13752499999998</v>
      </c>
      <c r="B1045" s="1">
        <f>DATE(2012,11,4) + TIME(3,18,2)</f>
        <v>41217.137523148151</v>
      </c>
      <c r="C1045">
        <v>80</v>
      </c>
      <c r="D1045">
        <v>79.416023253999995</v>
      </c>
      <c r="E1045">
        <v>50</v>
      </c>
      <c r="F1045">
        <v>49.421352386000002</v>
      </c>
      <c r="G1045">
        <v>1320.5148925999999</v>
      </c>
      <c r="H1045">
        <v>1315.2617187999999</v>
      </c>
      <c r="I1045">
        <v>1360.2266846</v>
      </c>
      <c r="J1045">
        <v>1350.5628661999999</v>
      </c>
      <c r="K1045">
        <v>0</v>
      </c>
      <c r="L1045">
        <v>1100</v>
      </c>
      <c r="M1045">
        <v>1100</v>
      </c>
      <c r="N1045">
        <v>0</v>
      </c>
    </row>
    <row r="1046" spans="1:14" x14ac:dyDescent="0.25">
      <c r="A1046">
        <v>918.52686300000005</v>
      </c>
      <c r="B1046" s="1">
        <f>DATE(2012,11,4) + TIME(12,38,40)</f>
        <v>41217.52685185185</v>
      </c>
      <c r="C1046">
        <v>80</v>
      </c>
      <c r="D1046">
        <v>79.366226196</v>
      </c>
      <c r="E1046">
        <v>50</v>
      </c>
      <c r="F1046">
        <v>49.517086028999998</v>
      </c>
      <c r="G1046">
        <v>1320.5063477000001</v>
      </c>
      <c r="H1046">
        <v>1315.2515868999999</v>
      </c>
      <c r="I1046">
        <v>1360.159668</v>
      </c>
      <c r="J1046">
        <v>1350.5222168</v>
      </c>
      <c r="K1046">
        <v>0</v>
      </c>
      <c r="L1046">
        <v>1100</v>
      </c>
      <c r="M1046">
        <v>1100</v>
      </c>
      <c r="N1046">
        <v>0</v>
      </c>
    </row>
    <row r="1047" spans="1:14" x14ac:dyDescent="0.25">
      <c r="A1047">
        <v>918.98402699999997</v>
      </c>
      <c r="B1047" s="1">
        <f>DATE(2012,11,4) + TIME(23,36,59)</f>
        <v>41217.984016203707</v>
      </c>
      <c r="C1047">
        <v>80</v>
      </c>
      <c r="D1047">
        <v>79.309883118000002</v>
      </c>
      <c r="E1047">
        <v>50</v>
      </c>
      <c r="F1047">
        <v>49.605308532999999</v>
      </c>
      <c r="G1047">
        <v>1320.4964600000001</v>
      </c>
      <c r="H1047">
        <v>1315.2401123</v>
      </c>
      <c r="I1047">
        <v>1360.0935059000001</v>
      </c>
      <c r="J1047">
        <v>1350.4814452999999</v>
      </c>
      <c r="K1047">
        <v>0</v>
      </c>
      <c r="L1047">
        <v>1100</v>
      </c>
      <c r="M1047">
        <v>1100</v>
      </c>
      <c r="N1047">
        <v>0</v>
      </c>
    </row>
    <row r="1048" spans="1:14" x14ac:dyDescent="0.25">
      <c r="A1048">
        <v>919.44383200000004</v>
      </c>
      <c r="B1048" s="1">
        <f>DATE(2012,11,5) + TIME(10,39,7)</f>
        <v>41218.443831018521</v>
      </c>
      <c r="C1048">
        <v>80</v>
      </c>
      <c r="D1048">
        <v>79.253547667999996</v>
      </c>
      <c r="E1048">
        <v>50</v>
      </c>
      <c r="F1048">
        <v>49.674919127999999</v>
      </c>
      <c r="G1048">
        <v>1320.4847411999999</v>
      </c>
      <c r="H1048">
        <v>1315.2266846</v>
      </c>
      <c r="I1048">
        <v>1360.0361327999999</v>
      </c>
      <c r="J1048">
        <v>1350.4448242000001</v>
      </c>
      <c r="K1048">
        <v>0</v>
      </c>
      <c r="L1048">
        <v>1100</v>
      </c>
      <c r="M1048">
        <v>1100</v>
      </c>
      <c r="N1048">
        <v>0</v>
      </c>
    </row>
    <row r="1049" spans="1:14" x14ac:dyDescent="0.25">
      <c r="A1049">
        <v>919.91273899999999</v>
      </c>
      <c r="B1049" s="1">
        <f>DATE(2012,11,5) + TIME(21,54,20)</f>
        <v>41218.912731481483</v>
      </c>
      <c r="C1049">
        <v>80</v>
      </c>
      <c r="D1049">
        <v>79.196632385000001</v>
      </c>
      <c r="E1049">
        <v>50</v>
      </c>
      <c r="F1049">
        <v>49.730415344000001</v>
      </c>
      <c r="G1049">
        <v>1320.4730225000001</v>
      </c>
      <c r="H1049">
        <v>1315.2130127</v>
      </c>
      <c r="I1049">
        <v>1359.9855957</v>
      </c>
      <c r="J1049">
        <v>1350.4121094</v>
      </c>
      <c r="K1049">
        <v>0</v>
      </c>
      <c r="L1049">
        <v>1100</v>
      </c>
      <c r="M1049">
        <v>1100</v>
      </c>
      <c r="N1049">
        <v>0</v>
      </c>
    </row>
    <row r="1050" spans="1:14" x14ac:dyDescent="0.25">
      <c r="A1050">
        <v>920.39516700000001</v>
      </c>
      <c r="B1050" s="1">
        <f>DATE(2012,11,6) + TIME(9,29,2)</f>
        <v>41219.395162037035</v>
      </c>
      <c r="C1050">
        <v>80</v>
      </c>
      <c r="D1050">
        <v>79.138755798000005</v>
      </c>
      <c r="E1050">
        <v>50</v>
      </c>
      <c r="F1050">
        <v>49.774818420000003</v>
      </c>
      <c r="G1050">
        <v>1320.4609375</v>
      </c>
      <c r="H1050">
        <v>1315.1989745999999</v>
      </c>
      <c r="I1050">
        <v>1359.9405518000001</v>
      </c>
      <c r="J1050">
        <v>1350.3823242000001</v>
      </c>
      <c r="K1050">
        <v>0</v>
      </c>
      <c r="L1050">
        <v>1100</v>
      </c>
      <c r="M1050">
        <v>1100</v>
      </c>
      <c r="N1050">
        <v>0</v>
      </c>
    </row>
    <row r="1051" spans="1:14" x14ac:dyDescent="0.25">
      <c r="A1051">
        <v>920.89570500000002</v>
      </c>
      <c r="B1051" s="1">
        <f>DATE(2012,11,6) + TIME(21,29,48)</f>
        <v>41219.895694444444</v>
      </c>
      <c r="C1051">
        <v>80</v>
      </c>
      <c r="D1051">
        <v>79.079490661999998</v>
      </c>
      <c r="E1051">
        <v>50</v>
      </c>
      <c r="F1051">
        <v>49.810382842999999</v>
      </c>
      <c r="G1051">
        <v>1320.4484863</v>
      </c>
      <c r="H1051">
        <v>1315.1844481999999</v>
      </c>
      <c r="I1051">
        <v>1359.8996582</v>
      </c>
      <c r="J1051">
        <v>1350.3548584</v>
      </c>
      <c r="K1051">
        <v>0</v>
      </c>
      <c r="L1051">
        <v>1100</v>
      </c>
      <c r="M1051">
        <v>1100</v>
      </c>
      <c r="N1051">
        <v>0</v>
      </c>
    </row>
    <row r="1052" spans="1:14" x14ac:dyDescent="0.25">
      <c r="A1052">
        <v>921.41924600000004</v>
      </c>
      <c r="B1052" s="1">
        <f>DATE(2012,11,7) + TIME(10,3,42)</f>
        <v>41220.419236111113</v>
      </c>
      <c r="C1052">
        <v>80</v>
      </c>
      <c r="D1052">
        <v>79.018417357999994</v>
      </c>
      <c r="E1052">
        <v>50</v>
      </c>
      <c r="F1052">
        <v>49.838848114000001</v>
      </c>
      <c r="G1052">
        <v>1320.4355469</v>
      </c>
      <c r="H1052">
        <v>1315.1691894999999</v>
      </c>
      <c r="I1052">
        <v>1359.8623047000001</v>
      </c>
      <c r="J1052">
        <v>1350.3292236</v>
      </c>
      <c r="K1052">
        <v>0</v>
      </c>
      <c r="L1052">
        <v>1100</v>
      </c>
      <c r="M1052">
        <v>1100</v>
      </c>
      <c r="N1052">
        <v>0</v>
      </c>
    </row>
    <row r="1053" spans="1:14" x14ac:dyDescent="0.25">
      <c r="A1053">
        <v>921.97128999999995</v>
      </c>
      <c r="B1053" s="1">
        <f>DATE(2012,11,7) + TIME(23,18,39)</f>
        <v>41220.971284722225</v>
      </c>
      <c r="C1053">
        <v>80</v>
      </c>
      <c r="D1053">
        <v>78.955055236999996</v>
      </c>
      <c r="E1053">
        <v>50</v>
      </c>
      <c r="F1053">
        <v>49.861557007000002</v>
      </c>
      <c r="G1053">
        <v>1320.4219971</v>
      </c>
      <c r="H1053">
        <v>1315.1530762</v>
      </c>
      <c r="I1053">
        <v>1359.8276367000001</v>
      </c>
      <c r="J1053">
        <v>1350.3051757999999</v>
      </c>
      <c r="K1053">
        <v>0</v>
      </c>
      <c r="L1053">
        <v>1100</v>
      </c>
      <c r="M1053">
        <v>1100</v>
      </c>
      <c r="N1053">
        <v>0</v>
      </c>
    </row>
    <row r="1054" spans="1:14" x14ac:dyDescent="0.25">
      <c r="A1054">
        <v>922.55827899999997</v>
      </c>
      <c r="B1054" s="1">
        <f>DATE(2012,11,8) + TIME(13,23,55)</f>
        <v>41221.558275462965</v>
      </c>
      <c r="C1054">
        <v>80</v>
      </c>
      <c r="D1054">
        <v>78.888854980000005</v>
      </c>
      <c r="E1054">
        <v>50</v>
      </c>
      <c r="F1054">
        <v>49.879589080999999</v>
      </c>
      <c r="G1054">
        <v>1320.4075928</v>
      </c>
      <c r="H1054">
        <v>1315.1359863</v>
      </c>
      <c r="I1054">
        <v>1359.7951660000001</v>
      </c>
      <c r="J1054">
        <v>1350.2822266000001</v>
      </c>
      <c r="K1054">
        <v>0</v>
      </c>
      <c r="L1054">
        <v>1100</v>
      </c>
      <c r="M1054">
        <v>1100</v>
      </c>
      <c r="N1054">
        <v>0</v>
      </c>
    </row>
    <row r="1055" spans="1:14" x14ac:dyDescent="0.25">
      <c r="A1055">
        <v>923.18795499999999</v>
      </c>
      <c r="B1055" s="1">
        <f>DATE(2012,11,9) + TIME(4,30,39)</f>
        <v>41222.187951388885</v>
      </c>
      <c r="C1055">
        <v>80</v>
      </c>
      <c r="D1055">
        <v>78.819190978999998</v>
      </c>
      <c r="E1055">
        <v>50</v>
      </c>
      <c r="F1055">
        <v>49.893814087000003</v>
      </c>
      <c r="G1055">
        <v>1320.3922118999999</v>
      </c>
      <c r="H1055">
        <v>1315.1175536999999</v>
      </c>
      <c r="I1055">
        <v>1359.7644043</v>
      </c>
      <c r="J1055">
        <v>1350.2602539</v>
      </c>
      <c r="K1055">
        <v>0</v>
      </c>
      <c r="L1055">
        <v>1100</v>
      </c>
      <c r="M1055">
        <v>1100</v>
      </c>
      <c r="N1055">
        <v>0</v>
      </c>
    </row>
    <row r="1056" spans="1:14" x14ac:dyDescent="0.25">
      <c r="A1056">
        <v>923.86885700000005</v>
      </c>
      <c r="B1056" s="1">
        <f>DATE(2012,11,9) + TIME(20,51,9)</f>
        <v>41222.868854166663</v>
      </c>
      <c r="C1056">
        <v>80</v>
      </c>
      <c r="D1056">
        <v>78.745384216000005</v>
      </c>
      <c r="E1056">
        <v>50</v>
      </c>
      <c r="F1056">
        <v>49.904930114999999</v>
      </c>
      <c r="G1056">
        <v>1320.3756103999999</v>
      </c>
      <c r="H1056">
        <v>1315.0976562000001</v>
      </c>
      <c r="I1056">
        <v>1359.7348632999999</v>
      </c>
      <c r="J1056">
        <v>1350.2387695</v>
      </c>
      <c r="K1056">
        <v>0</v>
      </c>
      <c r="L1056">
        <v>1100</v>
      </c>
      <c r="M1056">
        <v>1100</v>
      </c>
      <c r="N1056">
        <v>0</v>
      </c>
    </row>
    <row r="1057" spans="1:14" x14ac:dyDescent="0.25">
      <c r="A1057">
        <v>924.59489699999995</v>
      </c>
      <c r="B1057" s="1">
        <f>DATE(2012,11,10) + TIME(14,16,39)</f>
        <v>41223.594895833332</v>
      </c>
      <c r="C1057">
        <v>80</v>
      </c>
      <c r="D1057">
        <v>78.667900084999999</v>
      </c>
      <c r="E1057">
        <v>50</v>
      </c>
      <c r="F1057">
        <v>49.913379669000001</v>
      </c>
      <c r="G1057">
        <v>1320.3574219</v>
      </c>
      <c r="H1057">
        <v>1315.0758057</v>
      </c>
      <c r="I1057">
        <v>1359.7062988</v>
      </c>
      <c r="J1057">
        <v>1350.2177733999999</v>
      </c>
      <c r="K1057">
        <v>0</v>
      </c>
      <c r="L1057">
        <v>1100</v>
      </c>
      <c r="M1057">
        <v>1100</v>
      </c>
      <c r="N1057">
        <v>0</v>
      </c>
    </row>
    <row r="1058" spans="1:14" x14ac:dyDescent="0.25">
      <c r="A1058">
        <v>925.376485</v>
      </c>
      <c r="B1058" s="1">
        <f>DATE(2012,11,11) + TIME(9,2,8)</f>
        <v>41224.376481481479</v>
      </c>
      <c r="C1058">
        <v>80</v>
      </c>
      <c r="D1058">
        <v>78.586006165000001</v>
      </c>
      <c r="E1058">
        <v>50</v>
      </c>
      <c r="F1058">
        <v>49.919769287000001</v>
      </c>
      <c r="G1058">
        <v>1320.3378906</v>
      </c>
      <c r="H1058">
        <v>1315.0522461</v>
      </c>
      <c r="I1058">
        <v>1359.6787108999999</v>
      </c>
      <c r="J1058">
        <v>1350.1972656</v>
      </c>
      <c r="K1058">
        <v>0</v>
      </c>
      <c r="L1058">
        <v>1100</v>
      </c>
      <c r="M1058">
        <v>1100</v>
      </c>
      <c r="N1058">
        <v>0</v>
      </c>
    </row>
    <row r="1059" spans="1:14" x14ac:dyDescent="0.25">
      <c r="A1059">
        <v>926.22496799999999</v>
      </c>
      <c r="B1059" s="1">
        <f>DATE(2012,11,12) + TIME(5,23,57)</f>
        <v>41225.224965277775</v>
      </c>
      <c r="C1059">
        <v>80</v>
      </c>
      <c r="D1059">
        <v>78.498893738000007</v>
      </c>
      <c r="E1059">
        <v>50</v>
      </c>
      <c r="F1059">
        <v>49.924560546999999</v>
      </c>
      <c r="G1059">
        <v>1320.3166504000001</v>
      </c>
      <c r="H1059">
        <v>1315.0264893000001</v>
      </c>
      <c r="I1059">
        <v>1359.6517334</v>
      </c>
      <c r="J1059">
        <v>1350.1770019999999</v>
      </c>
      <c r="K1059">
        <v>0</v>
      </c>
      <c r="L1059">
        <v>1100</v>
      </c>
      <c r="M1059">
        <v>1100</v>
      </c>
      <c r="N1059">
        <v>0</v>
      </c>
    </row>
    <row r="1060" spans="1:14" x14ac:dyDescent="0.25">
      <c r="A1060">
        <v>927.15544999999997</v>
      </c>
      <c r="B1060" s="1">
        <f>DATE(2012,11,13) + TIME(3,43,50)</f>
        <v>41226.155439814815</v>
      </c>
      <c r="C1060">
        <v>80</v>
      </c>
      <c r="D1060">
        <v>78.405509949000006</v>
      </c>
      <c r="E1060">
        <v>50</v>
      </c>
      <c r="F1060">
        <v>49.928134917999998</v>
      </c>
      <c r="G1060">
        <v>1320.2933350000001</v>
      </c>
      <c r="H1060">
        <v>1314.9981689000001</v>
      </c>
      <c r="I1060">
        <v>1359.625</v>
      </c>
      <c r="J1060">
        <v>1350.1569824000001</v>
      </c>
      <c r="K1060">
        <v>0</v>
      </c>
      <c r="L1060">
        <v>1100</v>
      </c>
      <c r="M1060">
        <v>1100</v>
      </c>
      <c r="N1060">
        <v>0</v>
      </c>
    </row>
    <row r="1061" spans="1:14" x14ac:dyDescent="0.25">
      <c r="A1061">
        <v>928.10868000000005</v>
      </c>
      <c r="B1061" s="1">
        <f>DATE(2012,11,14) + TIME(2,36,29)</f>
        <v>41227.108668981484</v>
      </c>
      <c r="C1061">
        <v>80</v>
      </c>
      <c r="D1061">
        <v>78.309738159000005</v>
      </c>
      <c r="E1061">
        <v>50</v>
      </c>
      <c r="F1061">
        <v>49.930637359999999</v>
      </c>
      <c r="G1061">
        <v>1320.2674560999999</v>
      </c>
      <c r="H1061">
        <v>1314.9666748</v>
      </c>
      <c r="I1061">
        <v>1359.5983887</v>
      </c>
      <c r="J1061">
        <v>1350.1367187999999</v>
      </c>
      <c r="K1061">
        <v>0</v>
      </c>
      <c r="L1061">
        <v>1100</v>
      </c>
      <c r="M1061">
        <v>1100</v>
      </c>
      <c r="N1061">
        <v>0</v>
      </c>
    </row>
    <row r="1062" spans="1:14" x14ac:dyDescent="0.25">
      <c r="A1062">
        <v>929.09255199999996</v>
      </c>
      <c r="B1062" s="1">
        <f>DATE(2012,11,15) + TIME(2,13,16)</f>
        <v>41228.092546296299</v>
      </c>
      <c r="C1062">
        <v>80</v>
      </c>
      <c r="D1062">
        <v>78.211555481000005</v>
      </c>
      <c r="E1062">
        <v>50</v>
      </c>
      <c r="F1062">
        <v>49.932418822999999</v>
      </c>
      <c r="G1062">
        <v>1320.2406006000001</v>
      </c>
      <c r="H1062">
        <v>1314.9338379000001</v>
      </c>
      <c r="I1062">
        <v>1359.5732422000001</v>
      </c>
      <c r="J1062">
        <v>1350.1175536999999</v>
      </c>
      <c r="K1062">
        <v>0</v>
      </c>
      <c r="L1062">
        <v>1100</v>
      </c>
      <c r="M1062">
        <v>1100</v>
      </c>
      <c r="N1062">
        <v>0</v>
      </c>
    </row>
    <row r="1063" spans="1:14" x14ac:dyDescent="0.25">
      <c r="A1063">
        <v>930.12016200000005</v>
      </c>
      <c r="B1063" s="1">
        <f>DATE(2012,11,16) + TIME(2,53,2)</f>
        <v>41229.120162037034</v>
      </c>
      <c r="C1063">
        <v>80</v>
      </c>
      <c r="D1063">
        <v>78.110412597999996</v>
      </c>
      <c r="E1063">
        <v>50</v>
      </c>
      <c r="F1063">
        <v>49.933708191000001</v>
      </c>
      <c r="G1063">
        <v>1320.2124022999999</v>
      </c>
      <c r="H1063">
        <v>1314.8991699000001</v>
      </c>
      <c r="I1063">
        <v>1359.5493164</v>
      </c>
      <c r="J1063">
        <v>1350.0992432</v>
      </c>
      <c r="K1063">
        <v>0</v>
      </c>
      <c r="L1063">
        <v>1100</v>
      </c>
      <c r="M1063">
        <v>1100</v>
      </c>
      <c r="N1063">
        <v>0</v>
      </c>
    </row>
    <row r="1064" spans="1:14" x14ac:dyDescent="0.25">
      <c r="A1064">
        <v>931.20566599999995</v>
      </c>
      <c r="B1064" s="1">
        <f>DATE(2012,11,17) + TIME(4,56,9)</f>
        <v>41230.205659722225</v>
      </c>
      <c r="C1064">
        <v>80</v>
      </c>
      <c r="D1064">
        <v>78.005546570000007</v>
      </c>
      <c r="E1064">
        <v>50</v>
      </c>
      <c r="F1064">
        <v>49.934665680000002</v>
      </c>
      <c r="G1064">
        <v>1320.1824951000001</v>
      </c>
      <c r="H1064">
        <v>1314.8623047000001</v>
      </c>
      <c r="I1064">
        <v>1359.526001</v>
      </c>
      <c r="J1064">
        <v>1350.081543</v>
      </c>
      <c r="K1064">
        <v>0</v>
      </c>
      <c r="L1064">
        <v>1100</v>
      </c>
      <c r="M1064">
        <v>1100</v>
      </c>
      <c r="N1064">
        <v>0</v>
      </c>
    </row>
    <row r="1065" spans="1:14" x14ac:dyDescent="0.25">
      <c r="A1065">
        <v>932.32177999999999</v>
      </c>
      <c r="B1065" s="1">
        <f>DATE(2012,11,18) + TIME(7,43,21)</f>
        <v>41231.321770833332</v>
      </c>
      <c r="C1065">
        <v>80</v>
      </c>
      <c r="D1065">
        <v>77.898612975999995</v>
      </c>
      <c r="E1065">
        <v>50</v>
      </c>
      <c r="F1065">
        <v>49.935367583999998</v>
      </c>
      <c r="G1065">
        <v>1320.1506348</v>
      </c>
      <c r="H1065">
        <v>1314.8226318</v>
      </c>
      <c r="I1065">
        <v>1359.5031738</v>
      </c>
      <c r="J1065">
        <v>1350.0640868999999</v>
      </c>
      <c r="K1065">
        <v>0</v>
      </c>
      <c r="L1065">
        <v>1100</v>
      </c>
      <c r="M1065">
        <v>1100</v>
      </c>
      <c r="N1065">
        <v>0</v>
      </c>
    </row>
    <row r="1066" spans="1:14" x14ac:dyDescent="0.25">
      <c r="A1066">
        <v>933.46576800000003</v>
      </c>
      <c r="B1066" s="1">
        <f>DATE(2012,11,19) + TIME(11,10,42)</f>
        <v>41232.465763888889</v>
      </c>
      <c r="C1066">
        <v>80</v>
      </c>
      <c r="D1066">
        <v>77.790100097999996</v>
      </c>
      <c r="E1066">
        <v>50</v>
      </c>
      <c r="F1066">
        <v>49.935894011999999</v>
      </c>
      <c r="G1066">
        <v>1320.1171875</v>
      </c>
      <c r="H1066">
        <v>1314.7810059000001</v>
      </c>
      <c r="I1066">
        <v>1359.4813231999999</v>
      </c>
      <c r="J1066">
        <v>1350.0473632999999</v>
      </c>
      <c r="K1066">
        <v>0</v>
      </c>
      <c r="L1066">
        <v>1100</v>
      </c>
      <c r="M1066">
        <v>1100</v>
      </c>
      <c r="N1066">
        <v>0</v>
      </c>
    </row>
    <row r="1067" spans="1:14" x14ac:dyDescent="0.25">
      <c r="A1067">
        <v>934.64020700000003</v>
      </c>
      <c r="B1067" s="1">
        <f>DATE(2012,11,20) + TIME(15,21,53)</f>
        <v>41233.640196759261</v>
      </c>
      <c r="C1067">
        <v>80</v>
      </c>
      <c r="D1067">
        <v>77.680114746000001</v>
      </c>
      <c r="E1067">
        <v>50</v>
      </c>
      <c r="F1067">
        <v>49.936294556</v>
      </c>
      <c r="G1067">
        <v>1320.0823975000001</v>
      </c>
      <c r="H1067">
        <v>1314.7375488</v>
      </c>
      <c r="I1067">
        <v>1359.4603271000001</v>
      </c>
      <c r="J1067">
        <v>1350.0313721</v>
      </c>
      <c r="K1067">
        <v>0</v>
      </c>
      <c r="L1067">
        <v>1100</v>
      </c>
      <c r="M1067">
        <v>1100</v>
      </c>
      <c r="N1067">
        <v>0</v>
      </c>
    </row>
    <row r="1068" spans="1:14" x14ac:dyDescent="0.25">
      <c r="A1068">
        <v>935.84767699999998</v>
      </c>
      <c r="B1068" s="1">
        <f>DATE(2012,11,21) + TIME(20,20,39)</f>
        <v>41234.847673611112</v>
      </c>
      <c r="C1068">
        <v>80</v>
      </c>
      <c r="D1068">
        <v>77.568679810000006</v>
      </c>
      <c r="E1068">
        <v>50</v>
      </c>
      <c r="F1068">
        <v>49.936607361</v>
      </c>
      <c r="G1068">
        <v>1320.0461425999999</v>
      </c>
      <c r="H1068">
        <v>1314.6918945</v>
      </c>
      <c r="I1068">
        <v>1359.4401855000001</v>
      </c>
      <c r="J1068">
        <v>1350.0158690999999</v>
      </c>
      <c r="K1068">
        <v>0</v>
      </c>
      <c r="L1068">
        <v>1100</v>
      </c>
      <c r="M1068">
        <v>1100</v>
      </c>
      <c r="N1068">
        <v>0</v>
      </c>
    </row>
    <row r="1069" spans="1:14" x14ac:dyDescent="0.25">
      <c r="A1069">
        <v>937.09089300000005</v>
      </c>
      <c r="B1069" s="1">
        <f>DATE(2012,11,23) + TIME(2,10,53)</f>
        <v>41236.090891203705</v>
      </c>
      <c r="C1069">
        <v>80</v>
      </c>
      <c r="D1069">
        <v>77.455726623999993</v>
      </c>
      <c r="E1069">
        <v>50</v>
      </c>
      <c r="F1069">
        <v>49.936862945999998</v>
      </c>
      <c r="G1069">
        <v>1320.0083007999999</v>
      </c>
      <c r="H1069">
        <v>1314.644043</v>
      </c>
      <c r="I1069">
        <v>1359.4207764</v>
      </c>
      <c r="J1069">
        <v>1350.0010986</v>
      </c>
      <c r="K1069">
        <v>0</v>
      </c>
      <c r="L1069">
        <v>1100</v>
      </c>
      <c r="M1069">
        <v>1100</v>
      </c>
      <c r="N1069">
        <v>0</v>
      </c>
    </row>
    <row r="1070" spans="1:14" x14ac:dyDescent="0.25">
      <c r="A1070">
        <v>938.37273300000004</v>
      </c>
      <c r="B1070" s="1">
        <f>DATE(2012,11,24) + TIME(8,56,44)</f>
        <v>41237.372731481482</v>
      </c>
      <c r="C1070">
        <v>80</v>
      </c>
      <c r="D1070">
        <v>77.341171265</v>
      </c>
      <c r="E1070">
        <v>50</v>
      </c>
      <c r="F1070">
        <v>49.937068939</v>
      </c>
      <c r="G1070">
        <v>1319.9686279</v>
      </c>
      <c r="H1070">
        <v>1314.5938721</v>
      </c>
      <c r="I1070">
        <v>1359.4018555</v>
      </c>
      <c r="J1070">
        <v>1349.9866943</v>
      </c>
      <c r="K1070">
        <v>0</v>
      </c>
      <c r="L1070">
        <v>1100</v>
      </c>
      <c r="M1070">
        <v>1100</v>
      </c>
      <c r="N1070">
        <v>0</v>
      </c>
    </row>
    <row r="1071" spans="1:14" x14ac:dyDescent="0.25">
      <c r="A1071">
        <v>939.69626600000004</v>
      </c>
      <c r="B1071" s="1">
        <f>DATE(2012,11,25) + TIME(16,42,37)</f>
        <v>41238.696261574078</v>
      </c>
      <c r="C1071">
        <v>80</v>
      </c>
      <c r="D1071">
        <v>77.224884032999995</v>
      </c>
      <c r="E1071">
        <v>50</v>
      </c>
      <c r="F1071">
        <v>49.937240600999999</v>
      </c>
      <c r="G1071">
        <v>1319.9272461</v>
      </c>
      <c r="H1071">
        <v>1314.5411377</v>
      </c>
      <c r="I1071">
        <v>1359.3836670000001</v>
      </c>
      <c r="J1071">
        <v>1349.9727783000001</v>
      </c>
      <c r="K1071">
        <v>0</v>
      </c>
      <c r="L1071">
        <v>1100</v>
      </c>
      <c r="M1071">
        <v>1100</v>
      </c>
      <c r="N1071">
        <v>0</v>
      </c>
    </row>
    <row r="1072" spans="1:14" x14ac:dyDescent="0.25">
      <c r="A1072">
        <v>941.04945399999997</v>
      </c>
      <c r="B1072" s="1">
        <f>DATE(2012,11,27) + TIME(1,11,12)</f>
        <v>41240.049444444441</v>
      </c>
      <c r="C1072">
        <v>80</v>
      </c>
      <c r="D1072">
        <v>77.107482910000002</v>
      </c>
      <c r="E1072">
        <v>50</v>
      </c>
      <c r="F1072">
        <v>49.937385558999999</v>
      </c>
      <c r="G1072">
        <v>1319.8837891000001</v>
      </c>
      <c r="H1072">
        <v>1314.4855957</v>
      </c>
      <c r="I1072">
        <v>1359.3658447</v>
      </c>
      <c r="J1072">
        <v>1349.9591064000001</v>
      </c>
      <c r="K1072">
        <v>0</v>
      </c>
      <c r="L1072">
        <v>1100</v>
      </c>
      <c r="M1072">
        <v>1100</v>
      </c>
      <c r="N1072">
        <v>0</v>
      </c>
    </row>
    <row r="1073" spans="1:14" x14ac:dyDescent="0.25">
      <c r="A1073">
        <v>942.42788399999995</v>
      </c>
      <c r="B1073" s="1">
        <f>DATE(2012,11,28) + TIME(10,16,9)</f>
        <v>41241.427881944444</v>
      </c>
      <c r="C1073">
        <v>80</v>
      </c>
      <c r="D1073">
        <v>76.989372252999999</v>
      </c>
      <c r="E1073">
        <v>50</v>
      </c>
      <c r="F1073">
        <v>49.937511444000002</v>
      </c>
      <c r="G1073">
        <v>1319.8386230000001</v>
      </c>
      <c r="H1073">
        <v>1314.4278564000001</v>
      </c>
      <c r="I1073">
        <v>1359.3487548999999</v>
      </c>
      <c r="J1073">
        <v>1349.9460449000001</v>
      </c>
      <c r="K1073">
        <v>0</v>
      </c>
      <c r="L1073">
        <v>1100</v>
      </c>
      <c r="M1073">
        <v>1100</v>
      </c>
      <c r="N1073">
        <v>0</v>
      </c>
    </row>
    <row r="1074" spans="1:14" x14ac:dyDescent="0.25">
      <c r="A1074">
        <v>943.83491500000002</v>
      </c>
      <c r="B1074" s="1">
        <f>DATE(2012,11,29) + TIME(20,2,16)</f>
        <v>41242.834907407407</v>
      </c>
      <c r="C1074">
        <v>80</v>
      </c>
      <c r="D1074">
        <v>76.870567321999999</v>
      </c>
      <c r="E1074">
        <v>50</v>
      </c>
      <c r="F1074">
        <v>49.937622070000003</v>
      </c>
      <c r="G1074">
        <v>1319.7918701000001</v>
      </c>
      <c r="H1074">
        <v>1314.3676757999999</v>
      </c>
      <c r="I1074">
        <v>1359.3321533000001</v>
      </c>
      <c r="J1074">
        <v>1349.9334716999999</v>
      </c>
      <c r="K1074">
        <v>0</v>
      </c>
      <c r="L1074">
        <v>1100</v>
      </c>
      <c r="M1074">
        <v>1100</v>
      </c>
      <c r="N1074">
        <v>0</v>
      </c>
    </row>
    <row r="1075" spans="1:14" x14ac:dyDescent="0.25">
      <c r="A1075">
        <v>945</v>
      </c>
      <c r="B1075" s="1">
        <f>DATE(2012,12,1) + TIME(0,0,0)</f>
        <v>41244</v>
      </c>
      <c r="C1075">
        <v>80</v>
      </c>
      <c r="D1075">
        <v>76.765274047999995</v>
      </c>
      <c r="E1075">
        <v>50</v>
      </c>
      <c r="F1075">
        <v>49.937702178999999</v>
      </c>
      <c r="G1075">
        <v>1319.7437743999999</v>
      </c>
      <c r="H1075">
        <v>1314.3066406</v>
      </c>
      <c r="I1075">
        <v>1359.3160399999999</v>
      </c>
      <c r="J1075">
        <v>1349.9211425999999</v>
      </c>
      <c r="K1075">
        <v>0</v>
      </c>
      <c r="L1075">
        <v>1100</v>
      </c>
      <c r="M1075">
        <v>1100</v>
      </c>
      <c r="N1075">
        <v>0</v>
      </c>
    </row>
    <row r="1076" spans="1:14" x14ac:dyDescent="0.25">
      <c r="A1076">
        <v>946.43600600000002</v>
      </c>
      <c r="B1076" s="1">
        <f>DATE(2012,12,2) + TIME(10,27,50)</f>
        <v>41245.435995370368</v>
      </c>
      <c r="C1076">
        <v>80</v>
      </c>
      <c r="D1076">
        <v>76.649955750000004</v>
      </c>
      <c r="E1076">
        <v>50</v>
      </c>
      <c r="F1076">
        <v>49.937793732000003</v>
      </c>
      <c r="G1076">
        <v>1319.7021483999999</v>
      </c>
      <c r="H1076">
        <v>1314.2513428</v>
      </c>
      <c r="I1076">
        <v>1359.3037108999999</v>
      </c>
      <c r="J1076">
        <v>1349.9116211</v>
      </c>
      <c r="K1076">
        <v>0</v>
      </c>
      <c r="L1076">
        <v>1100</v>
      </c>
      <c r="M1076">
        <v>1100</v>
      </c>
      <c r="N1076">
        <v>0</v>
      </c>
    </row>
    <row r="1077" spans="1:14" x14ac:dyDescent="0.25">
      <c r="A1077">
        <v>947.91808200000003</v>
      </c>
      <c r="B1077" s="1">
        <f>DATE(2012,12,3) + TIME(22,2,2)</f>
        <v>41246.918078703704</v>
      </c>
      <c r="C1077">
        <v>80</v>
      </c>
      <c r="D1077">
        <v>76.532127380000006</v>
      </c>
      <c r="E1077">
        <v>50</v>
      </c>
      <c r="F1077">
        <v>49.937877655000001</v>
      </c>
      <c r="G1077">
        <v>1319.6516113</v>
      </c>
      <c r="H1077">
        <v>1314.1857910000001</v>
      </c>
      <c r="I1077">
        <v>1359.2889404</v>
      </c>
      <c r="J1077">
        <v>1349.9003906</v>
      </c>
      <c r="K1077">
        <v>0</v>
      </c>
      <c r="L1077">
        <v>1100</v>
      </c>
      <c r="M1077">
        <v>1100</v>
      </c>
      <c r="N1077">
        <v>0</v>
      </c>
    </row>
    <row r="1078" spans="1:14" x14ac:dyDescent="0.25">
      <c r="A1078">
        <v>949.42973500000005</v>
      </c>
      <c r="B1078" s="1">
        <f>DATE(2012,12,5) + TIME(10,18,49)</f>
        <v>41248.4297337963</v>
      </c>
      <c r="C1078">
        <v>80</v>
      </c>
      <c r="D1078">
        <v>76.412796021000005</v>
      </c>
      <c r="E1078">
        <v>50</v>
      </c>
      <c r="F1078">
        <v>49.937957763999997</v>
      </c>
      <c r="G1078">
        <v>1319.5985106999999</v>
      </c>
      <c r="H1078">
        <v>1314.1168213000001</v>
      </c>
      <c r="I1078">
        <v>1359.2744141000001</v>
      </c>
      <c r="J1078">
        <v>1349.8892822</v>
      </c>
      <c r="K1078">
        <v>0</v>
      </c>
      <c r="L1078">
        <v>1100</v>
      </c>
      <c r="M1078">
        <v>1100</v>
      </c>
      <c r="N1078">
        <v>0</v>
      </c>
    </row>
    <row r="1079" spans="1:14" x14ac:dyDescent="0.25">
      <c r="A1079">
        <v>950.97484899999995</v>
      </c>
      <c r="B1079" s="1">
        <f>DATE(2012,12,6) + TIME(23,23,46)</f>
        <v>41249.97483796296</v>
      </c>
      <c r="C1079">
        <v>80</v>
      </c>
      <c r="D1079">
        <v>76.292190551999994</v>
      </c>
      <c r="E1079">
        <v>50</v>
      </c>
      <c r="F1079">
        <v>49.938034058</v>
      </c>
      <c r="G1079">
        <v>1319.5435791</v>
      </c>
      <c r="H1079">
        <v>1314.0451660000001</v>
      </c>
      <c r="I1079">
        <v>1359.2602539</v>
      </c>
      <c r="J1079">
        <v>1349.8785399999999</v>
      </c>
      <c r="K1079">
        <v>0</v>
      </c>
      <c r="L1079">
        <v>1100</v>
      </c>
      <c r="M1079">
        <v>1100</v>
      </c>
      <c r="N1079">
        <v>0</v>
      </c>
    </row>
    <row r="1080" spans="1:14" x14ac:dyDescent="0.25">
      <c r="A1080">
        <v>952.55697599999996</v>
      </c>
      <c r="B1080" s="1">
        <f>DATE(2012,12,8) + TIME(13,22,2)</f>
        <v>41251.556967592594</v>
      </c>
      <c r="C1080">
        <v>80</v>
      </c>
      <c r="D1080">
        <v>76.170349121000001</v>
      </c>
      <c r="E1080">
        <v>50</v>
      </c>
      <c r="F1080">
        <v>49.938106537000003</v>
      </c>
      <c r="G1080">
        <v>1319.4865723</v>
      </c>
      <c r="H1080">
        <v>1313.9704589999999</v>
      </c>
      <c r="I1080">
        <v>1359.246582</v>
      </c>
      <c r="J1080">
        <v>1349.8680420000001</v>
      </c>
      <c r="K1080">
        <v>0</v>
      </c>
      <c r="L1080">
        <v>1100</v>
      </c>
      <c r="M1080">
        <v>1100</v>
      </c>
      <c r="N1080">
        <v>0</v>
      </c>
    </row>
    <row r="1081" spans="1:14" x14ac:dyDescent="0.25">
      <c r="A1081">
        <v>954.17975899999999</v>
      </c>
      <c r="B1081" s="1">
        <f>DATE(2012,12,10) + TIME(4,18,51)</f>
        <v>41253.179756944446</v>
      </c>
      <c r="C1081">
        <v>80</v>
      </c>
      <c r="D1081">
        <v>76.047203064000001</v>
      </c>
      <c r="E1081">
        <v>50</v>
      </c>
      <c r="F1081">
        <v>49.938182830999999</v>
      </c>
      <c r="G1081">
        <v>1319.4273682</v>
      </c>
      <c r="H1081">
        <v>1313.8927002</v>
      </c>
      <c r="I1081">
        <v>1359.2331543</v>
      </c>
      <c r="J1081">
        <v>1349.8579102000001</v>
      </c>
      <c r="K1081">
        <v>0</v>
      </c>
      <c r="L1081">
        <v>1100</v>
      </c>
      <c r="M1081">
        <v>1100</v>
      </c>
      <c r="N1081">
        <v>0</v>
      </c>
    </row>
    <row r="1082" spans="1:14" x14ac:dyDescent="0.25">
      <c r="A1082">
        <v>955.84697900000003</v>
      </c>
      <c r="B1082" s="1">
        <f>DATE(2012,12,11) + TIME(20,19,38)</f>
        <v>41254.846967592595</v>
      </c>
      <c r="C1082">
        <v>80</v>
      </c>
      <c r="D1082">
        <v>75.922592163000004</v>
      </c>
      <c r="E1082">
        <v>50</v>
      </c>
      <c r="F1082">
        <v>49.938255310000002</v>
      </c>
      <c r="G1082">
        <v>1319.3658447</v>
      </c>
      <c r="H1082">
        <v>1313.8116454999999</v>
      </c>
      <c r="I1082">
        <v>1359.2199707</v>
      </c>
      <c r="J1082">
        <v>1349.8479004000001</v>
      </c>
      <c r="K1082">
        <v>0</v>
      </c>
      <c r="L1082">
        <v>1100</v>
      </c>
      <c r="M1082">
        <v>1100</v>
      </c>
      <c r="N1082">
        <v>0</v>
      </c>
    </row>
    <row r="1083" spans="1:14" x14ac:dyDescent="0.25">
      <c r="A1083">
        <v>957.56265099999996</v>
      </c>
      <c r="B1083" s="1">
        <f>DATE(2012,12,13) + TIME(13,30,13)</f>
        <v>41256.562650462962</v>
      </c>
      <c r="C1083">
        <v>80</v>
      </c>
      <c r="D1083">
        <v>75.796325683999996</v>
      </c>
      <c r="E1083">
        <v>50</v>
      </c>
      <c r="F1083">
        <v>49.938327788999999</v>
      </c>
      <c r="G1083">
        <v>1319.3017577999999</v>
      </c>
      <c r="H1083">
        <v>1313.7269286999999</v>
      </c>
      <c r="I1083">
        <v>1359.2071533000001</v>
      </c>
      <c r="J1083">
        <v>1349.8380127</v>
      </c>
      <c r="K1083">
        <v>0</v>
      </c>
      <c r="L1083">
        <v>1100</v>
      </c>
      <c r="M1083">
        <v>1100</v>
      </c>
      <c r="N1083">
        <v>0</v>
      </c>
    </row>
    <row r="1084" spans="1:14" x14ac:dyDescent="0.25">
      <c r="A1084">
        <v>959.33099600000003</v>
      </c>
      <c r="B1084" s="1">
        <f>DATE(2012,12,15) + TIME(7,56,38)</f>
        <v>41258.330995370372</v>
      </c>
      <c r="C1084">
        <v>80</v>
      </c>
      <c r="D1084">
        <v>75.668182372999993</v>
      </c>
      <c r="E1084">
        <v>50</v>
      </c>
      <c r="F1084">
        <v>49.938404083000002</v>
      </c>
      <c r="G1084">
        <v>1319.2347411999999</v>
      </c>
      <c r="H1084">
        <v>1313.6383057</v>
      </c>
      <c r="I1084">
        <v>1359.1944579999999</v>
      </c>
      <c r="J1084">
        <v>1349.8284911999999</v>
      </c>
      <c r="K1084">
        <v>0</v>
      </c>
      <c r="L1084">
        <v>1100</v>
      </c>
      <c r="M1084">
        <v>1100</v>
      </c>
      <c r="N1084">
        <v>0</v>
      </c>
    </row>
    <row r="1085" spans="1:14" x14ac:dyDescent="0.25">
      <c r="A1085">
        <v>961.15653899999995</v>
      </c>
      <c r="B1085" s="1">
        <f>DATE(2012,12,17) + TIME(3,45,24)</f>
        <v>41260.156527777777</v>
      </c>
      <c r="C1085">
        <v>80</v>
      </c>
      <c r="D1085">
        <v>75.537902832</v>
      </c>
      <c r="E1085">
        <v>50</v>
      </c>
      <c r="F1085">
        <v>49.938480376999998</v>
      </c>
      <c r="G1085">
        <v>1319.1649170000001</v>
      </c>
      <c r="H1085">
        <v>1313.5455322</v>
      </c>
      <c r="I1085">
        <v>1359.1820068</v>
      </c>
      <c r="J1085">
        <v>1349.8189697</v>
      </c>
      <c r="K1085">
        <v>0</v>
      </c>
      <c r="L1085">
        <v>1100</v>
      </c>
      <c r="M1085">
        <v>1100</v>
      </c>
      <c r="N1085">
        <v>0</v>
      </c>
    </row>
    <row r="1086" spans="1:14" x14ac:dyDescent="0.25">
      <c r="A1086">
        <v>963.04401399999995</v>
      </c>
      <c r="B1086" s="1">
        <f>DATE(2012,12,19) + TIME(1,3,22)</f>
        <v>41262.044004629628</v>
      </c>
      <c r="C1086">
        <v>80</v>
      </c>
      <c r="D1086">
        <v>75.405227660999998</v>
      </c>
      <c r="E1086">
        <v>50</v>
      </c>
      <c r="F1086">
        <v>49.938560486</v>
      </c>
      <c r="G1086">
        <v>1319.0917969</v>
      </c>
      <c r="H1086">
        <v>1313.4482422000001</v>
      </c>
      <c r="I1086">
        <v>1359.1696777</v>
      </c>
      <c r="J1086">
        <v>1349.8095702999999</v>
      </c>
      <c r="K1086">
        <v>0</v>
      </c>
      <c r="L1086">
        <v>1100</v>
      </c>
      <c r="M1086">
        <v>1100</v>
      </c>
      <c r="N1086">
        <v>0</v>
      </c>
    </row>
    <row r="1087" spans="1:14" x14ac:dyDescent="0.25">
      <c r="A1087">
        <v>964.98282300000005</v>
      </c>
      <c r="B1087" s="1">
        <f>DATE(2012,12,20) + TIME(23,35,15)</f>
        <v>41263.982812499999</v>
      </c>
      <c r="C1087">
        <v>80</v>
      </c>
      <c r="D1087">
        <v>75.270408630000006</v>
      </c>
      <c r="E1087">
        <v>50</v>
      </c>
      <c r="F1087">
        <v>49.938640593999999</v>
      </c>
      <c r="G1087">
        <v>1319.0152588000001</v>
      </c>
      <c r="H1087">
        <v>1313.3461914</v>
      </c>
      <c r="I1087">
        <v>1359.1575928</v>
      </c>
      <c r="J1087">
        <v>1349.800293</v>
      </c>
      <c r="K1087">
        <v>0</v>
      </c>
      <c r="L1087">
        <v>1100</v>
      </c>
      <c r="M1087">
        <v>1100</v>
      </c>
      <c r="N1087">
        <v>0</v>
      </c>
    </row>
    <row r="1088" spans="1:14" x14ac:dyDescent="0.25">
      <c r="A1088">
        <v>966.94992500000001</v>
      </c>
      <c r="B1088" s="1">
        <f>DATE(2012,12,22) + TIME(22,47,53)</f>
        <v>41265.949918981481</v>
      </c>
      <c r="C1088">
        <v>80</v>
      </c>
      <c r="D1088">
        <v>75.134361267000003</v>
      </c>
      <c r="E1088">
        <v>50</v>
      </c>
      <c r="F1088">
        <v>49.938720703000001</v>
      </c>
      <c r="G1088">
        <v>1318.9355469</v>
      </c>
      <c r="H1088">
        <v>1313.2397461</v>
      </c>
      <c r="I1088">
        <v>1359.1455077999999</v>
      </c>
      <c r="J1088">
        <v>1349.7912598</v>
      </c>
      <c r="K1088">
        <v>0</v>
      </c>
      <c r="L1088">
        <v>1100</v>
      </c>
      <c r="M1088">
        <v>1100</v>
      </c>
      <c r="N1088">
        <v>0</v>
      </c>
    </row>
    <row r="1089" spans="1:14" x14ac:dyDescent="0.25">
      <c r="A1089">
        <v>968.95035800000005</v>
      </c>
      <c r="B1089" s="1">
        <f>DATE(2012,12,24) + TIME(22,48,30)</f>
        <v>41267.95034722222</v>
      </c>
      <c r="C1089">
        <v>80</v>
      </c>
      <c r="D1089">
        <v>74.997360228999995</v>
      </c>
      <c r="E1089">
        <v>50</v>
      </c>
      <c r="F1089">
        <v>49.938804626</v>
      </c>
      <c r="G1089">
        <v>1318.8535156</v>
      </c>
      <c r="H1089">
        <v>1313.1297606999999</v>
      </c>
      <c r="I1089">
        <v>1359.1339111</v>
      </c>
      <c r="J1089">
        <v>1349.7823486</v>
      </c>
      <c r="K1089">
        <v>0</v>
      </c>
      <c r="L1089">
        <v>1100</v>
      </c>
      <c r="M1089">
        <v>1100</v>
      </c>
      <c r="N1089">
        <v>0</v>
      </c>
    </row>
    <row r="1090" spans="1:14" x14ac:dyDescent="0.25">
      <c r="A1090">
        <v>970.98820000000001</v>
      </c>
      <c r="B1090" s="1">
        <f>DATE(2012,12,26) + TIME(23,43,0)</f>
        <v>41269.988194444442</v>
      </c>
      <c r="C1090">
        <v>80</v>
      </c>
      <c r="D1090">
        <v>74.859199524000005</v>
      </c>
      <c r="E1090">
        <v>50</v>
      </c>
      <c r="F1090">
        <v>49.938888550000001</v>
      </c>
      <c r="G1090">
        <v>1318.769043</v>
      </c>
      <c r="H1090">
        <v>1313.0161132999999</v>
      </c>
      <c r="I1090">
        <v>1359.1225586</v>
      </c>
      <c r="J1090">
        <v>1349.7738036999999</v>
      </c>
      <c r="K1090">
        <v>0</v>
      </c>
      <c r="L1090">
        <v>1100</v>
      </c>
      <c r="M1090">
        <v>1100</v>
      </c>
      <c r="N1090">
        <v>0</v>
      </c>
    </row>
    <row r="1091" spans="1:14" x14ac:dyDescent="0.25">
      <c r="A1091">
        <v>973.06754899999999</v>
      </c>
      <c r="B1091" s="1">
        <f>DATE(2012,12,29) + TIME(1,37,16)</f>
        <v>41272.067546296297</v>
      </c>
      <c r="C1091">
        <v>80</v>
      </c>
      <c r="D1091">
        <v>74.719802856000001</v>
      </c>
      <c r="E1091">
        <v>50</v>
      </c>
      <c r="F1091">
        <v>49.938972473</v>
      </c>
      <c r="G1091">
        <v>1318.6817627</v>
      </c>
      <c r="H1091">
        <v>1312.8985596</v>
      </c>
      <c r="I1091">
        <v>1359.1114502</v>
      </c>
      <c r="J1091">
        <v>1349.7653809000001</v>
      </c>
      <c r="K1091">
        <v>0</v>
      </c>
      <c r="L1091">
        <v>1100</v>
      </c>
      <c r="M1091">
        <v>1100</v>
      </c>
      <c r="N1091">
        <v>0</v>
      </c>
    </row>
    <row r="1092" spans="1:14" x14ac:dyDescent="0.25">
      <c r="A1092">
        <v>975.19256600000006</v>
      </c>
      <c r="B1092" s="1">
        <f>DATE(2012,12,31) + TIME(4,37,17)</f>
        <v>41274.192557870374</v>
      </c>
      <c r="C1092">
        <v>80</v>
      </c>
      <c r="D1092">
        <v>74.578887938999998</v>
      </c>
      <c r="E1092">
        <v>50</v>
      </c>
      <c r="F1092">
        <v>49.939060210999997</v>
      </c>
      <c r="G1092">
        <v>1318.5916748</v>
      </c>
      <c r="H1092">
        <v>1312.7768555</v>
      </c>
      <c r="I1092">
        <v>1359.1005858999999</v>
      </c>
      <c r="J1092">
        <v>1349.7570800999999</v>
      </c>
      <c r="K1092">
        <v>0</v>
      </c>
      <c r="L1092">
        <v>1100</v>
      </c>
      <c r="M1092">
        <v>1100</v>
      </c>
      <c r="N1092">
        <v>0</v>
      </c>
    </row>
    <row r="1093" spans="1:14" x14ac:dyDescent="0.25">
      <c r="A1093">
        <v>976</v>
      </c>
      <c r="B1093" s="1">
        <f>DATE(2013,1,1) + TIME(0,0,0)</f>
        <v>41275</v>
      </c>
      <c r="C1093">
        <v>80</v>
      </c>
      <c r="D1093">
        <v>74.499053954999994</v>
      </c>
      <c r="E1093">
        <v>50</v>
      </c>
      <c r="F1093">
        <v>49.939086914000001</v>
      </c>
      <c r="G1093">
        <v>1318.5039062000001</v>
      </c>
      <c r="H1093">
        <v>1312.6638184000001</v>
      </c>
      <c r="I1093">
        <v>1359.0889893000001</v>
      </c>
      <c r="J1093">
        <v>1349.7484131000001</v>
      </c>
      <c r="K1093">
        <v>0</v>
      </c>
      <c r="L1093">
        <v>1100</v>
      </c>
      <c r="M1093">
        <v>1100</v>
      </c>
      <c r="N1093">
        <v>0</v>
      </c>
    </row>
    <row r="1094" spans="1:14" x14ac:dyDescent="0.25">
      <c r="A1094">
        <v>978.17496300000005</v>
      </c>
      <c r="B1094" s="1">
        <f>DATE(2013,1,3) + TIME(4,11,56)</f>
        <v>41277.174953703703</v>
      </c>
      <c r="C1094">
        <v>80</v>
      </c>
      <c r="D1094">
        <v>74.370346068999993</v>
      </c>
      <c r="E1094">
        <v>50</v>
      </c>
      <c r="F1094">
        <v>49.939178466999998</v>
      </c>
      <c r="G1094">
        <v>1318.4581298999999</v>
      </c>
      <c r="H1094">
        <v>1312.5938721</v>
      </c>
      <c r="I1094">
        <v>1359.0859375</v>
      </c>
      <c r="J1094">
        <v>1349.7460937999999</v>
      </c>
      <c r="K1094">
        <v>0</v>
      </c>
      <c r="L1094">
        <v>1100</v>
      </c>
      <c r="M1094">
        <v>1100</v>
      </c>
      <c r="N1094">
        <v>0</v>
      </c>
    </row>
    <row r="1095" spans="1:14" x14ac:dyDescent="0.25">
      <c r="A1095">
        <v>980.42671800000005</v>
      </c>
      <c r="B1095" s="1">
        <f>DATE(2013,1,5) + TIME(10,14,28)</f>
        <v>41279.426712962966</v>
      </c>
      <c r="C1095">
        <v>80</v>
      </c>
      <c r="D1095">
        <v>74.231452942000004</v>
      </c>
      <c r="E1095">
        <v>50</v>
      </c>
      <c r="F1095">
        <v>49.939273833999998</v>
      </c>
      <c r="G1095">
        <v>1318.3636475000001</v>
      </c>
      <c r="H1095">
        <v>1312.4666748</v>
      </c>
      <c r="I1095">
        <v>1359.0754394999999</v>
      </c>
      <c r="J1095">
        <v>1349.7382812000001</v>
      </c>
      <c r="K1095">
        <v>0</v>
      </c>
      <c r="L1095">
        <v>1100</v>
      </c>
      <c r="M1095">
        <v>1100</v>
      </c>
      <c r="N1095">
        <v>0</v>
      </c>
    </row>
    <row r="1096" spans="1:14" x14ac:dyDescent="0.25">
      <c r="A1096">
        <v>982.73867499999994</v>
      </c>
      <c r="B1096" s="1">
        <f>DATE(2013,1,7) + TIME(17,43,41)</f>
        <v>41281.738668981481</v>
      </c>
      <c r="C1096">
        <v>80</v>
      </c>
      <c r="D1096">
        <v>74.0859375</v>
      </c>
      <c r="E1096">
        <v>50</v>
      </c>
      <c r="F1096">
        <v>49.939369202000002</v>
      </c>
      <c r="G1096">
        <v>1318.2635498</v>
      </c>
      <c r="H1096">
        <v>1312.3309326000001</v>
      </c>
      <c r="I1096">
        <v>1359.0650635</v>
      </c>
      <c r="J1096">
        <v>1349.7303466999999</v>
      </c>
      <c r="K1096">
        <v>0</v>
      </c>
      <c r="L1096">
        <v>1100</v>
      </c>
      <c r="M1096">
        <v>1100</v>
      </c>
      <c r="N1096">
        <v>0</v>
      </c>
    </row>
    <row r="1097" spans="1:14" x14ac:dyDescent="0.25">
      <c r="A1097">
        <v>985.11649899999998</v>
      </c>
      <c r="B1097" s="1">
        <f>DATE(2013,1,10) + TIME(2,47,45)</f>
        <v>41284.116493055553</v>
      </c>
      <c r="C1097">
        <v>80</v>
      </c>
      <c r="D1097">
        <v>73.935394286999994</v>
      </c>
      <c r="E1097">
        <v>50</v>
      </c>
      <c r="F1097">
        <v>49.939464569000002</v>
      </c>
      <c r="G1097">
        <v>1318.1589355000001</v>
      </c>
      <c r="H1097">
        <v>1312.1884766000001</v>
      </c>
      <c r="I1097">
        <v>1359.0546875</v>
      </c>
      <c r="J1097">
        <v>1349.7226562000001</v>
      </c>
      <c r="K1097">
        <v>0</v>
      </c>
      <c r="L1097">
        <v>1100</v>
      </c>
      <c r="M1097">
        <v>1100</v>
      </c>
      <c r="N1097">
        <v>0</v>
      </c>
    </row>
    <row r="1098" spans="1:14" x14ac:dyDescent="0.25">
      <c r="A1098">
        <v>987.56547899999998</v>
      </c>
      <c r="B1098" s="1">
        <f>DATE(2013,1,12) + TIME(13,34,17)</f>
        <v>41286.565474537034</v>
      </c>
      <c r="C1098">
        <v>80</v>
      </c>
      <c r="D1098">
        <v>73.780288696</v>
      </c>
      <c r="E1098">
        <v>50</v>
      </c>
      <c r="F1098">
        <v>49.939563751000001</v>
      </c>
      <c r="G1098">
        <v>1318.0498047000001</v>
      </c>
      <c r="H1098">
        <v>1312.0394286999999</v>
      </c>
      <c r="I1098">
        <v>1359.0444336</v>
      </c>
      <c r="J1098">
        <v>1349.7149658000001</v>
      </c>
      <c r="K1098">
        <v>0</v>
      </c>
      <c r="L1098">
        <v>1100</v>
      </c>
      <c r="M1098">
        <v>1100</v>
      </c>
      <c r="N1098">
        <v>0</v>
      </c>
    </row>
    <row r="1099" spans="1:14" x14ac:dyDescent="0.25">
      <c r="A1099">
        <v>990.09032000000002</v>
      </c>
      <c r="B1099" s="1">
        <f>DATE(2013,1,15) + TIME(2,10,3)</f>
        <v>41289.090312499997</v>
      </c>
      <c r="C1099">
        <v>80</v>
      </c>
      <c r="D1099">
        <v>73.620544433999996</v>
      </c>
      <c r="E1099">
        <v>50</v>
      </c>
      <c r="F1099">
        <v>49.939666748</v>
      </c>
      <c r="G1099">
        <v>1317.9361572</v>
      </c>
      <c r="H1099">
        <v>1311.8837891000001</v>
      </c>
      <c r="I1099">
        <v>1359.0341797000001</v>
      </c>
      <c r="J1099">
        <v>1349.7073975000001</v>
      </c>
      <c r="K1099">
        <v>0</v>
      </c>
      <c r="L1099">
        <v>1100</v>
      </c>
      <c r="M1099">
        <v>1100</v>
      </c>
      <c r="N1099">
        <v>0</v>
      </c>
    </row>
    <row r="1100" spans="1:14" x14ac:dyDescent="0.25">
      <c r="A1100">
        <v>992.683583</v>
      </c>
      <c r="B1100" s="1">
        <f>DATE(2013,1,17) + TIME(16,24,21)</f>
        <v>41291.683576388888</v>
      </c>
      <c r="C1100">
        <v>80</v>
      </c>
      <c r="D1100">
        <v>73.456115722999996</v>
      </c>
      <c r="E1100">
        <v>50</v>
      </c>
      <c r="F1100">
        <v>49.939769745</v>
      </c>
      <c r="G1100">
        <v>1317.817749</v>
      </c>
      <c r="H1100">
        <v>1311.7213135</v>
      </c>
      <c r="I1100">
        <v>1359.0240478999999</v>
      </c>
      <c r="J1100">
        <v>1349.699707</v>
      </c>
      <c r="K1100">
        <v>0</v>
      </c>
      <c r="L1100">
        <v>1100</v>
      </c>
      <c r="M1100">
        <v>1100</v>
      </c>
      <c r="N1100">
        <v>0</v>
      </c>
    </row>
    <row r="1101" spans="1:14" x14ac:dyDescent="0.25">
      <c r="A1101">
        <v>995.32906300000002</v>
      </c>
      <c r="B1101" s="1">
        <f>DATE(2013,1,20) + TIME(7,53,51)</f>
        <v>41294.329062500001</v>
      </c>
      <c r="C1101">
        <v>80</v>
      </c>
      <c r="D1101">
        <v>73.287300110000004</v>
      </c>
      <c r="E1101">
        <v>50</v>
      </c>
      <c r="F1101">
        <v>49.939876556000002</v>
      </c>
      <c r="G1101">
        <v>1317.6949463000001</v>
      </c>
      <c r="H1101">
        <v>1311.5523682</v>
      </c>
      <c r="I1101">
        <v>1359.0139160000001</v>
      </c>
      <c r="J1101">
        <v>1349.6922606999999</v>
      </c>
      <c r="K1101">
        <v>0</v>
      </c>
      <c r="L1101">
        <v>1100</v>
      </c>
      <c r="M1101">
        <v>1100</v>
      </c>
      <c r="N1101">
        <v>0</v>
      </c>
    </row>
    <row r="1102" spans="1:14" x14ac:dyDescent="0.25">
      <c r="A1102">
        <v>998.03240300000004</v>
      </c>
      <c r="B1102" s="1">
        <f>DATE(2013,1,23) + TIME(0,46,39)</f>
        <v>41297.032395833332</v>
      </c>
      <c r="C1102">
        <v>80</v>
      </c>
      <c r="D1102">
        <v>73.114051818999997</v>
      </c>
      <c r="E1102">
        <v>50</v>
      </c>
      <c r="F1102">
        <v>49.939987183</v>
      </c>
      <c r="G1102">
        <v>1317.5683594</v>
      </c>
      <c r="H1102">
        <v>1311.3776855000001</v>
      </c>
      <c r="I1102">
        <v>1359.0037841999999</v>
      </c>
      <c r="J1102">
        <v>1349.6848144999999</v>
      </c>
      <c r="K1102">
        <v>0</v>
      </c>
      <c r="L1102">
        <v>1100</v>
      </c>
      <c r="M1102">
        <v>1100</v>
      </c>
      <c r="N1102">
        <v>0</v>
      </c>
    </row>
    <row r="1103" spans="1:14" x14ac:dyDescent="0.25">
      <c r="A1103">
        <v>1000.799045</v>
      </c>
      <c r="B1103" s="1">
        <f>DATE(2013,1,25) + TIME(19,10,37)</f>
        <v>41299.799039351848</v>
      </c>
      <c r="C1103">
        <v>80</v>
      </c>
      <c r="D1103">
        <v>72.935905457000004</v>
      </c>
      <c r="E1103">
        <v>50</v>
      </c>
      <c r="F1103">
        <v>49.940093994000001</v>
      </c>
      <c r="G1103">
        <v>1317.4377440999999</v>
      </c>
      <c r="H1103">
        <v>1311.1970214999999</v>
      </c>
      <c r="I1103">
        <v>1358.9937743999999</v>
      </c>
      <c r="J1103">
        <v>1349.6773682</v>
      </c>
      <c r="K1103">
        <v>0</v>
      </c>
      <c r="L1103">
        <v>1100</v>
      </c>
      <c r="M1103">
        <v>1100</v>
      </c>
      <c r="N1103">
        <v>0</v>
      </c>
    </row>
    <row r="1104" spans="1:14" x14ac:dyDescent="0.25">
      <c r="A1104">
        <v>1003.634646</v>
      </c>
      <c r="B1104" s="1">
        <f>DATE(2013,1,28) + TIME(15,13,53)</f>
        <v>41302.634641203702</v>
      </c>
      <c r="C1104">
        <v>80</v>
      </c>
      <c r="D1104">
        <v>72.752189635999997</v>
      </c>
      <c r="E1104">
        <v>50</v>
      </c>
      <c r="F1104">
        <v>49.940208435000002</v>
      </c>
      <c r="G1104">
        <v>1317.3028564000001</v>
      </c>
      <c r="H1104">
        <v>1311.0101318</v>
      </c>
      <c r="I1104">
        <v>1358.9838867000001</v>
      </c>
      <c r="J1104">
        <v>1349.6700439000001</v>
      </c>
      <c r="K1104">
        <v>0</v>
      </c>
      <c r="L1104">
        <v>1100</v>
      </c>
      <c r="M1104">
        <v>1100</v>
      </c>
      <c r="N1104">
        <v>0</v>
      </c>
    </row>
    <row r="1105" spans="1:14" x14ac:dyDescent="0.25">
      <c r="A1105">
        <v>1006.545392</v>
      </c>
      <c r="B1105" s="1">
        <f>DATE(2013,1,31) + TIME(13,5,21)</f>
        <v>41305.545381944445</v>
      </c>
      <c r="C1105">
        <v>80</v>
      </c>
      <c r="D1105">
        <v>72.562088012999993</v>
      </c>
      <c r="E1105">
        <v>50</v>
      </c>
      <c r="F1105">
        <v>49.940322876000003</v>
      </c>
      <c r="G1105">
        <v>1317.1636963000001</v>
      </c>
      <c r="H1105">
        <v>1310.8166504000001</v>
      </c>
      <c r="I1105">
        <v>1358.9738769999999</v>
      </c>
      <c r="J1105">
        <v>1349.6628418</v>
      </c>
      <c r="K1105">
        <v>0</v>
      </c>
      <c r="L1105">
        <v>1100</v>
      </c>
      <c r="M1105">
        <v>1100</v>
      </c>
      <c r="N1105">
        <v>0</v>
      </c>
    </row>
    <row r="1106" spans="1:14" x14ac:dyDescent="0.25">
      <c r="A1106">
        <v>1007</v>
      </c>
      <c r="B1106" s="1">
        <f>DATE(2013,2,1) + TIME(0,0,0)</f>
        <v>41306</v>
      </c>
      <c r="C1106">
        <v>80</v>
      </c>
      <c r="D1106">
        <v>72.498069763000004</v>
      </c>
      <c r="E1106">
        <v>50</v>
      </c>
      <c r="F1106">
        <v>49.940338134999998</v>
      </c>
      <c r="G1106">
        <v>1317.0347899999999</v>
      </c>
      <c r="H1106">
        <v>1310.6518555</v>
      </c>
      <c r="I1106">
        <v>1358.9625243999999</v>
      </c>
      <c r="J1106">
        <v>1349.6544189000001</v>
      </c>
      <c r="K1106">
        <v>0</v>
      </c>
      <c r="L1106">
        <v>1100</v>
      </c>
      <c r="M1106">
        <v>1100</v>
      </c>
      <c r="N1106">
        <v>0</v>
      </c>
    </row>
    <row r="1107" spans="1:14" x14ac:dyDescent="0.25">
      <c r="A1107">
        <v>1009.9626960000001</v>
      </c>
      <c r="B1107" s="1">
        <f>DATE(2013,2,3) + TIME(23,6,16)</f>
        <v>41308.962685185186</v>
      </c>
      <c r="C1107">
        <v>80</v>
      </c>
      <c r="D1107">
        <v>72.321662903000004</v>
      </c>
      <c r="E1107">
        <v>50</v>
      </c>
      <c r="F1107">
        <v>49.940456390000001</v>
      </c>
      <c r="G1107">
        <v>1316.9903564000001</v>
      </c>
      <c r="H1107">
        <v>1310.5725098</v>
      </c>
      <c r="I1107">
        <v>1358.9625243999999</v>
      </c>
      <c r="J1107">
        <v>1349.6544189000001</v>
      </c>
      <c r="K1107">
        <v>0</v>
      </c>
      <c r="L1107">
        <v>1100</v>
      </c>
      <c r="M1107">
        <v>1100</v>
      </c>
      <c r="N1107">
        <v>0</v>
      </c>
    </row>
    <row r="1108" spans="1:14" x14ac:dyDescent="0.25">
      <c r="A1108">
        <v>1012.985978</v>
      </c>
      <c r="B1108" s="1">
        <f>DATE(2013,2,6) + TIME(23,39,48)</f>
        <v>41311.985972222225</v>
      </c>
      <c r="C1108">
        <v>80</v>
      </c>
      <c r="D1108">
        <v>72.125373839999995</v>
      </c>
      <c r="E1108">
        <v>50</v>
      </c>
      <c r="F1108">
        <v>49.940574646000002</v>
      </c>
      <c r="G1108">
        <v>1316.8468018000001</v>
      </c>
      <c r="H1108">
        <v>1310.3735352000001</v>
      </c>
      <c r="I1108">
        <v>1358.9525146000001</v>
      </c>
      <c r="J1108">
        <v>1349.6472168</v>
      </c>
      <c r="K1108">
        <v>0</v>
      </c>
      <c r="L1108">
        <v>1100</v>
      </c>
      <c r="M1108">
        <v>1100</v>
      </c>
      <c r="N1108">
        <v>0</v>
      </c>
    </row>
    <row r="1109" spans="1:14" x14ac:dyDescent="0.25">
      <c r="A1109">
        <v>1016.067731</v>
      </c>
      <c r="B1109" s="1">
        <f>DATE(2013,2,10) + TIME(1,37,31)</f>
        <v>41315.067719907405</v>
      </c>
      <c r="C1109">
        <v>80</v>
      </c>
      <c r="D1109">
        <v>71.916610718000001</v>
      </c>
      <c r="E1109">
        <v>50</v>
      </c>
      <c r="F1109">
        <v>49.940692902000002</v>
      </c>
      <c r="G1109">
        <v>1316.6965332</v>
      </c>
      <c r="H1109">
        <v>1310.1638184000001</v>
      </c>
      <c r="I1109">
        <v>1358.9426269999999</v>
      </c>
      <c r="J1109">
        <v>1349.6400146000001</v>
      </c>
      <c r="K1109">
        <v>0</v>
      </c>
      <c r="L1109">
        <v>1100</v>
      </c>
      <c r="M1109">
        <v>1100</v>
      </c>
      <c r="N1109">
        <v>0</v>
      </c>
    </row>
    <row r="1110" spans="1:14" x14ac:dyDescent="0.25">
      <c r="A1110">
        <v>1019.215677</v>
      </c>
      <c r="B1110" s="1">
        <f>DATE(2013,2,13) + TIME(5,10,34)</f>
        <v>41318.215671296297</v>
      </c>
      <c r="C1110">
        <v>80</v>
      </c>
      <c r="D1110">
        <v>71.697639464999995</v>
      </c>
      <c r="E1110">
        <v>50</v>
      </c>
      <c r="F1110">
        <v>49.940814971999998</v>
      </c>
      <c r="G1110">
        <v>1316.5415039</v>
      </c>
      <c r="H1110">
        <v>1309.9461670000001</v>
      </c>
      <c r="I1110">
        <v>1358.9326172000001</v>
      </c>
      <c r="J1110">
        <v>1349.6328125</v>
      </c>
      <c r="K1110">
        <v>0</v>
      </c>
      <c r="L1110">
        <v>1100</v>
      </c>
      <c r="M1110">
        <v>1100</v>
      </c>
      <c r="N1110">
        <v>0</v>
      </c>
    </row>
    <row r="1111" spans="1:14" x14ac:dyDescent="0.25">
      <c r="A1111">
        <v>1022.437693</v>
      </c>
      <c r="B1111" s="1">
        <f>DATE(2013,2,16) + TIME(10,30,16)</f>
        <v>41321.437685185185</v>
      </c>
      <c r="C1111">
        <v>80</v>
      </c>
      <c r="D1111">
        <v>71.468490600999999</v>
      </c>
      <c r="E1111">
        <v>50</v>
      </c>
      <c r="F1111">
        <v>49.940937042000002</v>
      </c>
      <c r="G1111">
        <v>1316.3820800999999</v>
      </c>
      <c r="H1111">
        <v>1309.7216797000001</v>
      </c>
      <c r="I1111">
        <v>1358.9226074000001</v>
      </c>
      <c r="J1111">
        <v>1349.6257324000001</v>
      </c>
      <c r="K1111">
        <v>0</v>
      </c>
      <c r="L1111">
        <v>1100</v>
      </c>
      <c r="M1111">
        <v>1100</v>
      </c>
      <c r="N1111">
        <v>0</v>
      </c>
    </row>
    <row r="1112" spans="1:14" x14ac:dyDescent="0.25">
      <c r="A1112">
        <v>1025.741996</v>
      </c>
      <c r="B1112" s="1">
        <f>DATE(2013,2,19) + TIME(17,48,28)</f>
        <v>41324.741990740738</v>
      </c>
      <c r="C1112">
        <v>80</v>
      </c>
      <c r="D1112">
        <v>71.228294372999997</v>
      </c>
      <c r="E1112">
        <v>50</v>
      </c>
      <c r="F1112">
        <v>49.941062926999997</v>
      </c>
      <c r="G1112">
        <v>1316.2181396000001</v>
      </c>
      <c r="H1112">
        <v>1309.4901123</v>
      </c>
      <c r="I1112">
        <v>1358.9124756000001</v>
      </c>
      <c r="J1112">
        <v>1349.6184082</v>
      </c>
      <c r="K1112">
        <v>0</v>
      </c>
      <c r="L1112">
        <v>1100</v>
      </c>
      <c r="M1112">
        <v>1100</v>
      </c>
      <c r="N1112">
        <v>0</v>
      </c>
    </row>
    <row r="1113" spans="1:14" x14ac:dyDescent="0.25">
      <c r="A1113">
        <v>1029.118729</v>
      </c>
      <c r="B1113" s="1">
        <f>DATE(2013,2,23) + TIME(2,50,58)</f>
        <v>41328.118726851855</v>
      </c>
      <c r="C1113">
        <v>80</v>
      </c>
      <c r="D1113">
        <v>70.976219177000004</v>
      </c>
      <c r="E1113">
        <v>50</v>
      </c>
      <c r="F1113">
        <v>49.941188812</v>
      </c>
      <c r="G1113">
        <v>1316.0495605000001</v>
      </c>
      <c r="H1113">
        <v>1309.2514647999999</v>
      </c>
      <c r="I1113">
        <v>1358.9023437999999</v>
      </c>
      <c r="J1113">
        <v>1349.6110839999999</v>
      </c>
      <c r="K1113">
        <v>0</v>
      </c>
      <c r="L1113">
        <v>1100</v>
      </c>
      <c r="M1113">
        <v>1100</v>
      </c>
      <c r="N1113">
        <v>0</v>
      </c>
    </row>
    <row r="1114" spans="1:14" x14ac:dyDescent="0.25">
      <c r="A1114">
        <v>1032.5582139999999</v>
      </c>
      <c r="B1114" s="1">
        <f>DATE(2013,2,26) + TIME(13,23,49)</f>
        <v>41331.558206018519</v>
      </c>
      <c r="C1114">
        <v>80</v>
      </c>
      <c r="D1114">
        <v>70.711891174000002</v>
      </c>
      <c r="E1114">
        <v>50</v>
      </c>
      <c r="F1114">
        <v>49.941314697000003</v>
      </c>
      <c r="G1114">
        <v>1315.8768310999999</v>
      </c>
      <c r="H1114">
        <v>1309.0061035000001</v>
      </c>
      <c r="I1114">
        <v>1358.8918457</v>
      </c>
      <c r="J1114">
        <v>1349.6037598</v>
      </c>
      <c r="K1114">
        <v>0</v>
      </c>
      <c r="L1114">
        <v>1100</v>
      </c>
      <c r="M1114">
        <v>1100</v>
      </c>
      <c r="N1114">
        <v>0</v>
      </c>
    </row>
    <row r="1115" spans="1:14" x14ac:dyDescent="0.25">
      <c r="A1115">
        <v>1035</v>
      </c>
      <c r="B1115" s="1">
        <f>DATE(2013,3,1) + TIME(0,0,0)</f>
        <v>41334</v>
      </c>
      <c r="C1115">
        <v>80</v>
      </c>
      <c r="D1115">
        <v>70.469299316000004</v>
      </c>
      <c r="E1115">
        <v>50</v>
      </c>
      <c r="F1115">
        <v>49.941402435000001</v>
      </c>
      <c r="G1115">
        <v>1315.7039795000001</v>
      </c>
      <c r="H1115">
        <v>1308.7639160000001</v>
      </c>
      <c r="I1115">
        <v>1358.8811035000001</v>
      </c>
      <c r="J1115">
        <v>1349.5959473</v>
      </c>
      <c r="K1115">
        <v>0</v>
      </c>
      <c r="L1115">
        <v>1100</v>
      </c>
      <c r="M1115">
        <v>1100</v>
      </c>
      <c r="N1115">
        <v>0</v>
      </c>
    </row>
    <row r="1116" spans="1:14" x14ac:dyDescent="0.25">
      <c r="A1116">
        <v>1038.5116619999999</v>
      </c>
      <c r="B1116" s="1">
        <f>DATE(2013,3,4) + TIME(12,16,47)</f>
        <v>41337.511655092596</v>
      </c>
      <c r="C1116">
        <v>80</v>
      </c>
      <c r="D1116">
        <v>70.217338561999995</v>
      </c>
      <c r="E1116">
        <v>50</v>
      </c>
      <c r="F1116">
        <v>49.941535950000002</v>
      </c>
      <c r="G1116">
        <v>1315.5670166</v>
      </c>
      <c r="H1116">
        <v>1308.5606689000001</v>
      </c>
      <c r="I1116">
        <v>1358.8740233999999</v>
      </c>
      <c r="J1116">
        <v>1349.5909423999999</v>
      </c>
      <c r="K1116">
        <v>0</v>
      </c>
      <c r="L1116">
        <v>1100</v>
      </c>
      <c r="M1116">
        <v>1100</v>
      </c>
      <c r="N1116">
        <v>0</v>
      </c>
    </row>
    <row r="1117" spans="1:14" x14ac:dyDescent="0.25">
      <c r="A1117">
        <v>1042.1691840000001</v>
      </c>
      <c r="B1117" s="1">
        <f>DATE(2013,3,8) + TIME(4,3,37)</f>
        <v>41341.169178240743</v>
      </c>
      <c r="C1117">
        <v>80</v>
      </c>
      <c r="D1117">
        <v>69.928306579999997</v>
      </c>
      <c r="E1117">
        <v>50</v>
      </c>
      <c r="F1117">
        <v>49.941669464</v>
      </c>
      <c r="G1117">
        <v>1315.3922118999999</v>
      </c>
      <c r="H1117">
        <v>1308.3120117000001</v>
      </c>
      <c r="I1117">
        <v>1358.8632812000001</v>
      </c>
      <c r="J1117">
        <v>1349.583374</v>
      </c>
      <c r="K1117">
        <v>0</v>
      </c>
      <c r="L1117">
        <v>1100</v>
      </c>
      <c r="M1117">
        <v>1100</v>
      </c>
      <c r="N1117">
        <v>0</v>
      </c>
    </row>
    <row r="1118" spans="1:14" x14ac:dyDescent="0.25">
      <c r="A1118">
        <v>1045.9250360000001</v>
      </c>
      <c r="B1118" s="1">
        <f>DATE(2013,3,11) + TIME(22,12,3)</f>
        <v>41344.925034722219</v>
      </c>
      <c r="C1118">
        <v>80</v>
      </c>
      <c r="D1118">
        <v>69.612922667999996</v>
      </c>
      <c r="E1118">
        <v>50</v>
      </c>
      <c r="F1118">
        <v>49.941802979000002</v>
      </c>
      <c r="G1118">
        <v>1315.2073975000001</v>
      </c>
      <c r="H1118">
        <v>1308.0473632999999</v>
      </c>
      <c r="I1118">
        <v>1358.8521728999999</v>
      </c>
      <c r="J1118">
        <v>1349.5755615</v>
      </c>
      <c r="K1118">
        <v>0</v>
      </c>
      <c r="L1118">
        <v>1100</v>
      </c>
      <c r="M1118">
        <v>1100</v>
      </c>
      <c r="N1118">
        <v>0</v>
      </c>
    </row>
    <row r="1119" spans="1:14" x14ac:dyDescent="0.25">
      <c r="A1119">
        <v>1049.7735829999999</v>
      </c>
      <c r="B1119" s="1">
        <f>DATE(2013,3,15) + TIME(18,33,57)</f>
        <v>41348.773576388892</v>
      </c>
      <c r="C1119">
        <v>80</v>
      </c>
      <c r="D1119">
        <v>69.276145935000002</v>
      </c>
      <c r="E1119">
        <v>50</v>
      </c>
      <c r="F1119">
        <v>49.941940308</v>
      </c>
      <c r="G1119">
        <v>1315.0167236</v>
      </c>
      <c r="H1119">
        <v>1307.7725829999999</v>
      </c>
      <c r="I1119">
        <v>1358.8408202999999</v>
      </c>
      <c r="J1119">
        <v>1349.5673827999999</v>
      </c>
      <c r="K1119">
        <v>0</v>
      </c>
      <c r="L1119">
        <v>1100</v>
      </c>
      <c r="M1119">
        <v>1100</v>
      </c>
      <c r="N1119">
        <v>0</v>
      </c>
    </row>
    <row r="1120" spans="1:14" x14ac:dyDescent="0.25">
      <c r="A1120">
        <v>1053.7067509999999</v>
      </c>
      <c r="B1120" s="1">
        <f>DATE(2013,3,19) + TIME(16,57,43)</f>
        <v>41352.706747685188</v>
      </c>
      <c r="C1120">
        <v>80</v>
      </c>
      <c r="D1120">
        <v>68.919441223000007</v>
      </c>
      <c r="E1120">
        <v>50</v>
      </c>
      <c r="F1120">
        <v>49.942077636999997</v>
      </c>
      <c r="G1120">
        <v>1314.8216553</v>
      </c>
      <c r="H1120">
        <v>1307.4902344</v>
      </c>
      <c r="I1120">
        <v>1358.8291016000001</v>
      </c>
      <c r="J1120">
        <v>1349.559082</v>
      </c>
      <c r="K1120">
        <v>0</v>
      </c>
      <c r="L1120">
        <v>1100</v>
      </c>
      <c r="M1120">
        <v>1100</v>
      </c>
      <c r="N1120">
        <v>0</v>
      </c>
    </row>
    <row r="1121" spans="1:14" x14ac:dyDescent="0.25">
      <c r="A1121">
        <v>1057.738024</v>
      </c>
      <c r="B1121" s="1">
        <f>DATE(2013,3,23) + TIME(17,42,45)</f>
        <v>41356.738020833334</v>
      </c>
      <c r="C1121">
        <v>80</v>
      </c>
      <c r="D1121">
        <v>68.542602539000001</v>
      </c>
      <c r="E1121">
        <v>50</v>
      </c>
      <c r="F1121">
        <v>49.942218781000001</v>
      </c>
      <c r="G1121">
        <v>1314.6231689000001</v>
      </c>
      <c r="H1121">
        <v>1307.2017822</v>
      </c>
      <c r="I1121">
        <v>1358.8170166</v>
      </c>
      <c r="J1121">
        <v>1349.5505370999999</v>
      </c>
      <c r="K1121">
        <v>0</v>
      </c>
      <c r="L1121">
        <v>1100</v>
      </c>
      <c r="M1121">
        <v>1100</v>
      </c>
      <c r="N1121">
        <v>0</v>
      </c>
    </row>
    <row r="1122" spans="1:14" x14ac:dyDescent="0.25">
      <c r="A1122">
        <v>1061.8817220000001</v>
      </c>
      <c r="B1122" s="1">
        <f>DATE(2013,3,27) + TIME(21,9,40)</f>
        <v>41360.881712962961</v>
      </c>
      <c r="C1122">
        <v>80</v>
      </c>
      <c r="D1122">
        <v>68.144180297999995</v>
      </c>
      <c r="E1122">
        <v>50</v>
      </c>
      <c r="F1122">
        <v>49.942363739000001</v>
      </c>
      <c r="G1122">
        <v>1314.4210204999999</v>
      </c>
      <c r="H1122">
        <v>1306.9068603999999</v>
      </c>
      <c r="I1122">
        <v>1358.8045654</v>
      </c>
      <c r="J1122">
        <v>1349.541626</v>
      </c>
      <c r="K1122">
        <v>0</v>
      </c>
      <c r="L1122">
        <v>1100</v>
      </c>
      <c r="M1122">
        <v>1100</v>
      </c>
      <c r="N1122">
        <v>0</v>
      </c>
    </row>
    <row r="1123" spans="1:14" x14ac:dyDescent="0.25">
      <c r="A1123">
        <v>1066</v>
      </c>
      <c r="B1123" s="1">
        <f>DATE(2013,4,1) + TIME(0,0,0)</f>
        <v>41365</v>
      </c>
      <c r="C1123">
        <v>80</v>
      </c>
      <c r="D1123">
        <v>67.726524353000002</v>
      </c>
      <c r="E1123">
        <v>50</v>
      </c>
      <c r="F1123">
        <v>49.942504882999998</v>
      </c>
      <c r="G1123">
        <v>1314.2155762</v>
      </c>
      <c r="H1123">
        <v>1306.6064452999999</v>
      </c>
      <c r="I1123">
        <v>1358.791626</v>
      </c>
      <c r="J1123">
        <v>1349.5323486</v>
      </c>
      <c r="K1123">
        <v>0</v>
      </c>
      <c r="L1123">
        <v>1100</v>
      </c>
      <c r="M1123">
        <v>1100</v>
      </c>
      <c r="N1123">
        <v>0</v>
      </c>
    </row>
    <row r="1124" spans="1:14" x14ac:dyDescent="0.25">
      <c r="A1124">
        <v>1070.2720139999999</v>
      </c>
      <c r="B1124" s="1">
        <f>DATE(2013,4,5) + TIME(6,31,41)</f>
        <v>41369.272002314814</v>
      </c>
      <c r="C1124">
        <v>80</v>
      </c>
      <c r="D1124">
        <v>67.291610718000001</v>
      </c>
      <c r="E1124">
        <v>50</v>
      </c>
      <c r="F1124">
        <v>49.942649840999998</v>
      </c>
      <c r="G1124">
        <v>1314.0118408000001</v>
      </c>
      <c r="H1124">
        <v>1306.3061522999999</v>
      </c>
      <c r="I1124">
        <v>1358.7786865</v>
      </c>
      <c r="J1124">
        <v>1349.5230713000001</v>
      </c>
      <c r="K1124">
        <v>0</v>
      </c>
      <c r="L1124">
        <v>1100</v>
      </c>
      <c r="M1124">
        <v>1100</v>
      </c>
      <c r="N1124">
        <v>0</v>
      </c>
    </row>
    <row r="1125" spans="1:14" x14ac:dyDescent="0.25">
      <c r="A1125">
        <v>1074.76857</v>
      </c>
      <c r="B1125" s="1">
        <f>DATE(2013,4,9) + TIME(18,26,44)</f>
        <v>41373.768564814818</v>
      </c>
      <c r="C1125">
        <v>80</v>
      </c>
      <c r="D1125">
        <v>66.829696655000006</v>
      </c>
      <c r="E1125">
        <v>50</v>
      </c>
      <c r="F1125">
        <v>49.942798615000001</v>
      </c>
      <c r="G1125">
        <v>1313.8043213000001</v>
      </c>
      <c r="H1125">
        <v>1305.9992675999999</v>
      </c>
      <c r="I1125">
        <v>1358.7651367000001</v>
      </c>
      <c r="J1125">
        <v>1349.5133057</v>
      </c>
      <c r="K1125">
        <v>0</v>
      </c>
      <c r="L1125">
        <v>1100</v>
      </c>
      <c r="M1125">
        <v>1100</v>
      </c>
      <c r="N1125">
        <v>0</v>
      </c>
    </row>
    <row r="1126" spans="1:14" x14ac:dyDescent="0.25">
      <c r="A1126">
        <v>1079.380639</v>
      </c>
      <c r="B1126" s="1">
        <f>DATE(2013,4,14) + TIME(9,8,7)</f>
        <v>41378.380636574075</v>
      </c>
      <c r="C1126">
        <v>80</v>
      </c>
      <c r="D1126">
        <v>66.336776732999994</v>
      </c>
      <c r="E1126">
        <v>50</v>
      </c>
      <c r="F1126">
        <v>49.942951202000003</v>
      </c>
      <c r="G1126">
        <v>1313.5900879000001</v>
      </c>
      <c r="H1126">
        <v>1305.6818848</v>
      </c>
      <c r="I1126">
        <v>1358.7506103999999</v>
      </c>
      <c r="J1126">
        <v>1349.5028076000001</v>
      </c>
      <c r="K1126">
        <v>0</v>
      </c>
      <c r="L1126">
        <v>1100</v>
      </c>
      <c r="M1126">
        <v>1100</v>
      </c>
      <c r="N1126">
        <v>0</v>
      </c>
    </row>
    <row r="1127" spans="1:14" x14ac:dyDescent="0.25">
      <c r="A1127">
        <v>1084.1107999999999</v>
      </c>
      <c r="B1127" s="1">
        <f>DATE(2013,4,19) + TIME(2,39,33)</f>
        <v>41383.110798611109</v>
      </c>
      <c r="C1127">
        <v>80</v>
      </c>
      <c r="D1127">
        <v>65.817375182999996</v>
      </c>
      <c r="E1127">
        <v>50</v>
      </c>
      <c r="F1127">
        <v>49.943107605000002</v>
      </c>
      <c r="G1127">
        <v>1313.3731689000001</v>
      </c>
      <c r="H1127">
        <v>1305.3586425999999</v>
      </c>
      <c r="I1127">
        <v>1358.7354736</v>
      </c>
      <c r="J1127">
        <v>1349.4916992000001</v>
      </c>
      <c r="K1127">
        <v>0</v>
      </c>
      <c r="L1127">
        <v>1100</v>
      </c>
      <c r="M1127">
        <v>1100</v>
      </c>
      <c r="N1127">
        <v>0</v>
      </c>
    </row>
    <row r="1128" spans="1:14" x14ac:dyDescent="0.25">
      <c r="A1128">
        <v>1088.95703</v>
      </c>
      <c r="B1128" s="1">
        <f>DATE(2013,4,23) + TIME(22,58,7)</f>
        <v>41387.957025462965</v>
      </c>
      <c r="C1128">
        <v>80</v>
      </c>
      <c r="D1128">
        <v>65.273086547999995</v>
      </c>
      <c r="E1128">
        <v>50</v>
      </c>
      <c r="F1128">
        <v>49.943264008</v>
      </c>
      <c r="G1128">
        <v>1313.1546631000001</v>
      </c>
      <c r="H1128">
        <v>1305.0314940999999</v>
      </c>
      <c r="I1128">
        <v>1358.7197266000001</v>
      </c>
      <c r="J1128">
        <v>1349.4802245999999</v>
      </c>
      <c r="K1128">
        <v>0</v>
      </c>
      <c r="L1128">
        <v>1100</v>
      </c>
      <c r="M1128">
        <v>1100</v>
      </c>
      <c r="N1128">
        <v>0</v>
      </c>
    </row>
    <row r="1129" spans="1:14" x14ac:dyDescent="0.25">
      <c r="A1129">
        <v>1093.930165</v>
      </c>
      <c r="B1129" s="1">
        <f>DATE(2013,4,28) + TIME(22,19,26)</f>
        <v>41392.930162037039</v>
      </c>
      <c r="C1129">
        <v>80</v>
      </c>
      <c r="D1129">
        <v>64.704872131000002</v>
      </c>
      <c r="E1129">
        <v>50</v>
      </c>
      <c r="F1129">
        <v>49.943424225000001</v>
      </c>
      <c r="G1129">
        <v>1312.9353027</v>
      </c>
      <c r="H1129">
        <v>1304.7016602000001</v>
      </c>
      <c r="I1129">
        <v>1358.7033690999999</v>
      </c>
      <c r="J1129">
        <v>1349.4681396000001</v>
      </c>
      <c r="K1129">
        <v>0</v>
      </c>
      <c r="L1129">
        <v>1100</v>
      </c>
      <c r="M1129">
        <v>1100</v>
      </c>
      <c r="N1129">
        <v>0</v>
      </c>
    </row>
    <row r="1130" spans="1:14" x14ac:dyDescent="0.25">
      <c r="A1130">
        <v>1096</v>
      </c>
      <c r="B1130" s="1">
        <f>DATE(2013,5,1) + TIME(0,0,0)</f>
        <v>41395</v>
      </c>
      <c r="C1130">
        <v>80</v>
      </c>
      <c r="D1130">
        <v>64.263221740999995</v>
      </c>
      <c r="E1130">
        <v>50</v>
      </c>
      <c r="F1130">
        <v>49.943481445000003</v>
      </c>
      <c r="G1130">
        <v>1312.7214355000001</v>
      </c>
      <c r="H1130">
        <v>1304.3978271000001</v>
      </c>
      <c r="I1130">
        <v>1358.6856689000001</v>
      </c>
      <c r="J1130">
        <v>1349.4548339999999</v>
      </c>
      <c r="K1130">
        <v>0</v>
      </c>
      <c r="L1130">
        <v>1100</v>
      </c>
      <c r="M1130">
        <v>1100</v>
      </c>
      <c r="N1130">
        <v>0</v>
      </c>
    </row>
    <row r="1131" spans="1:14" x14ac:dyDescent="0.25">
      <c r="A1131">
        <v>1096.0000010000001</v>
      </c>
      <c r="B1131" s="1">
        <f>DATE(2013,5,1) + TIME(0,0,0)</f>
        <v>41395</v>
      </c>
      <c r="C1131">
        <v>80</v>
      </c>
      <c r="D1131">
        <v>64.263298035000005</v>
      </c>
      <c r="E1131">
        <v>50</v>
      </c>
      <c r="F1131">
        <v>49.943428040000001</v>
      </c>
      <c r="G1131">
        <v>1322.3427733999999</v>
      </c>
      <c r="H1131">
        <v>1313.2143555</v>
      </c>
      <c r="I1131">
        <v>1349.0541992000001</v>
      </c>
      <c r="J1131">
        <v>1340.7099608999999</v>
      </c>
      <c r="K1131">
        <v>1100</v>
      </c>
      <c r="L1131">
        <v>0</v>
      </c>
      <c r="M1131">
        <v>0</v>
      </c>
      <c r="N1131">
        <v>1100</v>
      </c>
    </row>
    <row r="1132" spans="1:14" x14ac:dyDescent="0.25">
      <c r="A1132">
        <v>1096.000004</v>
      </c>
      <c r="B1132" s="1">
        <f>DATE(2013,5,1) + TIME(0,0,0)</f>
        <v>41395</v>
      </c>
      <c r="C1132">
        <v>80</v>
      </c>
      <c r="D1132">
        <v>64.263496399000005</v>
      </c>
      <c r="E1132">
        <v>50</v>
      </c>
      <c r="F1132">
        <v>49.943294524999999</v>
      </c>
      <c r="G1132">
        <v>1323.4477539</v>
      </c>
      <c r="H1132">
        <v>1314.4846190999999</v>
      </c>
      <c r="I1132">
        <v>1347.9854736</v>
      </c>
      <c r="J1132">
        <v>1339.640625</v>
      </c>
      <c r="K1132">
        <v>1100</v>
      </c>
      <c r="L1132">
        <v>0</v>
      </c>
      <c r="M1132">
        <v>0</v>
      </c>
      <c r="N1132">
        <v>1100</v>
      </c>
    </row>
    <row r="1133" spans="1:14" x14ac:dyDescent="0.25">
      <c r="A1133">
        <v>1096.0000130000001</v>
      </c>
      <c r="B1133" s="1">
        <f>DATE(2013,5,1) + TIME(0,0,1)</f>
        <v>41395.000011574077</v>
      </c>
      <c r="C1133">
        <v>80</v>
      </c>
      <c r="D1133">
        <v>64.263954162999994</v>
      </c>
      <c r="E1133">
        <v>50</v>
      </c>
      <c r="F1133">
        <v>49.942993164000001</v>
      </c>
      <c r="G1133">
        <v>1325.8948975000001</v>
      </c>
      <c r="H1133">
        <v>1317.1547852000001</v>
      </c>
      <c r="I1133">
        <v>1345.5876464999999</v>
      </c>
      <c r="J1133">
        <v>1337.2420654</v>
      </c>
      <c r="K1133">
        <v>1100</v>
      </c>
      <c r="L1133">
        <v>0</v>
      </c>
      <c r="M1133">
        <v>0</v>
      </c>
      <c r="N1133">
        <v>1100</v>
      </c>
    </row>
    <row r="1134" spans="1:14" x14ac:dyDescent="0.25">
      <c r="A1134">
        <v>1096.0000399999999</v>
      </c>
      <c r="B1134" s="1">
        <f>DATE(2013,5,1) + TIME(0,0,3)</f>
        <v>41395.000034722223</v>
      </c>
      <c r="C1134">
        <v>80</v>
      </c>
      <c r="D1134">
        <v>64.264793396000002</v>
      </c>
      <c r="E1134">
        <v>50</v>
      </c>
      <c r="F1134">
        <v>49.942485808999997</v>
      </c>
      <c r="G1134">
        <v>1329.9403076000001</v>
      </c>
      <c r="H1134">
        <v>1321.2947998</v>
      </c>
      <c r="I1134">
        <v>1341.5788574000001</v>
      </c>
      <c r="J1134">
        <v>1333.2341309000001</v>
      </c>
      <c r="K1134">
        <v>1100</v>
      </c>
      <c r="L1134">
        <v>0</v>
      </c>
      <c r="M1134">
        <v>0</v>
      </c>
      <c r="N1134">
        <v>1100</v>
      </c>
    </row>
    <row r="1135" spans="1:14" x14ac:dyDescent="0.25">
      <c r="A1135">
        <v>1096.000121</v>
      </c>
      <c r="B1135" s="1">
        <f>DATE(2013,5,1) + TIME(0,0,10)</f>
        <v>41395.000115740739</v>
      </c>
      <c r="C1135">
        <v>80</v>
      </c>
      <c r="D1135">
        <v>64.266319275000001</v>
      </c>
      <c r="E1135">
        <v>50</v>
      </c>
      <c r="F1135">
        <v>49.941860198999997</v>
      </c>
      <c r="G1135">
        <v>1334.8935547000001</v>
      </c>
      <c r="H1135">
        <v>1326.1700439000001</v>
      </c>
      <c r="I1135">
        <v>1336.6817627</v>
      </c>
      <c r="J1135">
        <v>1328.3417969</v>
      </c>
      <c r="K1135">
        <v>1100</v>
      </c>
      <c r="L1135">
        <v>0</v>
      </c>
      <c r="M1135">
        <v>0</v>
      </c>
      <c r="N1135">
        <v>1100</v>
      </c>
    </row>
    <row r="1136" spans="1:14" x14ac:dyDescent="0.25">
      <c r="A1136">
        <v>1096.000364</v>
      </c>
      <c r="B1136" s="1">
        <f>DATE(2013,5,1) + TIME(0,0,31)</f>
        <v>41395.000358796293</v>
      </c>
      <c r="C1136">
        <v>80</v>
      </c>
      <c r="D1136">
        <v>64.269645690999994</v>
      </c>
      <c r="E1136">
        <v>50</v>
      </c>
      <c r="F1136">
        <v>49.941200256000002</v>
      </c>
      <c r="G1136">
        <v>1340.0897216999999</v>
      </c>
      <c r="H1136">
        <v>1331.2514647999999</v>
      </c>
      <c r="I1136">
        <v>1331.6318358999999</v>
      </c>
      <c r="J1136">
        <v>1323.2989502</v>
      </c>
      <c r="K1136">
        <v>1100</v>
      </c>
      <c r="L1136">
        <v>0</v>
      </c>
      <c r="M1136">
        <v>0</v>
      </c>
      <c r="N1136">
        <v>1100</v>
      </c>
    </row>
    <row r="1137" spans="1:14" x14ac:dyDescent="0.25">
      <c r="A1137">
        <v>1096.0010930000001</v>
      </c>
      <c r="B1137" s="1">
        <f>DATE(2013,5,1) + TIME(0,1,34)</f>
        <v>41395.001087962963</v>
      </c>
      <c r="C1137">
        <v>80</v>
      </c>
      <c r="D1137">
        <v>64.278396606000001</v>
      </c>
      <c r="E1137">
        <v>50</v>
      </c>
      <c r="F1137">
        <v>49.940475464000002</v>
      </c>
      <c r="G1137">
        <v>1345.4554443</v>
      </c>
      <c r="H1137">
        <v>1336.4982910000001</v>
      </c>
      <c r="I1137">
        <v>1326.5604248</v>
      </c>
      <c r="J1137">
        <v>1318.2165527</v>
      </c>
      <c r="K1137">
        <v>1100</v>
      </c>
      <c r="L1137">
        <v>0</v>
      </c>
      <c r="M1137">
        <v>0</v>
      </c>
      <c r="N1137">
        <v>1100</v>
      </c>
    </row>
    <row r="1138" spans="1:14" x14ac:dyDescent="0.25">
      <c r="A1138">
        <v>1096.0032799999999</v>
      </c>
      <c r="B1138" s="1">
        <f>DATE(2013,5,1) + TIME(0,4,43)</f>
        <v>41395.003275462965</v>
      </c>
      <c r="C1138">
        <v>80</v>
      </c>
      <c r="D1138">
        <v>64.303512573000006</v>
      </c>
      <c r="E1138">
        <v>50</v>
      </c>
      <c r="F1138">
        <v>49.939582825000002</v>
      </c>
      <c r="G1138">
        <v>1350.8254394999999</v>
      </c>
      <c r="H1138">
        <v>1341.7545166</v>
      </c>
      <c r="I1138">
        <v>1321.5548096</v>
      </c>
      <c r="J1138">
        <v>1313.1425781</v>
      </c>
      <c r="K1138">
        <v>1100</v>
      </c>
      <c r="L1138">
        <v>0</v>
      </c>
      <c r="M1138">
        <v>0</v>
      </c>
      <c r="N1138">
        <v>1100</v>
      </c>
    </row>
    <row r="1139" spans="1:14" x14ac:dyDescent="0.25">
      <c r="A1139">
        <v>1096.0098410000001</v>
      </c>
      <c r="B1139" s="1">
        <f>DATE(2013,5,1) + TIME(0,14,10)</f>
        <v>41395.009837962964</v>
      </c>
      <c r="C1139">
        <v>80</v>
      </c>
      <c r="D1139">
        <v>64.377616881999998</v>
      </c>
      <c r="E1139">
        <v>50</v>
      </c>
      <c r="F1139">
        <v>49.938251495000003</v>
      </c>
      <c r="G1139">
        <v>1355.3625488</v>
      </c>
      <c r="H1139">
        <v>1346.2241211</v>
      </c>
      <c r="I1139">
        <v>1317.2314452999999</v>
      </c>
      <c r="J1139">
        <v>1308.7263184000001</v>
      </c>
      <c r="K1139">
        <v>1100</v>
      </c>
      <c r="L1139">
        <v>0</v>
      </c>
      <c r="M1139">
        <v>0</v>
      </c>
      <c r="N1139">
        <v>1100</v>
      </c>
    </row>
    <row r="1140" spans="1:14" x14ac:dyDescent="0.25">
      <c r="A1140">
        <v>1096.029524</v>
      </c>
      <c r="B1140" s="1">
        <f>DATE(2013,5,1) + TIME(0,42,30)</f>
        <v>41395.029513888891</v>
      </c>
      <c r="C1140">
        <v>80</v>
      </c>
      <c r="D1140">
        <v>64.596054077000005</v>
      </c>
      <c r="E1140">
        <v>50</v>
      </c>
      <c r="F1140">
        <v>49.935546875</v>
      </c>
      <c r="G1140">
        <v>1358.2294922000001</v>
      </c>
      <c r="H1140">
        <v>1349.0926514</v>
      </c>
      <c r="I1140">
        <v>1314.4195557</v>
      </c>
      <c r="J1140">
        <v>1305.8597411999999</v>
      </c>
      <c r="K1140">
        <v>1100</v>
      </c>
      <c r="L1140">
        <v>0</v>
      </c>
      <c r="M1140">
        <v>0</v>
      </c>
      <c r="N1140">
        <v>1100</v>
      </c>
    </row>
    <row r="1141" spans="1:14" x14ac:dyDescent="0.25">
      <c r="A1141">
        <v>1096.085914</v>
      </c>
      <c r="B1141" s="1">
        <f>DATE(2013,5,1) + TIME(2,3,42)</f>
        <v>41395.085902777777</v>
      </c>
      <c r="C1141">
        <v>80</v>
      </c>
      <c r="D1141">
        <v>65.196403502999999</v>
      </c>
      <c r="E1141">
        <v>50</v>
      </c>
      <c r="F1141">
        <v>49.928817748999997</v>
      </c>
      <c r="G1141">
        <v>1359.3776855000001</v>
      </c>
      <c r="H1141">
        <v>1350.3195800999999</v>
      </c>
      <c r="I1141">
        <v>1313.3126221</v>
      </c>
      <c r="J1141">
        <v>1304.7352295000001</v>
      </c>
      <c r="K1141">
        <v>1100</v>
      </c>
      <c r="L1141">
        <v>0</v>
      </c>
      <c r="M1141">
        <v>0</v>
      </c>
      <c r="N1141">
        <v>1100</v>
      </c>
    </row>
    <row r="1142" spans="1:14" x14ac:dyDescent="0.25">
      <c r="A1142">
        <v>1096.143462</v>
      </c>
      <c r="B1142" s="1">
        <f>DATE(2013,5,1) + TIME(3,26,35)</f>
        <v>41395.143460648149</v>
      </c>
      <c r="C1142">
        <v>80</v>
      </c>
      <c r="D1142">
        <v>65.785385132000002</v>
      </c>
      <c r="E1142">
        <v>50</v>
      </c>
      <c r="F1142">
        <v>49.922134399000001</v>
      </c>
      <c r="G1142">
        <v>1359.5706786999999</v>
      </c>
      <c r="H1142">
        <v>1350.5761719</v>
      </c>
      <c r="I1142">
        <v>1313.1427002</v>
      </c>
      <c r="J1142">
        <v>1304.5623779</v>
      </c>
      <c r="K1142">
        <v>1100</v>
      </c>
      <c r="L1142">
        <v>0</v>
      </c>
      <c r="M1142">
        <v>0</v>
      </c>
      <c r="N1142">
        <v>1100</v>
      </c>
    </row>
    <row r="1143" spans="1:14" x14ac:dyDescent="0.25">
      <c r="A1143">
        <v>1096.2022030000001</v>
      </c>
      <c r="B1143" s="1">
        <f>DATE(2013,5,1) + TIME(4,51,10)</f>
        <v>41395.202199074076</v>
      </c>
      <c r="C1143">
        <v>80</v>
      </c>
      <c r="D1143">
        <v>66.362792968999997</v>
      </c>
      <c r="E1143">
        <v>50</v>
      </c>
      <c r="F1143">
        <v>49.915405272999998</v>
      </c>
      <c r="G1143">
        <v>1359.5578613</v>
      </c>
      <c r="H1143">
        <v>1350.6248779</v>
      </c>
      <c r="I1143">
        <v>1313.1256103999999</v>
      </c>
      <c r="J1143">
        <v>1304.5444336</v>
      </c>
      <c r="K1143">
        <v>1100</v>
      </c>
      <c r="L1143">
        <v>0</v>
      </c>
      <c r="M1143">
        <v>0</v>
      </c>
      <c r="N1143">
        <v>1100</v>
      </c>
    </row>
    <row r="1144" spans="1:14" x14ac:dyDescent="0.25">
      <c r="A1144">
        <v>1096.2621810000001</v>
      </c>
      <c r="B1144" s="1">
        <f>DATE(2013,5,1) + TIME(6,17,32)</f>
        <v>41395.262175925927</v>
      </c>
      <c r="C1144">
        <v>80</v>
      </c>
      <c r="D1144">
        <v>66.928558350000003</v>
      </c>
      <c r="E1144">
        <v>50</v>
      </c>
      <c r="F1144">
        <v>49.908603667999998</v>
      </c>
      <c r="G1144">
        <v>1359.4946289</v>
      </c>
      <c r="H1144">
        <v>1350.6206055</v>
      </c>
      <c r="I1144">
        <v>1313.1297606999999</v>
      </c>
      <c r="J1144">
        <v>1304.5480957</v>
      </c>
      <c r="K1144">
        <v>1100</v>
      </c>
      <c r="L1144">
        <v>0</v>
      </c>
      <c r="M1144">
        <v>0</v>
      </c>
      <c r="N1144">
        <v>1100</v>
      </c>
    </row>
    <row r="1145" spans="1:14" x14ac:dyDescent="0.25">
      <c r="A1145">
        <v>1096.323404</v>
      </c>
      <c r="B1145" s="1">
        <f>DATE(2013,5,1) + TIME(7,45,42)</f>
        <v>41395.32340277778</v>
      </c>
      <c r="C1145">
        <v>80</v>
      </c>
      <c r="D1145">
        <v>67.482246399000005</v>
      </c>
      <c r="E1145">
        <v>50</v>
      </c>
      <c r="F1145">
        <v>49.901729584000002</v>
      </c>
      <c r="G1145">
        <v>1359.4191894999999</v>
      </c>
      <c r="H1145">
        <v>1350.6015625</v>
      </c>
      <c r="I1145">
        <v>1313.1339111</v>
      </c>
      <c r="J1145">
        <v>1304.5517577999999</v>
      </c>
      <c r="K1145">
        <v>1100</v>
      </c>
      <c r="L1145">
        <v>0</v>
      </c>
      <c r="M1145">
        <v>0</v>
      </c>
      <c r="N1145">
        <v>1100</v>
      </c>
    </row>
    <row r="1146" spans="1:14" x14ac:dyDescent="0.25">
      <c r="A1146">
        <v>1096.38591</v>
      </c>
      <c r="B1146" s="1">
        <f>DATE(2013,5,1) + TIME(9,15,42)</f>
        <v>41395.38590277778</v>
      </c>
      <c r="C1146">
        <v>80</v>
      </c>
      <c r="D1146">
        <v>68.023719787999994</v>
      </c>
      <c r="E1146">
        <v>50</v>
      </c>
      <c r="F1146">
        <v>49.894786834999998</v>
      </c>
      <c r="G1146">
        <v>1359.3422852000001</v>
      </c>
      <c r="H1146">
        <v>1350.5786132999999</v>
      </c>
      <c r="I1146">
        <v>1313.1362305</v>
      </c>
      <c r="J1146">
        <v>1304.5537108999999</v>
      </c>
      <c r="K1146">
        <v>1100</v>
      </c>
      <c r="L1146">
        <v>0</v>
      </c>
      <c r="M1146">
        <v>0</v>
      </c>
      <c r="N1146">
        <v>1100</v>
      </c>
    </row>
    <row r="1147" spans="1:14" x14ac:dyDescent="0.25">
      <c r="A1147">
        <v>1096.449766</v>
      </c>
      <c r="B1147" s="1">
        <f>DATE(2013,5,1) + TIME(10,47,39)</f>
        <v>41395.449756944443</v>
      </c>
      <c r="C1147">
        <v>80</v>
      </c>
      <c r="D1147">
        <v>68.553047179999993</v>
      </c>
      <c r="E1147">
        <v>50</v>
      </c>
      <c r="F1147">
        <v>49.887763976999999</v>
      </c>
      <c r="G1147">
        <v>1359.2673339999999</v>
      </c>
      <c r="H1147">
        <v>1350.5552978999999</v>
      </c>
      <c r="I1147">
        <v>1313.1373291</v>
      </c>
      <c r="J1147">
        <v>1304.5544434000001</v>
      </c>
      <c r="K1147">
        <v>1100</v>
      </c>
      <c r="L1147">
        <v>0</v>
      </c>
      <c r="M1147">
        <v>0</v>
      </c>
      <c r="N1147">
        <v>1100</v>
      </c>
    </row>
    <row r="1148" spans="1:14" x14ac:dyDescent="0.25">
      <c r="A1148">
        <v>1096.5150470000001</v>
      </c>
      <c r="B1148" s="1">
        <f>DATE(2013,5,1) + TIME(12,21,40)</f>
        <v>41395.515046296299</v>
      </c>
      <c r="C1148">
        <v>80</v>
      </c>
      <c r="D1148">
        <v>69.070327758999994</v>
      </c>
      <c r="E1148">
        <v>50</v>
      </c>
      <c r="F1148">
        <v>49.880657196000001</v>
      </c>
      <c r="G1148">
        <v>1359.1953125</v>
      </c>
      <c r="H1148">
        <v>1350.5325928</v>
      </c>
      <c r="I1148">
        <v>1313.1379394999999</v>
      </c>
      <c r="J1148">
        <v>1304.5545654</v>
      </c>
      <c r="K1148">
        <v>1100</v>
      </c>
      <c r="L1148">
        <v>0</v>
      </c>
      <c r="M1148">
        <v>0</v>
      </c>
      <c r="N1148">
        <v>1100</v>
      </c>
    </row>
    <row r="1149" spans="1:14" x14ac:dyDescent="0.25">
      <c r="A1149">
        <v>1096.581829</v>
      </c>
      <c r="B1149" s="1">
        <f>DATE(2013,5,1) + TIME(13,57,50)</f>
        <v>41395.581828703704</v>
      </c>
      <c r="C1149">
        <v>80</v>
      </c>
      <c r="D1149">
        <v>69.575614928999997</v>
      </c>
      <c r="E1149">
        <v>50</v>
      </c>
      <c r="F1149">
        <v>49.873466491999999</v>
      </c>
      <c r="G1149">
        <v>1359.1264647999999</v>
      </c>
      <c r="H1149">
        <v>1350.5108643000001</v>
      </c>
      <c r="I1149">
        <v>1313.1383057</v>
      </c>
      <c r="J1149">
        <v>1304.5543213000001</v>
      </c>
      <c r="K1149">
        <v>1100</v>
      </c>
      <c r="L1149">
        <v>0</v>
      </c>
      <c r="M1149">
        <v>0</v>
      </c>
      <c r="N1149">
        <v>1100</v>
      </c>
    </row>
    <row r="1150" spans="1:14" x14ac:dyDescent="0.25">
      <c r="A1150">
        <v>1096.6501969999999</v>
      </c>
      <c r="B1150" s="1">
        <f>DATE(2013,5,1) + TIME(15,36,17)</f>
        <v>41395.650196759256</v>
      </c>
      <c r="C1150">
        <v>80</v>
      </c>
      <c r="D1150">
        <v>70.068916321000003</v>
      </c>
      <c r="E1150">
        <v>50</v>
      </c>
      <c r="F1150">
        <v>49.866176605</v>
      </c>
      <c r="G1150">
        <v>1359.0607910000001</v>
      </c>
      <c r="H1150">
        <v>1350.4902344</v>
      </c>
      <c r="I1150">
        <v>1313.1384277</v>
      </c>
      <c r="J1150">
        <v>1304.5540771000001</v>
      </c>
      <c r="K1150">
        <v>1100</v>
      </c>
      <c r="L1150">
        <v>0</v>
      </c>
      <c r="M1150">
        <v>0</v>
      </c>
      <c r="N1150">
        <v>1100</v>
      </c>
    </row>
    <row r="1151" spans="1:14" x14ac:dyDescent="0.25">
      <c r="A1151">
        <v>1096.720239</v>
      </c>
      <c r="B1151" s="1">
        <f>DATE(2013,5,1) + TIME(17,17,8)</f>
        <v>41395.720231481479</v>
      </c>
      <c r="C1151">
        <v>80</v>
      </c>
      <c r="D1151">
        <v>70.550003051999994</v>
      </c>
      <c r="E1151">
        <v>50</v>
      </c>
      <c r="F1151">
        <v>49.858787536999998</v>
      </c>
      <c r="G1151">
        <v>1358.9980469</v>
      </c>
      <c r="H1151">
        <v>1350.4707031</v>
      </c>
      <c r="I1151">
        <v>1313.1385498</v>
      </c>
      <c r="J1151">
        <v>1304.5537108999999</v>
      </c>
      <c r="K1151">
        <v>1100</v>
      </c>
      <c r="L1151">
        <v>0</v>
      </c>
      <c r="M1151">
        <v>0</v>
      </c>
      <c r="N1151">
        <v>1100</v>
      </c>
    </row>
    <row r="1152" spans="1:14" x14ac:dyDescent="0.25">
      <c r="A1152">
        <v>1096.792038</v>
      </c>
      <c r="B1152" s="1">
        <f>DATE(2013,5,1) + TIME(19,0,32)</f>
        <v>41395.792037037034</v>
      </c>
      <c r="C1152">
        <v>80</v>
      </c>
      <c r="D1152">
        <v>71.019119262999993</v>
      </c>
      <c r="E1152">
        <v>50</v>
      </c>
      <c r="F1152">
        <v>49.851291656000001</v>
      </c>
      <c r="G1152">
        <v>1358.9383545000001</v>
      </c>
      <c r="H1152">
        <v>1350.4522704999999</v>
      </c>
      <c r="I1152">
        <v>1313.1386719</v>
      </c>
      <c r="J1152">
        <v>1304.5532227000001</v>
      </c>
      <c r="K1152">
        <v>1100</v>
      </c>
      <c r="L1152">
        <v>0</v>
      </c>
      <c r="M1152">
        <v>0</v>
      </c>
      <c r="N1152">
        <v>1100</v>
      </c>
    </row>
    <row r="1153" spans="1:14" x14ac:dyDescent="0.25">
      <c r="A1153">
        <v>1096.8657029999999</v>
      </c>
      <c r="B1153" s="1">
        <f>DATE(2013,5,1) + TIME(20,46,36)</f>
        <v>41395.865694444445</v>
      </c>
      <c r="C1153">
        <v>80</v>
      </c>
      <c r="D1153">
        <v>71.476348877000007</v>
      </c>
      <c r="E1153">
        <v>50</v>
      </c>
      <c r="F1153">
        <v>49.843681334999999</v>
      </c>
      <c r="G1153">
        <v>1358.8812256000001</v>
      </c>
      <c r="H1153">
        <v>1350.4346923999999</v>
      </c>
      <c r="I1153">
        <v>1313.1386719</v>
      </c>
      <c r="J1153">
        <v>1304.5527344</v>
      </c>
      <c r="K1153">
        <v>1100</v>
      </c>
      <c r="L1153">
        <v>0</v>
      </c>
      <c r="M1153">
        <v>0</v>
      </c>
      <c r="N1153">
        <v>1100</v>
      </c>
    </row>
    <row r="1154" spans="1:14" x14ac:dyDescent="0.25">
      <c r="A1154">
        <v>1096.9413489999999</v>
      </c>
      <c r="B1154" s="1">
        <f>DATE(2013,5,1) + TIME(22,35,32)</f>
        <v>41395.941342592596</v>
      </c>
      <c r="C1154">
        <v>80</v>
      </c>
      <c r="D1154">
        <v>71.921714782999999</v>
      </c>
      <c r="E1154">
        <v>50</v>
      </c>
      <c r="F1154">
        <v>49.835948944000002</v>
      </c>
      <c r="G1154">
        <v>1358.8267822</v>
      </c>
      <c r="H1154">
        <v>1350.4179687999999</v>
      </c>
      <c r="I1154">
        <v>1313.1386719</v>
      </c>
      <c r="J1154">
        <v>1304.5522461</v>
      </c>
      <c r="K1154">
        <v>1100</v>
      </c>
      <c r="L1154">
        <v>0</v>
      </c>
      <c r="M1154">
        <v>0</v>
      </c>
      <c r="N1154">
        <v>1100</v>
      </c>
    </row>
    <row r="1155" spans="1:14" x14ac:dyDescent="0.25">
      <c r="A1155">
        <v>1097.0190930000001</v>
      </c>
      <c r="B1155" s="1">
        <f>DATE(2013,5,2) + TIME(0,27,29)</f>
        <v>41396.019085648149</v>
      </c>
      <c r="C1155">
        <v>80</v>
      </c>
      <c r="D1155">
        <v>72.355201721</v>
      </c>
      <c r="E1155">
        <v>50</v>
      </c>
      <c r="F1155">
        <v>49.828086853000002</v>
      </c>
      <c r="G1155">
        <v>1358.7747803</v>
      </c>
      <c r="H1155">
        <v>1350.4019774999999</v>
      </c>
      <c r="I1155">
        <v>1313.1386719</v>
      </c>
      <c r="J1155">
        <v>1304.5516356999999</v>
      </c>
      <c r="K1155">
        <v>1100</v>
      </c>
      <c r="L1155">
        <v>0</v>
      </c>
      <c r="M1155">
        <v>0</v>
      </c>
      <c r="N1155">
        <v>1100</v>
      </c>
    </row>
    <row r="1156" spans="1:14" x14ac:dyDescent="0.25">
      <c r="A1156">
        <v>1097.099062</v>
      </c>
      <c r="B1156" s="1">
        <f>DATE(2013,5,2) + TIME(2,22,38)</f>
        <v>41396.099050925928</v>
      </c>
      <c r="C1156">
        <v>80</v>
      </c>
      <c r="D1156">
        <v>72.776802063000005</v>
      </c>
      <c r="E1156">
        <v>50</v>
      </c>
      <c r="F1156">
        <v>49.820083617999998</v>
      </c>
      <c r="G1156">
        <v>1358.7250977000001</v>
      </c>
      <c r="H1156">
        <v>1350.3868408000001</v>
      </c>
      <c r="I1156">
        <v>1313.1385498</v>
      </c>
      <c r="J1156">
        <v>1304.5510254000001</v>
      </c>
      <c r="K1156">
        <v>1100</v>
      </c>
      <c r="L1156">
        <v>0</v>
      </c>
      <c r="M1156">
        <v>0</v>
      </c>
      <c r="N1156">
        <v>1100</v>
      </c>
    </row>
    <row r="1157" spans="1:14" x14ac:dyDescent="0.25">
      <c r="A1157">
        <v>1097.1813950000001</v>
      </c>
      <c r="B1157" s="1">
        <f>DATE(2013,5,2) + TIME(4,21,12)</f>
        <v>41396.181388888886</v>
      </c>
      <c r="C1157">
        <v>80</v>
      </c>
      <c r="D1157">
        <v>73.186492920000006</v>
      </c>
      <c r="E1157">
        <v>50</v>
      </c>
      <c r="F1157">
        <v>49.811931610000002</v>
      </c>
      <c r="G1157">
        <v>1358.6776123</v>
      </c>
      <c r="H1157">
        <v>1350.3721923999999</v>
      </c>
      <c r="I1157">
        <v>1313.1384277</v>
      </c>
      <c r="J1157">
        <v>1304.550293</v>
      </c>
      <c r="K1157">
        <v>1100</v>
      </c>
      <c r="L1157">
        <v>0</v>
      </c>
      <c r="M1157">
        <v>0</v>
      </c>
      <c r="N1157">
        <v>1100</v>
      </c>
    </row>
    <row r="1158" spans="1:14" x14ac:dyDescent="0.25">
      <c r="A1158">
        <v>1097.266241</v>
      </c>
      <c r="B1158" s="1">
        <f>DATE(2013,5,2) + TIME(6,23,23)</f>
        <v>41396.266238425924</v>
      </c>
      <c r="C1158">
        <v>80</v>
      </c>
      <c r="D1158">
        <v>73.584236145000006</v>
      </c>
      <c r="E1158">
        <v>50</v>
      </c>
      <c r="F1158">
        <v>49.803623199</v>
      </c>
      <c r="G1158">
        <v>1358.6320800999999</v>
      </c>
      <c r="H1158">
        <v>1350.3582764</v>
      </c>
      <c r="I1158">
        <v>1313.1383057</v>
      </c>
      <c r="J1158">
        <v>1304.5495605000001</v>
      </c>
      <c r="K1158">
        <v>1100</v>
      </c>
      <c r="L1158">
        <v>0</v>
      </c>
      <c r="M1158">
        <v>0</v>
      </c>
      <c r="N1158">
        <v>1100</v>
      </c>
    </row>
    <row r="1159" spans="1:14" x14ac:dyDescent="0.25">
      <c r="A1159">
        <v>1097.353762</v>
      </c>
      <c r="B1159" s="1">
        <f>DATE(2013,5,2) + TIME(8,29,25)</f>
        <v>41396.353761574072</v>
      </c>
      <c r="C1159">
        <v>80</v>
      </c>
      <c r="D1159">
        <v>73.970001221000004</v>
      </c>
      <c r="E1159">
        <v>50</v>
      </c>
      <c r="F1159">
        <v>49.795143127000003</v>
      </c>
      <c r="G1159">
        <v>1358.5883789</v>
      </c>
      <c r="H1159">
        <v>1350.3447266000001</v>
      </c>
      <c r="I1159">
        <v>1313.1380615</v>
      </c>
      <c r="J1159">
        <v>1304.5487060999999</v>
      </c>
      <c r="K1159">
        <v>1100</v>
      </c>
      <c r="L1159">
        <v>0</v>
      </c>
      <c r="M1159">
        <v>0</v>
      </c>
      <c r="N1159">
        <v>1100</v>
      </c>
    </row>
    <row r="1160" spans="1:14" x14ac:dyDescent="0.25">
      <c r="A1160">
        <v>1097.4441340000001</v>
      </c>
      <c r="B1160" s="1">
        <f>DATE(2013,5,2) + TIME(10,39,33)</f>
        <v>41396.444131944445</v>
      </c>
      <c r="C1160">
        <v>80</v>
      </c>
      <c r="D1160">
        <v>74.343742371000005</v>
      </c>
      <c r="E1160">
        <v>50</v>
      </c>
      <c r="F1160">
        <v>49.78647995</v>
      </c>
      <c r="G1160">
        <v>1358.5466309000001</v>
      </c>
      <c r="H1160">
        <v>1350.3316649999999</v>
      </c>
      <c r="I1160">
        <v>1313.1379394999999</v>
      </c>
      <c r="J1160">
        <v>1304.5478516000001</v>
      </c>
      <c r="K1160">
        <v>1100</v>
      </c>
      <c r="L1160">
        <v>0</v>
      </c>
      <c r="M1160">
        <v>0</v>
      </c>
      <c r="N1160">
        <v>1100</v>
      </c>
    </row>
    <row r="1161" spans="1:14" x14ac:dyDescent="0.25">
      <c r="A1161">
        <v>1097.5375509999999</v>
      </c>
      <c r="B1161" s="1">
        <f>DATE(2013,5,2) + TIME(12,54,4)</f>
        <v>41396.537546296298</v>
      </c>
      <c r="C1161">
        <v>80</v>
      </c>
      <c r="D1161">
        <v>74.705406189000001</v>
      </c>
      <c r="E1161">
        <v>50</v>
      </c>
      <c r="F1161">
        <v>49.777622223000002</v>
      </c>
      <c r="G1161">
        <v>1358.5063477000001</v>
      </c>
      <c r="H1161">
        <v>1350.3189697</v>
      </c>
      <c r="I1161">
        <v>1313.1375731999999</v>
      </c>
      <c r="J1161">
        <v>1304.5469971</v>
      </c>
      <c r="K1161">
        <v>1100</v>
      </c>
      <c r="L1161">
        <v>0</v>
      </c>
      <c r="M1161">
        <v>0</v>
      </c>
      <c r="N1161">
        <v>1100</v>
      </c>
    </row>
    <row r="1162" spans="1:14" x14ac:dyDescent="0.25">
      <c r="A1162">
        <v>1097.6342440000001</v>
      </c>
      <c r="B1162" s="1">
        <f>DATE(2013,5,2) + TIME(15,13,18)</f>
        <v>41396.634236111109</v>
      </c>
      <c r="C1162">
        <v>80</v>
      </c>
      <c r="D1162">
        <v>75.054977417000003</v>
      </c>
      <c r="E1162">
        <v>50</v>
      </c>
      <c r="F1162">
        <v>49.768558501999998</v>
      </c>
      <c r="G1162">
        <v>1358.4677733999999</v>
      </c>
      <c r="H1162">
        <v>1350.3066406</v>
      </c>
      <c r="I1162">
        <v>1313.1373291</v>
      </c>
      <c r="J1162">
        <v>1304.5460204999999</v>
      </c>
      <c r="K1162">
        <v>1100</v>
      </c>
      <c r="L1162">
        <v>0</v>
      </c>
      <c r="M1162">
        <v>0</v>
      </c>
      <c r="N1162">
        <v>1100</v>
      </c>
    </row>
    <row r="1163" spans="1:14" x14ac:dyDescent="0.25">
      <c r="A1163">
        <v>1097.7344519999999</v>
      </c>
      <c r="B1163" s="1">
        <f>DATE(2013,5,2) + TIME(17,37,36)</f>
        <v>41396.734444444446</v>
      </c>
      <c r="C1163">
        <v>80</v>
      </c>
      <c r="D1163">
        <v>75.392227172999995</v>
      </c>
      <c r="E1163">
        <v>50</v>
      </c>
      <c r="F1163">
        <v>49.759265900000003</v>
      </c>
      <c r="G1163">
        <v>1358.4304199000001</v>
      </c>
      <c r="H1163">
        <v>1350.2944336</v>
      </c>
      <c r="I1163">
        <v>1313.1370850000001</v>
      </c>
      <c r="J1163">
        <v>1304.5450439000001</v>
      </c>
      <c r="K1163">
        <v>1100</v>
      </c>
      <c r="L1163">
        <v>0</v>
      </c>
      <c r="M1163">
        <v>0</v>
      </c>
      <c r="N1163">
        <v>1100</v>
      </c>
    </row>
    <row r="1164" spans="1:14" x14ac:dyDescent="0.25">
      <c r="A1164">
        <v>1097.8384080000001</v>
      </c>
      <c r="B1164" s="1">
        <f>DATE(2013,5,2) + TIME(20,7,18)</f>
        <v>41396.838402777779</v>
      </c>
      <c r="C1164">
        <v>80</v>
      </c>
      <c r="D1164">
        <v>75.717224121000001</v>
      </c>
      <c r="E1164">
        <v>50</v>
      </c>
      <c r="F1164">
        <v>49.749732971</v>
      </c>
      <c r="G1164">
        <v>1358.3945312000001</v>
      </c>
      <c r="H1164">
        <v>1350.2824707</v>
      </c>
      <c r="I1164">
        <v>1313.1367187999999</v>
      </c>
      <c r="J1164">
        <v>1304.5440673999999</v>
      </c>
      <c r="K1164">
        <v>1100</v>
      </c>
      <c r="L1164">
        <v>0</v>
      </c>
      <c r="M1164">
        <v>0</v>
      </c>
      <c r="N1164">
        <v>1100</v>
      </c>
    </row>
    <row r="1165" spans="1:14" x14ac:dyDescent="0.25">
      <c r="A1165">
        <v>1097.9463929999999</v>
      </c>
      <c r="B1165" s="1">
        <f>DATE(2013,5,2) + TIME(22,42,48)</f>
        <v>41396.946388888886</v>
      </c>
      <c r="C1165">
        <v>80</v>
      </c>
      <c r="D1165">
        <v>76.029907226999995</v>
      </c>
      <c r="E1165">
        <v>50</v>
      </c>
      <c r="F1165">
        <v>49.739940642999997</v>
      </c>
      <c r="G1165">
        <v>1358.3597411999999</v>
      </c>
      <c r="H1165">
        <v>1350.2705077999999</v>
      </c>
      <c r="I1165">
        <v>1313.1363524999999</v>
      </c>
      <c r="J1165">
        <v>1304.5429687999999</v>
      </c>
      <c r="K1165">
        <v>1100</v>
      </c>
      <c r="L1165">
        <v>0</v>
      </c>
      <c r="M1165">
        <v>0</v>
      </c>
      <c r="N1165">
        <v>1100</v>
      </c>
    </row>
    <row r="1166" spans="1:14" x14ac:dyDescent="0.25">
      <c r="A1166">
        <v>1098.0587210000001</v>
      </c>
      <c r="B1166" s="1">
        <f>DATE(2013,5,3) + TIME(1,24,33)</f>
        <v>41397.058715277781</v>
      </c>
      <c r="C1166">
        <v>80</v>
      </c>
      <c r="D1166">
        <v>76.330215453999998</v>
      </c>
      <c r="E1166">
        <v>50</v>
      </c>
      <c r="F1166">
        <v>49.729869843000003</v>
      </c>
      <c r="G1166">
        <v>1358.3260498</v>
      </c>
      <c r="H1166">
        <v>1350.2585449000001</v>
      </c>
      <c r="I1166">
        <v>1313.1358643000001</v>
      </c>
      <c r="J1166">
        <v>1304.5418701000001</v>
      </c>
      <c r="K1166">
        <v>1100</v>
      </c>
      <c r="L1166">
        <v>0</v>
      </c>
      <c r="M1166">
        <v>0</v>
      </c>
      <c r="N1166">
        <v>1100</v>
      </c>
    </row>
    <row r="1167" spans="1:14" x14ac:dyDescent="0.25">
      <c r="A1167">
        <v>1098.175739</v>
      </c>
      <c r="B1167" s="1">
        <f>DATE(2013,5,3) + TIME(4,13,3)</f>
        <v>41397.175729166665</v>
      </c>
      <c r="C1167">
        <v>80</v>
      </c>
      <c r="D1167">
        <v>76.618103027000004</v>
      </c>
      <c r="E1167">
        <v>50</v>
      </c>
      <c r="F1167">
        <v>49.719497681</v>
      </c>
      <c r="G1167">
        <v>1358.2933350000001</v>
      </c>
      <c r="H1167">
        <v>1350.2467041</v>
      </c>
      <c r="I1167">
        <v>1313.135376</v>
      </c>
      <c r="J1167">
        <v>1304.5406493999999</v>
      </c>
      <c r="K1167">
        <v>1100</v>
      </c>
      <c r="L1167">
        <v>0</v>
      </c>
      <c r="M1167">
        <v>0</v>
      </c>
      <c r="N1167">
        <v>1100</v>
      </c>
    </row>
    <row r="1168" spans="1:14" x14ac:dyDescent="0.25">
      <c r="A1168">
        <v>1098.297836</v>
      </c>
      <c r="B1168" s="1">
        <f>DATE(2013,5,3) + TIME(7,8,53)</f>
        <v>41397.297835648147</v>
      </c>
      <c r="C1168">
        <v>80</v>
      </c>
      <c r="D1168">
        <v>76.893516540999997</v>
      </c>
      <c r="E1168">
        <v>50</v>
      </c>
      <c r="F1168">
        <v>49.708801270000002</v>
      </c>
      <c r="G1168">
        <v>1358.2613524999999</v>
      </c>
      <c r="H1168">
        <v>1350.2346190999999</v>
      </c>
      <c r="I1168">
        <v>1313.1348877</v>
      </c>
      <c r="J1168">
        <v>1304.5394286999999</v>
      </c>
      <c r="K1168">
        <v>1100</v>
      </c>
      <c r="L1168">
        <v>0</v>
      </c>
      <c r="M1168">
        <v>0</v>
      </c>
      <c r="N1168">
        <v>1100</v>
      </c>
    </row>
    <row r="1169" spans="1:14" x14ac:dyDescent="0.25">
      <c r="A1169">
        <v>1098.425448</v>
      </c>
      <c r="B1169" s="1">
        <f>DATE(2013,5,3) + TIME(10,12,38)</f>
        <v>41397.425439814811</v>
      </c>
      <c r="C1169">
        <v>80</v>
      </c>
      <c r="D1169">
        <v>77.156410217000001</v>
      </c>
      <c r="E1169">
        <v>50</v>
      </c>
      <c r="F1169">
        <v>49.697746277</v>
      </c>
      <c r="G1169">
        <v>1358.2302245999999</v>
      </c>
      <c r="H1169">
        <v>1350.2224120999999</v>
      </c>
      <c r="I1169">
        <v>1313.1343993999999</v>
      </c>
      <c r="J1169">
        <v>1304.5380858999999</v>
      </c>
      <c r="K1169">
        <v>1100</v>
      </c>
      <c r="L1169">
        <v>0</v>
      </c>
      <c r="M1169">
        <v>0</v>
      </c>
      <c r="N1169">
        <v>1100</v>
      </c>
    </row>
    <row r="1170" spans="1:14" x14ac:dyDescent="0.25">
      <c r="A1170">
        <v>1098.559066</v>
      </c>
      <c r="B1170" s="1">
        <f>DATE(2013,5,3) + TIME(13,25,3)</f>
        <v>41397.559062499997</v>
      </c>
      <c r="C1170">
        <v>80</v>
      </c>
      <c r="D1170">
        <v>77.406738281000003</v>
      </c>
      <c r="E1170">
        <v>50</v>
      </c>
      <c r="F1170">
        <v>49.686309813999998</v>
      </c>
      <c r="G1170">
        <v>1358.199707</v>
      </c>
      <c r="H1170">
        <v>1350.2098389</v>
      </c>
      <c r="I1170">
        <v>1313.1337891000001</v>
      </c>
      <c r="J1170">
        <v>1304.5367432</v>
      </c>
      <c r="K1170">
        <v>1100</v>
      </c>
      <c r="L1170">
        <v>0</v>
      </c>
      <c r="M1170">
        <v>0</v>
      </c>
      <c r="N1170">
        <v>1100</v>
      </c>
    </row>
    <row r="1171" spans="1:14" x14ac:dyDescent="0.25">
      <c r="A1171">
        <v>1098.6992459999999</v>
      </c>
      <c r="B1171" s="1">
        <f>DATE(2013,5,3) + TIME(16,46,54)</f>
        <v>41397.699236111112</v>
      </c>
      <c r="C1171">
        <v>80</v>
      </c>
      <c r="D1171">
        <v>77.644470214999998</v>
      </c>
      <c r="E1171">
        <v>50</v>
      </c>
      <c r="F1171">
        <v>49.674453735</v>
      </c>
      <c r="G1171">
        <v>1358.1695557</v>
      </c>
      <c r="H1171">
        <v>1350.1970214999999</v>
      </c>
      <c r="I1171">
        <v>1313.1331786999999</v>
      </c>
      <c r="J1171">
        <v>1304.5354004000001</v>
      </c>
      <c r="K1171">
        <v>1100</v>
      </c>
      <c r="L1171">
        <v>0</v>
      </c>
      <c r="M1171">
        <v>0</v>
      </c>
      <c r="N1171">
        <v>1100</v>
      </c>
    </row>
    <row r="1172" spans="1:14" x14ac:dyDescent="0.25">
      <c r="A1172">
        <v>1098.8466229999999</v>
      </c>
      <c r="B1172" s="1">
        <f>DATE(2013,5,3) + TIME(20,19,8)</f>
        <v>41397.846620370372</v>
      </c>
      <c r="C1172">
        <v>80</v>
      </c>
      <c r="D1172">
        <v>77.869598389000004</v>
      </c>
      <c r="E1172">
        <v>50</v>
      </c>
      <c r="F1172">
        <v>49.662136078000003</v>
      </c>
      <c r="G1172">
        <v>1358.1398925999999</v>
      </c>
      <c r="H1172">
        <v>1350.1838379000001</v>
      </c>
      <c r="I1172">
        <v>1313.1325684000001</v>
      </c>
      <c r="J1172">
        <v>1304.5338135</v>
      </c>
      <c r="K1172">
        <v>1100</v>
      </c>
      <c r="L1172">
        <v>0</v>
      </c>
      <c r="M1172">
        <v>0</v>
      </c>
      <c r="N1172">
        <v>1100</v>
      </c>
    </row>
    <row r="1173" spans="1:14" x14ac:dyDescent="0.25">
      <c r="A1173">
        <v>1099.002029</v>
      </c>
      <c r="B1173" s="1">
        <f>DATE(2013,5,4) + TIME(0,2,55)</f>
        <v>41398.002025462964</v>
      </c>
      <c r="C1173">
        <v>80</v>
      </c>
      <c r="D1173">
        <v>78.082244872999993</v>
      </c>
      <c r="E1173">
        <v>50</v>
      </c>
      <c r="F1173">
        <v>49.649307251000003</v>
      </c>
      <c r="G1173">
        <v>1358.1104736</v>
      </c>
      <c r="H1173">
        <v>1350.1700439000001</v>
      </c>
      <c r="I1173">
        <v>1313.1318358999999</v>
      </c>
      <c r="J1173">
        <v>1304.5323486</v>
      </c>
      <c r="K1173">
        <v>1100</v>
      </c>
      <c r="L1173">
        <v>0</v>
      </c>
      <c r="M1173">
        <v>0</v>
      </c>
      <c r="N1173">
        <v>1100</v>
      </c>
    </row>
    <row r="1174" spans="1:14" x14ac:dyDescent="0.25">
      <c r="A1174">
        <v>1099.166207</v>
      </c>
      <c r="B1174" s="1">
        <f>DATE(2013,5,4) + TIME(3,59,20)</f>
        <v>41398.166203703702</v>
      </c>
      <c r="C1174">
        <v>80</v>
      </c>
      <c r="D1174">
        <v>78.282264709000003</v>
      </c>
      <c r="E1174">
        <v>50</v>
      </c>
      <c r="F1174">
        <v>49.635921478</v>
      </c>
      <c r="G1174">
        <v>1358.0810547000001</v>
      </c>
      <c r="H1174">
        <v>1350.1557617000001</v>
      </c>
      <c r="I1174">
        <v>1313.1311035000001</v>
      </c>
      <c r="J1174">
        <v>1304.5306396000001</v>
      </c>
      <c r="K1174">
        <v>1100</v>
      </c>
      <c r="L1174">
        <v>0</v>
      </c>
      <c r="M1174">
        <v>0</v>
      </c>
      <c r="N1174">
        <v>1100</v>
      </c>
    </row>
    <row r="1175" spans="1:14" x14ac:dyDescent="0.25">
      <c r="A1175">
        <v>1099.3401289999999</v>
      </c>
      <c r="B1175" s="1">
        <f>DATE(2013,5,4) + TIME(8,9,47)</f>
        <v>41398.340127314812</v>
      </c>
      <c r="C1175">
        <v>80</v>
      </c>
      <c r="D1175">
        <v>78.469696045000006</v>
      </c>
      <c r="E1175">
        <v>50</v>
      </c>
      <c r="F1175">
        <v>49.621921538999999</v>
      </c>
      <c r="G1175">
        <v>1358.0517577999999</v>
      </c>
      <c r="H1175">
        <v>1350.1407471</v>
      </c>
      <c r="I1175">
        <v>1313.130249</v>
      </c>
      <c r="J1175">
        <v>1304.5289307</v>
      </c>
      <c r="K1175">
        <v>1100</v>
      </c>
      <c r="L1175">
        <v>0</v>
      </c>
      <c r="M1175">
        <v>0</v>
      </c>
      <c r="N1175">
        <v>1100</v>
      </c>
    </row>
    <row r="1176" spans="1:14" x14ac:dyDescent="0.25">
      <c r="A1176">
        <v>1099.5249289999999</v>
      </c>
      <c r="B1176" s="1">
        <f>DATE(2013,5,4) + TIME(12,35,53)</f>
        <v>41398.524918981479</v>
      </c>
      <c r="C1176">
        <v>80</v>
      </c>
      <c r="D1176">
        <v>78.644569396999998</v>
      </c>
      <c r="E1176">
        <v>50</v>
      </c>
      <c r="F1176">
        <v>49.607234955000003</v>
      </c>
      <c r="G1176">
        <v>1358.0222168</v>
      </c>
      <c r="H1176">
        <v>1350.125</v>
      </c>
      <c r="I1176">
        <v>1313.1293945</v>
      </c>
      <c r="J1176">
        <v>1304.5270995999999</v>
      </c>
      <c r="K1176">
        <v>1100</v>
      </c>
      <c r="L1176">
        <v>0</v>
      </c>
      <c r="M1176">
        <v>0</v>
      </c>
      <c r="N1176">
        <v>1100</v>
      </c>
    </row>
    <row r="1177" spans="1:14" x14ac:dyDescent="0.25">
      <c r="A1177">
        <v>1099.721945</v>
      </c>
      <c r="B1177" s="1">
        <f>DATE(2013,5,4) + TIME(17,19,36)</f>
        <v>41398.721944444442</v>
      </c>
      <c r="C1177">
        <v>80</v>
      </c>
      <c r="D1177">
        <v>78.806961060000006</v>
      </c>
      <c r="E1177">
        <v>50</v>
      </c>
      <c r="F1177">
        <v>49.591777802000003</v>
      </c>
      <c r="G1177">
        <v>1357.9924315999999</v>
      </c>
      <c r="H1177">
        <v>1350.1085204999999</v>
      </c>
      <c r="I1177">
        <v>1313.128418</v>
      </c>
      <c r="J1177">
        <v>1304.5251464999999</v>
      </c>
      <c r="K1177">
        <v>1100</v>
      </c>
      <c r="L1177">
        <v>0</v>
      </c>
      <c r="M1177">
        <v>0</v>
      </c>
      <c r="N1177">
        <v>1100</v>
      </c>
    </row>
    <row r="1178" spans="1:14" x14ac:dyDescent="0.25">
      <c r="A1178">
        <v>1099.93273</v>
      </c>
      <c r="B1178" s="1">
        <f>DATE(2013,5,4) + TIME(22,23,7)</f>
        <v>41398.932719907411</v>
      </c>
      <c r="C1178">
        <v>80</v>
      </c>
      <c r="D1178">
        <v>78.956939696999996</v>
      </c>
      <c r="E1178">
        <v>50</v>
      </c>
      <c r="F1178">
        <v>49.575466155999997</v>
      </c>
      <c r="G1178">
        <v>1357.9620361</v>
      </c>
      <c r="H1178">
        <v>1350.0909423999999</v>
      </c>
      <c r="I1178">
        <v>1313.1274414</v>
      </c>
      <c r="J1178">
        <v>1304.5231934000001</v>
      </c>
      <c r="K1178">
        <v>1100</v>
      </c>
      <c r="L1178">
        <v>0</v>
      </c>
      <c r="M1178">
        <v>0</v>
      </c>
      <c r="N1178">
        <v>1100</v>
      </c>
    </row>
    <row r="1179" spans="1:14" x14ac:dyDescent="0.25">
      <c r="A1179">
        <v>1100.159208</v>
      </c>
      <c r="B1179" s="1">
        <f>DATE(2013,5,5) + TIME(3,49,15)</f>
        <v>41399.159201388888</v>
      </c>
      <c r="C1179">
        <v>80</v>
      </c>
      <c r="D1179">
        <v>79.094650268999999</v>
      </c>
      <c r="E1179">
        <v>50</v>
      </c>
      <c r="F1179">
        <v>49.558181763</v>
      </c>
      <c r="G1179">
        <v>1357.9310303</v>
      </c>
      <c r="H1179">
        <v>1350.0722656</v>
      </c>
      <c r="I1179">
        <v>1313.1262207</v>
      </c>
      <c r="J1179">
        <v>1304.5209961</v>
      </c>
      <c r="K1179">
        <v>1100</v>
      </c>
      <c r="L1179">
        <v>0</v>
      </c>
      <c r="M1179">
        <v>0</v>
      </c>
      <c r="N1179">
        <v>1100</v>
      </c>
    </row>
    <row r="1180" spans="1:14" x14ac:dyDescent="0.25">
      <c r="A1180">
        <v>1100.4037129999999</v>
      </c>
      <c r="B1180" s="1">
        <f>DATE(2013,5,5) + TIME(9,41,20)</f>
        <v>41399.403703703705</v>
      </c>
      <c r="C1180">
        <v>80</v>
      </c>
      <c r="D1180">
        <v>79.220245360999996</v>
      </c>
      <c r="E1180">
        <v>50</v>
      </c>
      <c r="F1180">
        <v>49.539791106999999</v>
      </c>
      <c r="G1180">
        <v>1357.8992920000001</v>
      </c>
      <c r="H1180">
        <v>1350.0524902</v>
      </c>
      <c r="I1180">
        <v>1313.125</v>
      </c>
      <c r="J1180">
        <v>1304.5186768000001</v>
      </c>
      <c r="K1180">
        <v>1100</v>
      </c>
      <c r="L1180">
        <v>0</v>
      </c>
      <c r="M1180">
        <v>0</v>
      </c>
      <c r="N1180">
        <v>1100</v>
      </c>
    </row>
    <row r="1181" spans="1:14" x14ac:dyDescent="0.25">
      <c r="A1181">
        <v>1100.6603930000001</v>
      </c>
      <c r="B1181" s="1">
        <f>DATE(2013,5,5) + TIME(15,50,57)</f>
        <v>41399.660381944443</v>
      </c>
      <c r="C1181">
        <v>80</v>
      </c>
      <c r="D1181">
        <v>79.330802917</v>
      </c>
      <c r="E1181">
        <v>50</v>
      </c>
      <c r="F1181">
        <v>49.520690918</v>
      </c>
      <c r="G1181">
        <v>1357.8675536999999</v>
      </c>
      <c r="H1181">
        <v>1350.0318603999999</v>
      </c>
      <c r="I1181">
        <v>1313.1236572</v>
      </c>
      <c r="J1181">
        <v>1304.5161132999999</v>
      </c>
      <c r="K1181">
        <v>1100</v>
      </c>
      <c r="L1181">
        <v>0</v>
      </c>
      <c r="M1181">
        <v>0</v>
      </c>
      <c r="N1181">
        <v>1100</v>
      </c>
    </row>
    <row r="1182" spans="1:14" x14ac:dyDescent="0.25">
      <c r="A1182">
        <v>1100.91977</v>
      </c>
      <c r="B1182" s="1">
        <f>DATE(2013,5,5) + TIME(22,4,28)</f>
        <v>41399.919768518521</v>
      </c>
      <c r="C1182">
        <v>80</v>
      </c>
      <c r="D1182">
        <v>79.424346924000005</v>
      </c>
      <c r="E1182">
        <v>50</v>
      </c>
      <c r="F1182">
        <v>49.501506804999998</v>
      </c>
      <c r="G1182">
        <v>1357.8366699000001</v>
      </c>
      <c r="H1182">
        <v>1350.0111084</v>
      </c>
      <c r="I1182">
        <v>1313.1221923999999</v>
      </c>
      <c r="J1182">
        <v>1304.5135498</v>
      </c>
      <c r="K1182">
        <v>1100</v>
      </c>
      <c r="L1182">
        <v>0</v>
      </c>
      <c r="M1182">
        <v>0</v>
      </c>
      <c r="N1182">
        <v>1100</v>
      </c>
    </row>
    <row r="1183" spans="1:14" x14ac:dyDescent="0.25">
      <c r="A1183">
        <v>1101.1830620000001</v>
      </c>
      <c r="B1183" s="1">
        <f>DATE(2013,5,6) + TIME(4,23,36)</f>
        <v>41400.183055555557</v>
      </c>
      <c r="C1183">
        <v>80</v>
      </c>
      <c r="D1183">
        <v>79.503669739000003</v>
      </c>
      <c r="E1183">
        <v>50</v>
      </c>
      <c r="F1183">
        <v>49.482158661</v>
      </c>
      <c r="G1183">
        <v>1357.8061522999999</v>
      </c>
      <c r="H1183">
        <v>1349.9902344</v>
      </c>
      <c r="I1183">
        <v>1313.1206055</v>
      </c>
      <c r="J1183">
        <v>1304.5108643000001</v>
      </c>
      <c r="K1183">
        <v>1100</v>
      </c>
      <c r="L1183">
        <v>0</v>
      </c>
      <c r="M1183">
        <v>0</v>
      </c>
      <c r="N1183">
        <v>1100</v>
      </c>
    </row>
    <row r="1184" spans="1:14" x14ac:dyDescent="0.25">
      <c r="A1184">
        <v>1101.4498410000001</v>
      </c>
      <c r="B1184" s="1">
        <f>DATE(2013,5,6) + TIME(10,47,46)</f>
        <v>41400.449837962966</v>
      </c>
      <c r="C1184">
        <v>80</v>
      </c>
      <c r="D1184">
        <v>79.570693969999994</v>
      </c>
      <c r="E1184">
        <v>50</v>
      </c>
      <c r="F1184">
        <v>49.462673187</v>
      </c>
      <c r="G1184">
        <v>1357.7761230000001</v>
      </c>
      <c r="H1184">
        <v>1349.9691161999999</v>
      </c>
      <c r="I1184">
        <v>1313.1190185999999</v>
      </c>
      <c r="J1184">
        <v>1304.5081786999999</v>
      </c>
      <c r="K1184">
        <v>1100</v>
      </c>
      <c r="L1184">
        <v>0</v>
      </c>
      <c r="M1184">
        <v>0</v>
      </c>
      <c r="N1184">
        <v>1100</v>
      </c>
    </row>
    <row r="1185" spans="1:14" x14ac:dyDescent="0.25">
      <c r="A1185">
        <v>1101.7200809999999</v>
      </c>
      <c r="B1185" s="1">
        <f>DATE(2013,5,6) + TIME(17,16,54)</f>
        <v>41400.720069444447</v>
      </c>
      <c r="C1185">
        <v>80</v>
      </c>
      <c r="D1185">
        <v>79.627212524000001</v>
      </c>
      <c r="E1185">
        <v>50</v>
      </c>
      <c r="F1185">
        <v>49.443054199000002</v>
      </c>
      <c r="G1185">
        <v>1357.7464600000001</v>
      </c>
      <c r="H1185">
        <v>1349.9479980000001</v>
      </c>
      <c r="I1185">
        <v>1313.1174315999999</v>
      </c>
      <c r="J1185">
        <v>1304.5053711</v>
      </c>
      <c r="K1185">
        <v>1100</v>
      </c>
      <c r="L1185">
        <v>0</v>
      </c>
      <c r="M1185">
        <v>0</v>
      </c>
      <c r="N1185">
        <v>1100</v>
      </c>
    </row>
    <row r="1186" spans="1:14" x14ac:dyDescent="0.25">
      <c r="A1186">
        <v>1101.9943780000001</v>
      </c>
      <c r="B1186" s="1">
        <f>DATE(2013,5,6) + TIME(23,51,54)</f>
        <v>41400.994375000002</v>
      </c>
      <c r="C1186">
        <v>80</v>
      </c>
      <c r="D1186">
        <v>79.674865722999996</v>
      </c>
      <c r="E1186">
        <v>50</v>
      </c>
      <c r="F1186">
        <v>49.423267365000001</v>
      </c>
      <c r="G1186">
        <v>1357.7170410000001</v>
      </c>
      <c r="H1186">
        <v>1349.9268798999999</v>
      </c>
      <c r="I1186">
        <v>1313.1158447</v>
      </c>
      <c r="J1186">
        <v>1304.5025635</v>
      </c>
      <c r="K1186">
        <v>1100</v>
      </c>
      <c r="L1186">
        <v>0</v>
      </c>
      <c r="M1186">
        <v>0</v>
      </c>
      <c r="N1186">
        <v>1100</v>
      </c>
    </row>
    <row r="1187" spans="1:14" x14ac:dyDescent="0.25">
      <c r="A1187">
        <v>1102.273314</v>
      </c>
      <c r="B1187" s="1">
        <f>DATE(2013,5,7) + TIME(6,33,34)</f>
        <v>41401.273310185185</v>
      </c>
      <c r="C1187">
        <v>80</v>
      </c>
      <c r="D1187">
        <v>79.715034485000004</v>
      </c>
      <c r="E1187">
        <v>50</v>
      </c>
      <c r="F1187">
        <v>49.403274535999998</v>
      </c>
      <c r="G1187">
        <v>1357.6879882999999</v>
      </c>
      <c r="H1187">
        <v>1349.9056396000001</v>
      </c>
      <c r="I1187">
        <v>1313.1141356999999</v>
      </c>
      <c r="J1187">
        <v>1304.4997559000001</v>
      </c>
      <c r="K1187">
        <v>1100</v>
      </c>
      <c r="L1187">
        <v>0</v>
      </c>
      <c r="M1187">
        <v>0</v>
      </c>
      <c r="N1187">
        <v>1100</v>
      </c>
    </row>
    <row r="1188" spans="1:14" x14ac:dyDescent="0.25">
      <c r="A1188">
        <v>1102.5575269999999</v>
      </c>
      <c r="B1188" s="1">
        <f>DATE(2013,5,7) + TIME(13,22,50)</f>
        <v>41401.557523148149</v>
      </c>
      <c r="C1188">
        <v>80</v>
      </c>
      <c r="D1188">
        <v>79.748870850000003</v>
      </c>
      <c r="E1188">
        <v>50</v>
      </c>
      <c r="F1188">
        <v>49.383033752000003</v>
      </c>
      <c r="G1188">
        <v>1357.6589355000001</v>
      </c>
      <c r="H1188">
        <v>1349.8843993999999</v>
      </c>
      <c r="I1188">
        <v>1313.1124268000001</v>
      </c>
      <c r="J1188">
        <v>1304.4968262</v>
      </c>
      <c r="K1188">
        <v>1100</v>
      </c>
      <c r="L1188">
        <v>0</v>
      </c>
      <c r="M1188">
        <v>0</v>
      </c>
      <c r="N1188">
        <v>1100</v>
      </c>
    </row>
    <row r="1189" spans="1:14" x14ac:dyDescent="0.25">
      <c r="A1189">
        <v>1102.8476889999999</v>
      </c>
      <c r="B1189" s="1">
        <f>DATE(2013,5,7) + TIME(20,20,40)</f>
        <v>41401.847685185188</v>
      </c>
      <c r="C1189">
        <v>80</v>
      </c>
      <c r="D1189">
        <v>79.777351378999995</v>
      </c>
      <c r="E1189">
        <v>50</v>
      </c>
      <c r="F1189">
        <v>49.362514496000003</v>
      </c>
      <c r="G1189">
        <v>1357.6301269999999</v>
      </c>
      <c r="H1189">
        <v>1349.8630370999999</v>
      </c>
      <c r="I1189">
        <v>1313.1105957</v>
      </c>
      <c r="J1189">
        <v>1304.4938964999999</v>
      </c>
      <c r="K1189">
        <v>1100</v>
      </c>
      <c r="L1189">
        <v>0</v>
      </c>
      <c r="M1189">
        <v>0</v>
      </c>
      <c r="N1189">
        <v>1100</v>
      </c>
    </row>
    <row r="1190" spans="1:14" x14ac:dyDescent="0.25">
      <c r="A1190">
        <v>1103.144374</v>
      </c>
      <c r="B1190" s="1">
        <f>DATE(2013,5,8) + TIME(3,27,53)</f>
        <v>41402.144363425927</v>
      </c>
      <c r="C1190">
        <v>80</v>
      </c>
      <c r="D1190">
        <v>79.801277161000002</v>
      </c>
      <c r="E1190">
        <v>50</v>
      </c>
      <c r="F1190">
        <v>49.341674804999997</v>
      </c>
      <c r="G1190">
        <v>1357.6014404</v>
      </c>
      <c r="H1190">
        <v>1349.8416748</v>
      </c>
      <c r="I1190">
        <v>1313.1087646000001</v>
      </c>
      <c r="J1190">
        <v>1304.4908447</v>
      </c>
      <c r="K1190">
        <v>1100</v>
      </c>
      <c r="L1190">
        <v>0</v>
      </c>
      <c r="M1190">
        <v>0</v>
      </c>
      <c r="N1190">
        <v>1100</v>
      </c>
    </row>
    <row r="1191" spans="1:14" x14ac:dyDescent="0.25">
      <c r="A1191">
        <v>1103.448288</v>
      </c>
      <c r="B1191" s="1">
        <f>DATE(2013,5,8) + TIME(10,45,32)</f>
        <v>41402.448287037034</v>
      </c>
      <c r="C1191">
        <v>80</v>
      </c>
      <c r="D1191">
        <v>79.821365356000001</v>
      </c>
      <c r="E1191">
        <v>50</v>
      </c>
      <c r="F1191">
        <v>49.320480347</v>
      </c>
      <c r="G1191">
        <v>1357.5726318</v>
      </c>
      <c r="H1191">
        <v>1349.8201904</v>
      </c>
      <c r="I1191">
        <v>1313.1069336</v>
      </c>
      <c r="J1191">
        <v>1304.487793</v>
      </c>
      <c r="K1191">
        <v>1100</v>
      </c>
      <c r="L1191">
        <v>0</v>
      </c>
      <c r="M1191">
        <v>0</v>
      </c>
      <c r="N1191">
        <v>1100</v>
      </c>
    </row>
    <row r="1192" spans="1:14" x14ac:dyDescent="0.25">
      <c r="A1192">
        <v>1103.7601850000001</v>
      </c>
      <c r="B1192" s="1">
        <f>DATE(2013,5,8) + TIME(18,14,39)</f>
        <v>41402.76017361111</v>
      </c>
      <c r="C1192">
        <v>80</v>
      </c>
      <c r="D1192">
        <v>79.838188170999999</v>
      </c>
      <c r="E1192">
        <v>50</v>
      </c>
      <c r="F1192">
        <v>49.298881530999999</v>
      </c>
      <c r="G1192">
        <v>1357.5439452999999</v>
      </c>
      <c r="H1192">
        <v>1349.7987060999999</v>
      </c>
      <c r="I1192">
        <v>1313.1049805</v>
      </c>
      <c r="J1192">
        <v>1304.4846190999999</v>
      </c>
      <c r="K1192">
        <v>1100</v>
      </c>
      <c r="L1192">
        <v>0</v>
      </c>
      <c r="M1192">
        <v>0</v>
      </c>
      <c r="N1192">
        <v>1100</v>
      </c>
    </row>
    <row r="1193" spans="1:14" x14ac:dyDescent="0.25">
      <c r="A1193">
        <v>1104.0808850000001</v>
      </c>
      <c r="B1193" s="1">
        <f>DATE(2013,5,9) + TIME(1,56,28)</f>
        <v>41403.080879629626</v>
      </c>
      <c r="C1193">
        <v>80</v>
      </c>
      <c r="D1193">
        <v>79.852256775000001</v>
      </c>
      <c r="E1193">
        <v>50</v>
      </c>
      <c r="F1193">
        <v>49.276832581000001</v>
      </c>
      <c r="G1193">
        <v>1357.5151367000001</v>
      </c>
      <c r="H1193">
        <v>1349.7770995999999</v>
      </c>
      <c r="I1193">
        <v>1313.1029053</v>
      </c>
      <c r="J1193">
        <v>1304.4813231999999</v>
      </c>
      <c r="K1193">
        <v>1100</v>
      </c>
      <c r="L1193">
        <v>0</v>
      </c>
      <c r="M1193">
        <v>0</v>
      </c>
      <c r="N1193">
        <v>1100</v>
      </c>
    </row>
    <row r="1194" spans="1:14" x14ac:dyDescent="0.25">
      <c r="A1194">
        <v>1104.411286</v>
      </c>
      <c r="B1194" s="1">
        <f>DATE(2013,5,9) + TIME(9,52,15)</f>
        <v>41403.41128472222</v>
      </c>
      <c r="C1194">
        <v>80</v>
      </c>
      <c r="D1194">
        <v>79.864006042</v>
      </c>
      <c r="E1194">
        <v>50</v>
      </c>
      <c r="F1194">
        <v>49.254291533999996</v>
      </c>
      <c r="G1194">
        <v>1357.4862060999999</v>
      </c>
      <c r="H1194">
        <v>1349.7553711</v>
      </c>
      <c r="I1194">
        <v>1313.1008300999999</v>
      </c>
      <c r="J1194">
        <v>1304.4779053</v>
      </c>
      <c r="K1194">
        <v>1100</v>
      </c>
      <c r="L1194">
        <v>0</v>
      </c>
      <c r="M1194">
        <v>0</v>
      </c>
      <c r="N1194">
        <v>1100</v>
      </c>
    </row>
    <row r="1195" spans="1:14" x14ac:dyDescent="0.25">
      <c r="A1195">
        <v>1104.7523759999999</v>
      </c>
      <c r="B1195" s="1">
        <f>DATE(2013,5,9) + TIME(18,3,25)</f>
        <v>41403.752372685187</v>
      </c>
      <c r="C1195">
        <v>80</v>
      </c>
      <c r="D1195">
        <v>79.873786925999994</v>
      </c>
      <c r="E1195">
        <v>50</v>
      </c>
      <c r="F1195">
        <v>49.231193542</v>
      </c>
      <c r="G1195">
        <v>1357.4571533000001</v>
      </c>
      <c r="H1195">
        <v>1349.7335204999999</v>
      </c>
      <c r="I1195">
        <v>1313.0986327999999</v>
      </c>
      <c r="J1195">
        <v>1304.4743652</v>
      </c>
      <c r="K1195">
        <v>1100</v>
      </c>
      <c r="L1195">
        <v>0</v>
      </c>
      <c r="M1195">
        <v>0</v>
      </c>
      <c r="N1195">
        <v>1100</v>
      </c>
    </row>
    <row r="1196" spans="1:14" x14ac:dyDescent="0.25">
      <c r="A1196">
        <v>1105.1052540000001</v>
      </c>
      <c r="B1196" s="1">
        <f>DATE(2013,5,10) + TIME(2,31,33)</f>
        <v>41404.105243055557</v>
      </c>
      <c r="C1196">
        <v>80</v>
      </c>
      <c r="D1196">
        <v>79.881912231000001</v>
      </c>
      <c r="E1196">
        <v>50</v>
      </c>
      <c r="F1196">
        <v>49.207485198999997</v>
      </c>
      <c r="G1196">
        <v>1357.4278564000001</v>
      </c>
      <c r="H1196">
        <v>1349.7115478999999</v>
      </c>
      <c r="I1196">
        <v>1313.0964355000001</v>
      </c>
      <c r="J1196">
        <v>1304.4707031</v>
      </c>
      <c r="K1196">
        <v>1100</v>
      </c>
      <c r="L1196">
        <v>0</v>
      </c>
      <c r="M1196">
        <v>0</v>
      </c>
      <c r="N1196">
        <v>1100</v>
      </c>
    </row>
    <row r="1197" spans="1:14" x14ac:dyDescent="0.25">
      <c r="A1197">
        <v>1105.4688209999999</v>
      </c>
      <c r="B1197" s="1">
        <f>DATE(2013,5,10) + TIME(11,15,6)</f>
        <v>41404.468819444446</v>
      </c>
      <c r="C1197">
        <v>80</v>
      </c>
      <c r="D1197">
        <v>79.888618468999994</v>
      </c>
      <c r="E1197">
        <v>50</v>
      </c>
      <c r="F1197">
        <v>49.183231354</v>
      </c>
      <c r="G1197">
        <v>1357.3983154</v>
      </c>
      <c r="H1197">
        <v>1349.6893310999999</v>
      </c>
      <c r="I1197">
        <v>1313.0939940999999</v>
      </c>
      <c r="J1197">
        <v>1304.4667969</v>
      </c>
      <c r="K1197">
        <v>1100</v>
      </c>
      <c r="L1197">
        <v>0</v>
      </c>
      <c r="M1197">
        <v>0</v>
      </c>
      <c r="N1197">
        <v>1100</v>
      </c>
    </row>
    <row r="1198" spans="1:14" x14ac:dyDescent="0.25">
      <c r="A1198">
        <v>1105.8435999999999</v>
      </c>
      <c r="B1198" s="1">
        <f>DATE(2013,5,10) + TIME(20,14,47)</f>
        <v>41404.843599537038</v>
      </c>
      <c r="C1198">
        <v>80</v>
      </c>
      <c r="D1198">
        <v>79.894134520999998</v>
      </c>
      <c r="E1198">
        <v>50</v>
      </c>
      <c r="F1198">
        <v>49.158401488999999</v>
      </c>
      <c r="G1198">
        <v>1357.3687743999999</v>
      </c>
      <c r="H1198">
        <v>1349.6671143000001</v>
      </c>
      <c r="I1198">
        <v>1313.0915527</v>
      </c>
      <c r="J1198">
        <v>1304.4628906</v>
      </c>
      <c r="K1198">
        <v>1100</v>
      </c>
      <c r="L1198">
        <v>0</v>
      </c>
      <c r="M1198">
        <v>0</v>
      </c>
      <c r="N1198">
        <v>1100</v>
      </c>
    </row>
    <row r="1199" spans="1:14" x14ac:dyDescent="0.25">
      <c r="A1199">
        <v>1106.2306679999999</v>
      </c>
      <c r="B1199" s="1">
        <f>DATE(2013,5,11) + TIME(5,32,9)</f>
        <v>41405.23065972222</v>
      </c>
      <c r="C1199">
        <v>80</v>
      </c>
      <c r="D1199">
        <v>79.898666382000002</v>
      </c>
      <c r="E1199">
        <v>50</v>
      </c>
      <c r="F1199">
        <v>49.132942200000002</v>
      </c>
      <c r="G1199">
        <v>1357.3389893000001</v>
      </c>
      <c r="H1199">
        <v>1349.6447754000001</v>
      </c>
      <c r="I1199">
        <v>1313.0889893000001</v>
      </c>
      <c r="J1199">
        <v>1304.4587402</v>
      </c>
      <c r="K1199">
        <v>1100</v>
      </c>
      <c r="L1199">
        <v>0</v>
      </c>
      <c r="M1199">
        <v>0</v>
      </c>
      <c r="N1199">
        <v>1100</v>
      </c>
    </row>
    <row r="1200" spans="1:14" x14ac:dyDescent="0.25">
      <c r="A1200">
        <v>1106.6312049999999</v>
      </c>
      <c r="B1200" s="1">
        <f>DATE(2013,5,11) + TIME(15,8,56)</f>
        <v>41405.631203703706</v>
      </c>
      <c r="C1200">
        <v>80</v>
      </c>
      <c r="D1200">
        <v>79.902381896999998</v>
      </c>
      <c r="E1200">
        <v>50</v>
      </c>
      <c r="F1200">
        <v>49.10679245</v>
      </c>
      <c r="G1200">
        <v>1357.309082</v>
      </c>
      <c r="H1200">
        <v>1349.6223144999999</v>
      </c>
      <c r="I1200">
        <v>1313.0864257999999</v>
      </c>
      <c r="J1200">
        <v>1304.4544678</v>
      </c>
      <c r="K1200">
        <v>1100</v>
      </c>
      <c r="L1200">
        <v>0</v>
      </c>
      <c r="M1200">
        <v>0</v>
      </c>
      <c r="N1200">
        <v>1100</v>
      </c>
    </row>
    <row r="1201" spans="1:14" x14ac:dyDescent="0.25">
      <c r="A1201">
        <v>1107.0465389999999</v>
      </c>
      <c r="B1201" s="1">
        <f>DATE(2013,5,12) + TIME(1,7,0)</f>
        <v>41406.046527777777</v>
      </c>
      <c r="C1201">
        <v>80</v>
      </c>
      <c r="D1201">
        <v>79.905433654999996</v>
      </c>
      <c r="E1201">
        <v>50</v>
      </c>
      <c r="F1201">
        <v>49.079887390000003</v>
      </c>
      <c r="G1201">
        <v>1357.2789307</v>
      </c>
      <c r="H1201">
        <v>1349.5997314000001</v>
      </c>
      <c r="I1201">
        <v>1313.0836182</v>
      </c>
      <c r="J1201">
        <v>1304.4500731999999</v>
      </c>
      <c r="K1201">
        <v>1100</v>
      </c>
      <c r="L1201">
        <v>0</v>
      </c>
      <c r="M1201">
        <v>0</v>
      </c>
      <c r="N1201">
        <v>1100</v>
      </c>
    </row>
    <row r="1202" spans="1:14" x14ac:dyDescent="0.25">
      <c r="A1202">
        <v>1107.478159</v>
      </c>
      <c r="B1202" s="1">
        <f>DATE(2013,5,12) + TIME(11,28,32)</f>
        <v>41406.478148148148</v>
      </c>
      <c r="C1202">
        <v>80</v>
      </c>
      <c r="D1202">
        <v>79.907936096</v>
      </c>
      <c r="E1202">
        <v>50</v>
      </c>
      <c r="F1202">
        <v>49.052150726000001</v>
      </c>
      <c r="G1202">
        <v>1357.2484131000001</v>
      </c>
      <c r="H1202">
        <v>1349.5769043</v>
      </c>
      <c r="I1202">
        <v>1313.0806885</v>
      </c>
      <c r="J1202">
        <v>1304.4454346</v>
      </c>
      <c r="K1202">
        <v>1100</v>
      </c>
      <c r="L1202">
        <v>0</v>
      </c>
      <c r="M1202">
        <v>0</v>
      </c>
      <c r="N1202">
        <v>1100</v>
      </c>
    </row>
    <row r="1203" spans="1:14" x14ac:dyDescent="0.25">
      <c r="A1203">
        <v>1107.92779</v>
      </c>
      <c r="B1203" s="1">
        <f>DATE(2013,5,12) + TIME(22,16,1)</f>
        <v>41406.927789351852</v>
      </c>
      <c r="C1203">
        <v>80</v>
      </c>
      <c r="D1203">
        <v>79.909980774000005</v>
      </c>
      <c r="E1203">
        <v>50</v>
      </c>
      <c r="F1203">
        <v>49.023494720000002</v>
      </c>
      <c r="G1203">
        <v>1357.2176514</v>
      </c>
      <c r="H1203">
        <v>1349.5539550999999</v>
      </c>
      <c r="I1203">
        <v>1313.0776367000001</v>
      </c>
      <c r="J1203">
        <v>1304.4405518000001</v>
      </c>
      <c r="K1203">
        <v>1100</v>
      </c>
      <c r="L1203">
        <v>0</v>
      </c>
      <c r="M1203">
        <v>0</v>
      </c>
      <c r="N1203">
        <v>1100</v>
      </c>
    </row>
    <row r="1204" spans="1:14" x14ac:dyDescent="0.25">
      <c r="A1204">
        <v>1108.3976459999999</v>
      </c>
      <c r="B1204" s="1">
        <f>DATE(2013,5,13) + TIME(9,32,36)</f>
        <v>41407.397638888891</v>
      </c>
      <c r="C1204">
        <v>80</v>
      </c>
      <c r="D1204">
        <v>79.911659240999995</v>
      </c>
      <c r="E1204">
        <v>50</v>
      </c>
      <c r="F1204">
        <v>48.993812560999999</v>
      </c>
      <c r="G1204">
        <v>1357.1864014</v>
      </c>
      <c r="H1204">
        <v>1349.5306396000001</v>
      </c>
      <c r="I1204">
        <v>1313.0744629000001</v>
      </c>
      <c r="J1204">
        <v>1304.4354248</v>
      </c>
      <c r="K1204">
        <v>1100</v>
      </c>
      <c r="L1204">
        <v>0</v>
      </c>
      <c r="M1204">
        <v>0</v>
      </c>
      <c r="N1204">
        <v>1100</v>
      </c>
    </row>
    <row r="1205" spans="1:14" x14ac:dyDescent="0.25">
      <c r="A1205">
        <v>1108.886354</v>
      </c>
      <c r="B1205" s="1">
        <f>DATE(2013,5,13) + TIME(21,16,20)</f>
        <v>41407.886342592596</v>
      </c>
      <c r="C1205">
        <v>80</v>
      </c>
      <c r="D1205">
        <v>79.913024902000004</v>
      </c>
      <c r="E1205">
        <v>50</v>
      </c>
      <c r="F1205">
        <v>48.963169098000002</v>
      </c>
      <c r="G1205">
        <v>1357.1546631000001</v>
      </c>
      <c r="H1205">
        <v>1349.5070800999999</v>
      </c>
      <c r="I1205">
        <v>1313.0711670000001</v>
      </c>
      <c r="J1205">
        <v>1304.4300536999999</v>
      </c>
      <c r="K1205">
        <v>1100</v>
      </c>
      <c r="L1205">
        <v>0</v>
      </c>
      <c r="M1205">
        <v>0</v>
      </c>
      <c r="N1205">
        <v>1100</v>
      </c>
    </row>
    <row r="1206" spans="1:14" x14ac:dyDescent="0.25">
      <c r="A1206">
        <v>1109.3948009999999</v>
      </c>
      <c r="B1206" s="1">
        <f>DATE(2013,5,14) + TIME(9,28,30)</f>
        <v>41408.394791666666</v>
      </c>
      <c r="C1206">
        <v>80</v>
      </c>
      <c r="D1206">
        <v>79.914138793999996</v>
      </c>
      <c r="E1206">
        <v>50</v>
      </c>
      <c r="F1206">
        <v>48.931526183999999</v>
      </c>
      <c r="G1206">
        <v>1357.1226807</v>
      </c>
      <c r="H1206">
        <v>1349.4832764</v>
      </c>
      <c r="I1206">
        <v>1313.0676269999999</v>
      </c>
      <c r="J1206">
        <v>1304.4243164</v>
      </c>
      <c r="K1206">
        <v>1100</v>
      </c>
      <c r="L1206">
        <v>0</v>
      </c>
      <c r="M1206">
        <v>0</v>
      </c>
      <c r="N1206">
        <v>1100</v>
      </c>
    </row>
    <row r="1207" spans="1:14" x14ac:dyDescent="0.25">
      <c r="A1207">
        <v>1109.9126240000001</v>
      </c>
      <c r="B1207" s="1">
        <f>DATE(2013,5,14) + TIME(21,54,10)</f>
        <v>41408.912615740737</v>
      </c>
      <c r="C1207">
        <v>80</v>
      </c>
      <c r="D1207">
        <v>79.915031432999996</v>
      </c>
      <c r="E1207">
        <v>50</v>
      </c>
      <c r="F1207">
        <v>48.899394989000001</v>
      </c>
      <c r="G1207">
        <v>1357.0902100000001</v>
      </c>
      <c r="H1207">
        <v>1349.4593506000001</v>
      </c>
      <c r="I1207">
        <v>1313.0638428</v>
      </c>
      <c r="J1207">
        <v>1304.418457</v>
      </c>
      <c r="K1207">
        <v>1100</v>
      </c>
      <c r="L1207">
        <v>0</v>
      </c>
      <c r="M1207">
        <v>0</v>
      </c>
      <c r="N1207">
        <v>1100</v>
      </c>
    </row>
    <row r="1208" spans="1:14" x14ac:dyDescent="0.25">
      <c r="A1208">
        <v>1110.434442</v>
      </c>
      <c r="B1208" s="1">
        <f>DATE(2013,5,15) + TIME(10,25,35)</f>
        <v>41409.434432870374</v>
      </c>
      <c r="C1208">
        <v>80</v>
      </c>
      <c r="D1208">
        <v>79.915733337000006</v>
      </c>
      <c r="E1208">
        <v>50</v>
      </c>
      <c r="F1208">
        <v>48.867061614999997</v>
      </c>
      <c r="G1208">
        <v>1357.0582274999999</v>
      </c>
      <c r="H1208">
        <v>1349.4356689000001</v>
      </c>
      <c r="I1208">
        <v>1313.0599365</v>
      </c>
      <c r="J1208">
        <v>1304.4123535000001</v>
      </c>
      <c r="K1208">
        <v>1100</v>
      </c>
      <c r="L1208">
        <v>0</v>
      </c>
      <c r="M1208">
        <v>0</v>
      </c>
      <c r="N1208">
        <v>1100</v>
      </c>
    </row>
    <row r="1209" spans="1:14" x14ac:dyDescent="0.25">
      <c r="A1209">
        <v>1110.961501</v>
      </c>
      <c r="B1209" s="1">
        <f>DATE(2013,5,15) + TIME(23,4,33)</f>
        <v>41409.961493055554</v>
      </c>
      <c r="C1209">
        <v>80</v>
      </c>
      <c r="D1209">
        <v>79.916305542000003</v>
      </c>
      <c r="E1209">
        <v>50</v>
      </c>
      <c r="F1209">
        <v>48.834495543999999</v>
      </c>
      <c r="G1209">
        <v>1357.0267334</v>
      </c>
      <c r="H1209">
        <v>1349.4124756000001</v>
      </c>
      <c r="I1209">
        <v>1313.0560303</v>
      </c>
      <c r="J1209">
        <v>1304.4061279</v>
      </c>
      <c r="K1209">
        <v>1100</v>
      </c>
      <c r="L1209">
        <v>0</v>
      </c>
      <c r="M1209">
        <v>0</v>
      </c>
      <c r="N1209">
        <v>1100</v>
      </c>
    </row>
    <row r="1210" spans="1:14" x14ac:dyDescent="0.25">
      <c r="A1210">
        <v>1111.4952109999999</v>
      </c>
      <c r="B1210" s="1">
        <f>DATE(2013,5,16) + TIME(11,53,6)</f>
        <v>41410.495208333334</v>
      </c>
      <c r="C1210">
        <v>80</v>
      </c>
      <c r="D1210">
        <v>79.916763306000007</v>
      </c>
      <c r="E1210">
        <v>50</v>
      </c>
      <c r="F1210">
        <v>48.801658629999999</v>
      </c>
      <c r="G1210">
        <v>1356.9958495999999</v>
      </c>
      <c r="H1210">
        <v>1349.3897704999999</v>
      </c>
      <c r="I1210">
        <v>1313.0520019999999</v>
      </c>
      <c r="J1210">
        <v>1304.3997803</v>
      </c>
      <c r="K1210">
        <v>1100</v>
      </c>
      <c r="L1210">
        <v>0</v>
      </c>
      <c r="M1210">
        <v>0</v>
      </c>
      <c r="N1210">
        <v>1100</v>
      </c>
    </row>
    <row r="1211" spans="1:14" x14ac:dyDescent="0.25">
      <c r="A1211">
        <v>1112.036979</v>
      </c>
      <c r="B1211" s="1">
        <f>DATE(2013,5,17) + TIME(0,53,15)</f>
        <v>41411.036979166667</v>
      </c>
      <c r="C1211">
        <v>80</v>
      </c>
      <c r="D1211">
        <v>79.917137146000002</v>
      </c>
      <c r="E1211">
        <v>50</v>
      </c>
      <c r="F1211">
        <v>48.768497467000003</v>
      </c>
      <c r="G1211">
        <v>1356.965332</v>
      </c>
      <c r="H1211">
        <v>1349.3674315999999</v>
      </c>
      <c r="I1211">
        <v>1313.0479736</v>
      </c>
      <c r="J1211">
        <v>1304.3933105000001</v>
      </c>
      <c r="K1211">
        <v>1100</v>
      </c>
      <c r="L1211">
        <v>0</v>
      </c>
      <c r="M1211">
        <v>0</v>
      </c>
      <c r="N1211">
        <v>1100</v>
      </c>
    </row>
    <row r="1212" spans="1:14" x14ac:dyDescent="0.25">
      <c r="A1212">
        <v>1112.5882509999999</v>
      </c>
      <c r="B1212" s="1">
        <f>DATE(2013,5,17) + TIME(14,7,4)</f>
        <v>41411.588240740741</v>
      </c>
      <c r="C1212">
        <v>80</v>
      </c>
      <c r="D1212">
        <v>79.917442321999999</v>
      </c>
      <c r="E1212">
        <v>50</v>
      </c>
      <c r="F1212">
        <v>48.734962463000002</v>
      </c>
      <c r="G1212">
        <v>1356.9351807</v>
      </c>
      <c r="H1212">
        <v>1349.3453368999999</v>
      </c>
      <c r="I1212">
        <v>1313.0438231999999</v>
      </c>
      <c r="J1212">
        <v>1304.3865966999999</v>
      </c>
      <c r="K1212">
        <v>1100</v>
      </c>
      <c r="L1212">
        <v>0</v>
      </c>
      <c r="M1212">
        <v>0</v>
      </c>
      <c r="N1212">
        <v>1100</v>
      </c>
    </row>
    <row r="1213" spans="1:14" x14ac:dyDescent="0.25">
      <c r="A1213">
        <v>1113.150539</v>
      </c>
      <c r="B1213" s="1">
        <f>DATE(2013,5,18) + TIME(3,36,46)</f>
        <v>41412.15053240741</v>
      </c>
      <c r="C1213">
        <v>80</v>
      </c>
      <c r="D1213">
        <v>79.917686462000006</v>
      </c>
      <c r="E1213">
        <v>50</v>
      </c>
      <c r="F1213">
        <v>48.700981140000003</v>
      </c>
      <c r="G1213">
        <v>1356.9053954999999</v>
      </c>
      <c r="H1213">
        <v>1349.3236084</v>
      </c>
      <c r="I1213">
        <v>1313.0394286999999</v>
      </c>
      <c r="J1213">
        <v>1304.3797606999999</v>
      </c>
      <c r="K1213">
        <v>1100</v>
      </c>
      <c r="L1213">
        <v>0</v>
      </c>
      <c r="M1213">
        <v>0</v>
      </c>
      <c r="N1213">
        <v>1100</v>
      </c>
    </row>
    <row r="1214" spans="1:14" x14ac:dyDescent="0.25">
      <c r="A1214">
        <v>1113.7254499999999</v>
      </c>
      <c r="B1214" s="1">
        <f>DATE(2013,5,18) + TIME(17,24,38)</f>
        <v>41412.725439814814</v>
      </c>
      <c r="C1214">
        <v>80</v>
      </c>
      <c r="D1214">
        <v>79.917892456000004</v>
      </c>
      <c r="E1214">
        <v>50</v>
      </c>
      <c r="F1214">
        <v>48.666484832999998</v>
      </c>
      <c r="G1214">
        <v>1356.8756103999999</v>
      </c>
      <c r="H1214">
        <v>1349.3018798999999</v>
      </c>
      <c r="I1214">
        <v>1313.0350341999999</v>
      </c>
      <c r="J1214">
        <v>1304.3726807</v>
      </c>
      <c r="K1214">
        <v>1100</v>
      </c>
      <c r="L1214">
        <v>0</v>
      </c>
      <c r="M1214">
        <v>0</v>
      </c>
      <c r="N1214">
        <v>1100</v>
      </c>
    </row>
    <row r="1215" spans="1:14" x14ac:dyDescent="0.25">
      <c r="A1215">
        <v>1114.3147160000001</v>
      </c>
      <c r="B1215" s="1">
        <f>DATE(2013,5,19) + TIME(7,33,11)</f>
        <v>41413.314710648148</v>
      </c>
      <c r="C1215">
        <v>80</v>
      </c>
      <c r="D1215">
        <v>79.918052673000005</v>
      </c>
      <c r="E1215">
        <v>50</v>
      </c>
      <c r="F1215">
        <v>48.631397247000002</v>
      </c>
      <c r="G1215">
        <v>1356.8459473</v>
      </c>
      <c r="H1215">
        <v>1349.2803954999999</v>
      </c>
      <c r="I1215">
        <v>1313.0303954999999</v>
      </c>
      <c r="J1215">
        <v>1304.3652344</v>
      </c>
      <c r="K1215">
        <v>1100</v>
      </c>
      <c r="L1215">
        <v>0</v>
      </c>
      <c r="M1215">
        <v>0</v>
      </c>
      <c r="N1215">
        <v>1100</v>
      </c>
    </row>
    <row r="1216" spans="1:14" x14ac:dyDescent="0.25">
      <c r="A1216">
        <v>1114.920212</v>
      </c>
      <c r="B1216" s="1">
        <f>DATE(2013,5,19) + TIME(22,5,6)</f>
        <v>41413.920208333337</v>
      </c>
      <c r="C1216">
        <v>80</v>
      </c>
      <c r="D1216">
        <v>79.918190002000003</v>
      </c>
      <c r="E1216">
        <v>50</v>
      </c>
      <c r="F1216">
        <v>48.595626830999997</v>
      </c>
      <c r="G1216">
        <v>1356.8164062000001</v>
      </c>
      <c r="H1216">
        <v>1349.2589111</v>
      </c>
      <c r="I1216">
        <v>1313.0256348</v>
      </c>
      <c r="J1216">
        <v>1304.3576660000001</v>
      </c>
      <c r="K1216">
        <v>1100</v>
      </c>
      <c r="L1216">
        <v>0</v>
      </c>
      <c r="M1216">
        <v>0</v>
      </c>
      <c r="N1216">
        <v>1100</v>
      </c>
    </row>
    <row r="1217" spans="1:14" x14ac:dyDescent="0.25">
      <c r="A1217">
        <v>1115.5388350000001</v>
      </c>
      <c r="B1217" s="1">
        <f>DATE(2013,5,20) + TIME(12,55,55)</f>
        <v>41414.538831018515</v>
      </c>
      <c r="C1217">
        <v>80</v>
      </c>
      <c r="D1217">
        <v>79.918296814000001</v>
      </c>
      <c r="E1217">
        <v>50</v>
      </c>
      <c r="F1217">
        <v>48.559310912999997</v>
      </c>
      <c r="G1217">
        <v>1356.7866211</v>
      </c>
      <c r="H1217">
        <v>1349.2373047000001</v>
      </c>
      <c r="I1217">
        <v>1313.0207519999999</v>
      </c>
      <c r="J1217">
        <v>1304.3497314000001</v>
      </c>
      <c r="K1217">
        <v>1100</v>
      </c>
      <c r="L1217">
        <v>0</v>
      </c>
      <c r="M1217">
        <v>0</v>
      </c>
      <c r="N1217">
        <v>1100</v>
      </c>
    </row>
    <row r="1218" spans="1:14" x14ac:dyDescent="0.25">
      <c r="A1218">
        <v>1116.170138</v>
      </c>
      <c r="B1218" s="1">
        <f>DATE(2013,5,21) + TIME(4,4,59)</f>
        <v>41415.170127314814</v>
      </c>
      <c r="C1218">
        <v>80</v>
      </c>
      <c r="D1218">
        <v>79.918388367000006</v>
      </c>
      <c r="E1218">
        <v>50</v>
      </c>
      <c r="F1218">
        <v>48.522472381999997</v>
      </c>
      <c r="G1218">
        <v>1356.7570800999999</v>
      </c>
      <c r="H1218">
        <v>1349.2159423999999</v>
      </c>
      <c r="I1218">
        <v>1313.015625</v>
      </c>
      <c r="J1218">
        <v>1304.3415527</v>
      </c>
      <c r="K1218">
        <v>1100</v>
      </c>
      <c r="L1218">
        <v>0</v>
      </c>
      <c r="M1218">
        <v>0</v>
      </c>
      <c r="N1218">
        <v>1100</v>
      </c>
    </row>
    <row r="1219" spans="1:14" x14ac:dyDescent="0.25">
      <c r="A1219">
        <v>1116.815828</v>
      </c>
      <c r="B1219" s="1">
        <f>DATE(2013,5,21) + TIME(19,34,47)</f>
        <v>41415.815821759257</v>
      </c>
      <c r="C1219">
        <v>80</v>
      </c>
      <c r="D1219">
        <v>79.918449401999993</v>
      </c>
      <c r="E1219">
        <v>50</v>
      </c>
      <c r="F1219">
        <v>48.485046386999997</v>
      </c>
      <c r="G1219">
        <v>1356.7275391000001</v>
      </c>
      <c r="H1219">
        <v>1349.1945800999999</v>
      </c>
      <c r="I1219">
        <v>1313.0102539</v>
      </c>
      <c r="J1219">
        <v>1304.3330077999999</v>
      </c>
      <c r="K1219">
        <v>1100</v>
      </c>
      <c r="L1219">
        <v>0</v>
      </c>
      <c r="M1219">
        <v>0</v>
      </c>
      <c r="N1219">
        <v>1100</v>
      </c>
    </row>
    <row r="1220" spans="1:14" x14ac:dyDescent="0.25">
      <c r="A1220">
        <v>1117.477697</v>
      </c>
      <c r="B1220" s="1">
        <f>DATE(2013,5,22) + TIME(11,27,53)</f>
        <v>41416.477696759262</v>
      </c>
      <c r="C1220">
        <v>80</v>
      </c>
      <c r="D1220">
        <v>79.918502808</v>
      </c>
      <c r="E1220">
        <v>50</v>
      </c>
      <c r="F1220">
        <v>48.446960449000002</v>
      </c>
      <c r="G1220">
        <v>1356.6981201000001</v>
      </c>
      <c r="H1220">
        <v>1349.1733397999999</v>
      </c>
      <c r="I1220">
        <v>1313.0047606999999</v>
      </c>
      <c r="J1220">
        <v>1304.3242187999999</v>
      </c>
      <c r="K1220">
        <v>1100</v>
      </c>
      <c r="L1220">
        <v>0</v>
      </c>
      <c r="M1220">
        <v>0</v>
      </c>
      <c r="N1220">
        <v>1100</v>
      </c>
    </row>
    <row r="1221" spans="1:14" x14ac:dyDescent="0.25">
      <c r="A1221">
        <v>1118.157729</v>
      </c>
      <c r="B1221" s="1">
        <f>DATE(2013,5,23) + TIME(3,47,7)</f>
        <v>41417.157719907409</v>
      </c>
      <c r="C1221">
        <v>80</v>
      </c>
      <c r="D1221">
        <v>79.918540954999997</v>
      </c>
      <c r="E1221">
        <v>50</v>
      </c>
      <c r="F1221">
        <v>48.408126830999997</v>
      </c>
      <c r="G1221">
        <v>1356.6685791</v>
      </c>
      <c r="H1221">
        <v>1349.1520995999999</v>
      </c>
      <c r="I1221">
        <v>1312.9991454999999</v>
      </c>
      <c r="J1221">
        <v>1304.3150635</v>
      </c>
      <c r="K1221">
        <v>1100</v>
      </c>
      <c r="L1221">
        <v>0</v>
      </c>
      <c r="M1221">
        <v>0</v>
      </c>
      <c r="N1221">
        <v>1100</v>
      </c>
    </row>
    <row r="1222" spans="1:14" x14ac:dyDescent="0.25">
      <c r="A1222">
        <v>1118.8581200000001</v>
      </c>
      <c r="B1222" s="1">
        <f>DATE(2013,5,23) + TIME(20,35,41)</f>
        <v>41417.858113425929</v>
      </c>
      <c r="C1222">
        <v>80</v>
      </c>
      <c r="D1222">
        <v>79.918563843000001</v>
      </c>
      <c r="E1222">
        <v>50</v>
      </c>
      <c r="F1222">
        <v>48.368450164999999</v>
      </c>
      <c r="G1222">
        <v>1356.6390381000001</v>
      </c>
      <c r="H1222">
        <v>1349.1308594</v>
      </c>
      <c r="I1222">
        <v>1312.9931641000001</v>
      </c>
      <c r="J1222">
        <v>1304.3055420000001</v>
      </c>
      <c r="K1222">
        <v>1100</v>
      </c>
      <c r="L1222">
        <v>0</v>
      </c>
      <c r="M1222">
        <v>0</v>
      </c>
      <c r="N1222">
        <v>1100</v>
      </c>
    </row>
    <row r="1223" spans="1:14" x14ac:dyDescent="0.25">
      <c r="A1223">
        <v>1119.5813009999999</v>
      </c>
      <c r="B1223" s="1">
        <f>DATE(2013,5,24) + TIME(13,57,4)</f>
        <v>41418.581296296295</v>
      </c>
      <c r="C1223">
        <v>80</v>
      </c>
      <c r="D1223">
        <v>79.918579101999995</v>
      </c>
      <c r="E1223">
        <v>50</v>
      </c>
      <c r="F1223">
        <v>48.327827454000001</v>
      </c>
      <c r="G1223">
        <v>1356.6092529</v>
      </c>
      <c r="H1223">
        <v>1349.1094971</v>
      </c>
      <c r="I1223">
        <v>1312.9869385</v>
      </c>
      <c r="J1223">
        <v>1304.2955322</v>
      </c>
      <c r="K1223">
        <v>1100</v>
      </c>
      <c r="L1223">
        <v>0</v>
      </c>
      <c r="M1223">
        <v>0</v>
      </c>
      <c r="N1223">
        <v>1100</v>
      </c>
    </row>
    <row r="1224" spans="1:14" x14ac:dyDescent="0.25">
      <c r="A1224">
        <v>1120.330416</v>
      </c>
      <c r="B1224" s="1">
        <f>DATE(2013,5,25) + TIME(7,55,47)</f>
        <v>41419.330405092594</v>
      </c>
      <c r="C1224">
        <v>80</v>
      </c>
      <c r="D1224">
        <v>79.918579101999995</v>
      </c>
      <c r="E1224">
        <v>50</v>
      </c>
      <c r="F1224">
        <v>48.286125183000003</v>
      </c>
      <c r="G1224">
        <v>1356.5792236</v>
      </c>
      <c r="H1224">
        <v>1349.0880127</v>
      </c>
      <c r="I1224">
        <v>1312.9804687999999</v>
      </c>
      <c r="J1224">
        <v>1304.2851562000001</v>
      </c>
      <c r="K1224">
        <v>1100</v>
      </c>
      <c r="L1224">
        <v>0</v>
      </c>
      <c r="M1224">
        <v>0</v>
      </c>
      <c r="N1224">
        <v>1100</v>
      </c>
    </row>
    <row r="1225" spans="1:14" x14ac:dyDescent="0.25">
      <c r="A1225">
        <v>1121.1056900000001</v>
      </c>
      <c r="B1225" s="1">
        <f>DATE(2013,5,26) + TIME(2,32,11)</f>
        <v>41420.105682870373</v>
      </c>
      <c r="C1225">
        <v>80</v>
      </c>
      <c r="D1225">
        <v>79.918579101999995</v>
      </c>
      <c r="E1225">
        <v>50</v>
      </c>
      <c r="F1225">
        <v>48.243312836000001</v>
      </c>
      <c r="G1225">
        <v>1356.5489502</v>
      </c>
      <c r="H1225">
        <v>1349.0662841999999</v>
      </c>
      <c r="I1225">
        <v>1312.9737548999999</v>
      </c>
      <c r="J1225">
        <v>1304.2741699000001</v>
      </c>
      <c r="K1225">
        <v>1100</v>
      </c>
      <c r="L1225">
        <v>0</v>
      </c>
      <c r="M1225">
        <v>0</v>
      </c>
      <c r="N1225">
        <v>1100</v>
      </c>
    </row>
    <row r="1226" spans="1:14" x14ac:dyDescent="0.25">
      <c r="A1226">
        <v>1121.898762</v>
      </c>
      <c r="B1226" s="1">
        <f>DATE(2013,5,26) + TIME(21,34,13)</f>
        <v>41420.898761574077</v>
      </c>
      <c r="C1226">
        <v>80</v>
      </c>
      <c r="D1226">
        <v>79.918571471999996</v>
      </c>
      <c r="E1226">
        <v>50</v>
      </c>
      <c r="F1226">
        <v>48.199714661000002</v>
      </c>
      <c r="G1226">
        <v>1356.5181885</v>
      </c>
      <c r="H1226">
        <v>1349.0444336</v>
      </c>
      <c r="I1226">
        <v>1312.9665527</v>
      </c>
      <c r="J1226">
        <v>1304.2626952999999</v>
      </c>
      <c r="K1226">
        <v>1100</v>
      </c>
      <c r="L1226">
        <v>0</v>
      </c>
      <c r="M1226">
        <v>0</v>
      </c>
      <c r="N1226">
        <v>1100</v>
      </c>
    </row>
    <row r="1227" spans="1:14" x14ac:dyDescent="0.25">
      <c r="A1227">
        <v>1122.7010230000001</v>
      </c>
      <c r="B1227" s="1">
        <f>DATE(2013,5,27) + TIME(16,49,28)</f>
        <v>41421.701018518521</v>
      </c>
      <c r="C1227">
        <v>80</v>
      </c>
      <c r="D1227">
        <v>79.918556213000002</v>
      </c>
      <c r="E1227">
        <v>50</v>
      </c>
      <c r="F1227">
        <v>48.155681610000002</v>
      </c>
      <c r="G1227">
        <v>1356.4875488</v>
      </c>
      <c r="H1227">
        <v>1349.0224608999999</v>
      </c>
      <c r="I1227">
        <v>1312.9592285000001</v>
      </c>
      <c r="J1227">
        <v>1304.2507324000001</v>
      </c>
      <c r="K1227">
        <v>1100</v>
      </c>
      <c r="L1227">
        <v>0</v>
      </c>
      <c r="M1227">
        <v>0</v>
      </c>
      <c r="N1227">
        <v>1100</v>
      </c>
    </row>
    <row r="1228" spans="1:14" x14ac:dyDescent="0.25">
      <c r="A1228">
        <v>1123.5127660000001</v>
      </c>
      <c r="B1228" s="1">
        <f>DATE(2013,5,28) + TIME(12,18,22)</f>
        <v>41422.512754629628</v>
      </c>
      <c r="C1228">
        <v>80</v>
      </c>
      <c r="D1228">
        <v>79.918533324999999</v>
      </c>
      <c r="E1228">
        <v>50</v>
      </c>
      <c r="F1228">
        <v>48.111278534</v>
      </c>
      <c r="G1228">
        <v>1356.4572754000001</v>
      </c>
      <c r="H1228">
        <v>1349.0008545000001</v>
      </c>
      <c r="I1228">
        <v>1312.9515381000001</v>
      </c>
      <c r="J1228">
        <v>1304.2384033000001</v>
      </c>
      <c r="K1228">
        <v>1100</v>
      </c>
      <c r="L1228">
        <v>0</v>
      </c>
      <c r="M1228">
        <v>0</v>
      </c>
      <c r="N1228">
        <v>1100</v>
      </c>
    </row>
    <row r="1229" spans="1:14" x14ac:dyDescent="0.25">
      <c r="A1229">
        <v>1124.3364300000001</v>
      </c>
      <c r="B1229" s="1">
        <f>DATE(2013,5,29) + TIME(8,4,27)</f>
        <v>41423.336423611108</v>
      </c>
      <c r="C1229">
        <v>80</v>
      </c>
      <c r="D1229">
        <v>79.918510436999995</v>
      </c>
      <c r="E1229">
        <v>50</v>
      </c>
      <c r="F1229">
        <v>48.066448211999997</v>
      </c>
      <c r="G1229">
        <v>1356.4272461</v>
      </c>
      <c r="H1229">
        <v>1348.9794922000001</v>
      </c>
      <c r="I1229">
        <v>1312.9437256000001</v>
      </c>
      <c r="J1229">
        <v>1304.2258300999999</v>
      </c>
      <c r="K1229">
        <v>1100</v>
      </c>
      <c r="L1229">
        <v>0</v>
      </c>
      <c r="M1229">
        <v>0</v>
      </c>
      <c r="N1229">
        <v>1100</v>
      </c>
    </row>
    <row r="1230" spans="1:14" x14ac:dyDescent="0.25">
      <c r="A1230">
        <v>1125.174497</v>
      </c>
      <c r="B1230" s="1">
        <f>DATE(2013,5,30) + TIME(4,11,16)</f>
        <v>41424.174490740741</v>
      </c>
      <c r="C1230">
        <v>80</v>
      </c>
      <c r="D1230">
        <v>79.918479919000006</v>
      </c>
      <c r="E1230">
        <v>50</v>
      </c>
      <c r="F1230">
        <v>48.021121979</v>
      </c>
      <c r="G1230">
        <v>1356.3975829999999</v>
      </c>
      <c r="H1230">
        <v>1348.958374</v>
      </c>
      <c r="I1230">
        <v>1312.9356689000001</v>
      </c>
      <c r="J1230">
        <v>1304.2126464999999</v>
      </c>
      <c r="K1230">
        <v>1100</v>
      </c>
      <c r="L1230">
        <v>0</v>
      </c>
      <c r="M1230">
        <v>0</v>
      </c>
      <c r="N1230">
        <v>1100</v>
      </c>
    </row>
    <row r="1231" spans="1:14" x14ac:dyDescent="0.25">
      <c r="A1231">
        <v>1126.0248429999999</v>
      </c>
      <c r="B1231" s="1">
        <f>DATE(2013,5,31) + TIME(0,35,46)</f>
        <v>41425.024837962963</v>
      </c>
      <c r="C1231">
        <v>80</v>
      </c>
      <c r="D1231">
        <v>79.918457031000003</v>
      </c>
      <c r="E1231">
        <v>50</v>
      </c>
      <c r="F1231">
        <v>47.975387572999999</v>
      </c>
      <c r="G1231">
        <v>1356.3680420000001</v>
      </c>
      <c r="H1231">
        <v>1348.9373779</v>
      </c>
      <c r="I1231">
        <v>1312.9273682</v>
      </c>
      <c r="J1231">
        <v>1304.1992187999999</v>
      </c>
      <c r="K1231">
        <v>1100</v>
      </c>
      <c r="L1231">
        <v>0</v>
      </c>
      <c r="M1231">
        <v>0</v>
      </c>
      <c r="N1231">
        <v>1100</v>
      </c>
    </row>
    <row r="1232" spans="1:14" x14ac:dyDescent="0.25">
      <c r="A1232">
        <v>1126.8888710000001</v>
      </c>
      <c r="B1232" s="1">
        <f>DATE(2013,5,31) + TIME(21,19,58)</f>
        <v>41425.888865740744</v>
      </c>
      <c r="C1232">
        <v>80</v>
      </c>
      <c r="D1232">
        <v>79.918426514000004</v>
      </c>
      <c r="E1232">
        <v>50</v>
      </c>
      <c r="F1232">
        <v>47.929210662999999</v>
      </c>
      <c r="G1232">
        <v>1356.3386230000001</v>
      </c>
      <c r="H1232">
        <v>1348.9165039</v>
      </c>
      <c r="I1232">
        <v>1312.9188231999999</v>
      </c>
      <c r="J1232">
        <v>1304.1853027</v>
      </c>
      <c r="K1232">
        <v>1100</v>
      </c>
      <c r="L1232">
        <v>0</v>
      </c>
      <c r="M1232">
        <v>0</v>
      </c>
      <c r="N1232">
        <v>1100</v>
      </c>
    </row>
    <row r="1233" spans="1:14" x14ac:dyDescent="0.25">
      <c r="A1233">
        <v>1127</v>
      </c>
      <c r="B1233" s="1">
        <f>DATE(2013,6,1) + TIME(0,0,0)</f>
        <v>41426</v>
      </c>
      <c r="C1233">
        <v>80</v>
      </c>
      <c r="D1233">
        <v>79.918411254999995</v>
      </c>
      <c r="E1233">
        <v>50</v>
      </c>
      <c r="F1233">
        <v>47.921051024999997</v>
      </c>
      <c r="G1233">
        <v>1356.3098144999999</v>
      </c>
      <c r="H1233">
        <v>1348.8961182</v>
      </c>
      <c r="I1233">
        <v>1312.9091797000001</v>
      </c>
      <c r="J1233">
        <v>1304.1741943</v>
      </c>
      <c r="K1233">
        <v>1100</v>
      </c>
      <c r="L1233">
        <v>0</v>
      </c>
      <c r="M1233">
        <v>0</v>
      </c>
      <c r="N1233">
        <v>1100</v>
      </c>
    </row>
    <row r="1234" spans="1:14" x14ac:dyDescent="0.25">
      <c r="A1234">
        <v>1127.880083</v>
      </c>
      <c r="B1234" s="1">
        <f>DATE(2013,6,1) + TIME(21,7,19)</f>
        <v>41426.88008101852</v>
      </c>
      <c r="C1234">
        <v>80</v>
      </c>
      <c r="D1234">
        <v>79.918380737000007</v>
      </c>
      <c r="E1234">
        <v>50</v>
      </c>
      <c r="F1234">
        <v>47.875076294000003</v>
      </c>
      <c r="G1234">
        <v>1356.3056641000001</v>
      </c>
      <c r="H1234">
        <v>1348.8930664</v>
      </c>
      <c r="I1234">
        <v>1312.9088135</v>
      </c>
      <c r="J1234">
        <v>1304.1687012</v>
      </c>
      <c r="K1234">
        <v>1100</v>
      </c>
      <c r="L1234">
        <v>0</v>
      </c>
      <c r="M1234">
        <v>0</v>
      </c>
      <c r="N1234">
        <v>1100</v>
      </c>
    </row>
    <row r="1235" spans="1:14" x14ac:dyDescent="0.25">
      <c r="A1235">
        <v>1128.781348</v>
      </c>
      <c r="B1235" s="1">
        <f>DATE(2013,6,2) + TIME(18,45,8)</f>
        <v>41427.781342592592</v>
      </c>
      <c r="C1235">
        <v>80</v>
      </c>
      <c r="D1235">
        <v>79.918350219999994</v>
      </c>
      <c r="E1235">
        <v>50</v>
      </c>
      <c r="F1235">
        <v>47.828178405999999</v>
      </c>
      <c r="G1235">
        <v>1356.2767334</v>
      </c>
      <c r="H1235">
        <v>1348.8725586</v>
      </c>
      <c r="I1235">
        <v>1312.8997803</v>
      </c>
      <c r="J1235">
        <v>1304.1539307</v>
      </c>
      <c r="K1235">
        <v>1100</v>
      </c>
      <c r="L1235">
        <v>0</v>
      </c>
      <c r="M1235">
        <v>0</v>
      </c>
      <c r="N1235">
        <v>1100</v>
      </c>
    </row>
    <row r="1236" spans="1:14" x14ac:dyDescent="0.25">
      <c r="A1236">
        <v>1129.7041650000001</v>
      </c>
      <c r="B1236" s="1">
        <f>DATE(2013,6,3) + TIME(16,53,59)</f>
        <v>41428.704155092593</v>
      </c>
      <c r="C1236">
        <v>80</v>
      </c>
      <c r="D1236">
        <v>79.918319702000005</v>
      </c>
      <c r="E1236">
        <v>50</v>
      </c>
      <c r="F1236">
        <v>47.780391692999999</v>
      </c>
      <c r="G1236">
        <v>1356.2476807</v>
      </c>
      <c r="H1236">
        <v>1348.8519286999999</v>
      </c>
      <c r="I1236">
        <v>1312.8903809000001</v>
      </c>
      <c r="J1236">
        <v>1304.1384277</v>
      </c>
      <c r="K1236">
        <v>1100</v>
      </c>
      <c r="L1236">
        <v>0</v>
      </c>
      <c r="M1236">
        <v>0</v>
      </c>
      <c r="N1236">
        <v>1100</v>
      </c>
    </row>
    <row r="1237" spans="1:14" x14ac:dyDescent="0.25">
      <c r="A1237">
        <v>1130.651535</v>
      </c>
      <c r="B1237" s="1">
        <f>DATE(2013,6,4) + TIME(15,38,12)</f>
        <v>41429.65152777778</v>
      </c>
      <c r="C1237">
        <v>80</v>
      </c>
      <c r="D1237">
        <v>79.918281554999993</v>
      </c>
      <c r="E1237">
        <v>50</v>
      </c>
      <c r="F1237">
        <v>47.731643677000001</v>
      </c>
      <c r="G1237">
        <v>1356.2185059000001</v>
      </c>
      <c r="H1237">
        <v>1348.8312988</v>
      </c>
      <c r="I1237">
        <v>1312.8804932</v>
      </c>
      <c r="J1237">
        <v>1304.1221923999999</v>
      </c>
      <c r="K1237">
        <v>1100</v>
      </c>
      <c r="L1237">
        <v>0</v>
      </c>
      <c r="M1237">
        <v>0</v>
      </c>
      <c r="N1237">
        <v>1100</v>
      </c>
    </row>
    <row r="1238" spans="1:14" x14ac:dyDescent="0.25">
      <c r="A1238">
        <v>1131.626321</v>
      </c>
      <c r="B1238" s="1">
        <f>DATE(2013,6,5) + TIME(15,1,54)</f>
        <v>41430.626319444447</v>
      </c>
      <c r="C1238">
        <v>80</v>
      </c>
      <c r="D1238">
        <v>79.918251037999994</v>
      </c>
      <c r="E1238">
        <v>50</v>
      </c>
      <c r="F1238">
        <v>47.681842803999999</v>
      </c>
      <c r="G1238">
        <v>1356.1890868999999</v>
      </c>
      <c r="H1238">
        <v>1348.8104248</v>
      </c>
      <c r="I1238">
        <v>1312.8702393000001</v>
      </c>
      <c r="J1238">
        <v>1304.1053466999999</v>
      </c>
      <c r="K1238">
        <v>1100</v>
      </c>
      <c r="L1238">
        <v>0</v>
      </c>
      <c r="M1238">
        <v>0</v>
      </c>
      <c r="N1238">
        <v>1100</v>
      </c>
    </row>
    <row r="1239" spans="1:14" x14ac:dyDescent="0.25">
      <c r="A1239">
        <v>1132.6247989999999</v>
      </c>
      <c r="B1239" s="1">
        <f>DATE(2013,6,6) + TIME(14,59,42)</f>
        <v>41431.624791666669</v>
      </c>
      <c r="C1239">
        <v>80</v>
      </c>
      <c r="D1239">
        <v>79.918212890999996</v>
      </c>
      <c r="E1239">
        <v>50</v>
      </c>
      <c r="F1239">
        <v>47.631122589</v>
      </c>
      <c r="G1239">
        <v>1356.1595459</v>
      </c>
      <c r="H1239">
        <v>1348.7895507999999</v>
      </c>
      <c r="I1239">
        <v>1312.8596190999999</v>
      </c>
      <c r="J1239">
        <v>1304.0877685999999</v>
      </c>
      <c r="K1239">
        <v>1100</v>
      </c>
      <c r="L1239">
        <v>0</v>
      </c>
      <c r="M1239">
        <v>0</v>
      </c>
      <c r="N1239">
        <v>1100</v>
      </c>
    </row>
    <row r="1240" spans="1:14" x14ac:dyDescent="0.25">
      <c r="A1240">
        <v>1133.650484</v>
      </c>
      <c r="B1240" s="1">
        <f>DATE(2013,6,7) + TIME(15,36,41)</f>
        <v>41432.65047453704</v>
      </c>
      <c r="C1240">
        <v>80</v>
      </c>
      <c r="D1240">
        <v>79.918182372999993</v>
      </c>
      <c r="E1240">
        <v>50</v>
      </c>
      <c r="F1240">
        <v>47.579391479000002</v>
      </c>
      <c r="G1240">
        <v>1356.1298827999999</v>
      </c>
      <c r="H1240">
        <v>1348.7685547000001</v>
      </c>
      <c r="I1240">
        <v>1312.8485106999999</v>
      </c>
      <c r="J1240">
        <v>1304.0693358999999</v>
      </c>
      <c r="K1240">
        <v>1100</v>
      </c>
      <c r="L1240">
        <v>0</v>
      </c>
      <c r="M1240">
        <v>0</v>
      </c>
      <c r="N1240">
        <v>1100</v>
      </c>
    </row>
    <row r="1241" spans="1:14" x14ac:dyDescent="0.25">
      <c r="A1241">
        <v>1134.7071659999999</v>
      </c>
      <c r="B1241" s="1">
        <f>DATE(2013,6,8) + TIME(16,58,19)</f>
        <v>41433.70716435185</v>
      </c>
      <c r="C1241">
        <v>80</v>
      </c>
      <c r="D1241">
        <v>79.918144225999995</v>
      </c>
      <c r="E1241">
        <v>50</v>
      </c>
      <c r="F1241">
        <v>47.526531218999999</v>
      </c>
      <c r="G1241">
        <v>1356.0999756000001</v>
      </c>
      <c r="H1241">
        <v>1348.7474365</v>
      </c>
      <c r="I1241">
        <v>1312.8369141000001</v>
      </c>
      <c r="J1241">
        <v>1304.0500488</v>
      </c>
      <c r="K1241">
        <v>1100</v>
      </c>
      <c r="L1241">
        <v>0</v>
      </c>
      <c r="M1241">
        <v>0</v>
      </c>
      <c r="N1241">
        <v>1100</v>
      </c>
    </row>
    <row r="1242" spans="1:14" x14ac:dyDescent="0.25">
      <c r="A1242">
        <v>1135.779</v>
      </c>
      <c r="B1242" s="1">
        <f>DATE(2013,6,9) + TIME(18,41,45)</f>
        <v>41434.778993055559</v>
      </c>
      <c r="C1242">
        <v>80</v>
      </c>
      <c r="D1242">
        <v>79.918113708000007</v>
      </c>
      <c r="E1242">
        <v>50</v>
      </c>
      <c r="F1242">
        <v>47.473037720000001</v>
      </c>
      <c r="G1242">
        <v>1356.0698242000001</v>
      </c>
      <c r="H1242">
        <v>1348.7260742000001</v>
      </c>
      <c r="I1242">
        <v>1312.8248291</v>
      </c>
      <c r="J1242">
        <v>1304.0300293</v>
      </c>
      <c r="K1242">
        <v>1100</v>
      </c>
      <c r="L1242">
        <v>0</v>
      </c>
      <c r="M1242">
        <v>0</v>
      </c>
      <c r="N1242">
        <v>1100</v>
      </c>
    </row>
    <row r="1243" spans="1:14" x14ac:dyDescent="0.25">
      <c r="A1243">
        <v>1136.8546369999999</v>
      </c>
      <c r="B1243" s="1">
        <f>DATE(2013,6,10) + TIME(20,30,40)</f>
        <v>41435.854629629626</v>
      </c>
      <c r="C1243">
        <v>80</v>
      </c>
      <c r="D1243">
        <v>79.918075561999999</v>
      </c>
      <c r="E1243">
        <v>50</v>
      </c>
      <c r="F1243">
        <v>47.419364928999997</v>
      </c>
      <c r="G1243">
        <v>1356.0397949000001</v>
      </c>
      <c r="H1243">
        <v>1348.7048339999999</v>
      </c>
      <c r="I1243">
        <v>1312.8122559000001</v>
      </c>
      <c r="J1243">
        <v>1304.0092772999999</v>
      </c>
      <c r="K1243">
        <v>1100</v>
      </c>
      <c r="L1243">
        <v>0</v>
      </c>
      <c r="M1243">
        <v>0</v>
      </c>
      <c r="N1243">
        <v>1100</v>
      </c>
    </row>
    <row r="1244" spans="1:14" x14ac:dyDescent="0.25">
      <c r="A1244">
        <v>1137.93742</v>
      </c>
      <c r="B1244" s="1">
        <f>DATE(2013,6,11) + TIME(22,29,53)</f>
        <v>41436.937418981484</v>
      </c>
      <c r="C1244">
        <v>80</v>
      </c>
      <c r="D1244">
        <v>79.918045043999996</v>
      </c>
      <c r="E1244">
        <v>50</v>
      </c>
      <c r="F1244">
        <v>47.36554718</v>
      </c>
      <c r="G1244">
        <v>1356.010376</v>
      </c>
      <c r="H1244">
        <v>1348.6839600000001</v>
      </c>
      <c r="I1244">
        <v>1312.7995605000001</v>
      </c>
      <c r="J1244">
        <v>1303.9880370999999</v>
      </c>
      <c r="K1244">
        <v>1100</v>
      </c>
      <c r="L1244">
        <v>0</v>
      </c>
      <c r="M1244">
        <v>0</v>
      </c>
      <c r="N1244">
        <v>1100</v>
      </c>
    </row>
    <row r="1245" spans="1:14" x14ac:dyDescent="0.25">
      <c r="A1245">
        <v>1139.029914</v>
      </c>
      <c r="B1245" s="1">
        <f>DATE(2013,6,13) + TIME(0,43,4)</f>
        <v>41438.029907407406</v>
      </c>
      <c r="C1245">
        <v>80</v>
      </c>
      <c r="D1245">
        <v>79.918006896999998</v>
      </c>
      <c r="E1245">
        <v>50</v>
      </c>
      <c r="F1245">
        <v>47.311573029000002</v>
      </c>
      <c r="G1245">
        <v>1355.9813231999999</v>
      </c>
      <c r="H1245">
        <v>1348.6634521000001</v>
      </c>
      <c r="I1245">
        <v>1312.7866211</v>
      </c>
      <c r="J1245">
        <v>1303.9663086</v>
      </c>
      <c r="K1245">
        <v>1100</v>
      </c>
      <c r="L1245">
        <v>0</v>
      </c>
      <c r="M1245">
        <v>0</v>
      </c>
      <c r="N1245">
        <v>1100</v>
      </c>
    </row>
    <row r="1246" spans="1:14" x14ac:dyDescent="0.25">
      <c r="A1246">
        <v>1140.1350870000001</v>
      </c>
      <c r="B1246" s="1">
        <f>DATE(2013,6,14) + TIME(3,14,31)</f>
        <v>41439.135081018518</v>
      </c>
      <c r="C1246">
        <v>80</v>
      </c>
      <c r="D1246">
        <v>79.917976378999995</v>
      </c>
      <c r="E1246">
        <v>50</v>
      </c>
      <c r="F1246">
        <v>47.257373809999997</v>
      </c>
      <c r="G1246">
        <v>1355.9525146000001</v>
      </c>
      <c r="H1246">
        <v>1348.6430664</v>
      </c>
      <c r="I1246">
        <v>1312.7733154</v>
      </c>
      <c r="J1246">
        <v>1303.9440918</v>
      </c>
      <c r="K1246">
        <v>1100</v>
      </c>
      <c r="L1246">
        <v>0</v>
      </c>
      <c r="M1246">
        <v>0</v>
      </c>
      <c r="N1246">
        <v>1100</v>
      </c>
    </row>
    <row r="1247" spans="1:14" x14ac:dyDescent="0.25">
      <c r="A1247">
        <v>1141.255979</v>
      </c>
      <c r="B1247" s="1">
        <f>DATE(2013,6,15) + TIME(6,8,36)</f>
        <v>41440.255972222221</v>
      </c>
      <c r="C1247">
        <v>80</v>
      </c>
      <c r="D1247">
        <v>79.917945861999996</v>
      </c>
      <c r="E1247">
        <v>50</v>
      </c>
      <c r="F1247">
        <v>47.202873230000002</v>
      </c>
      <c r="G1247">
        <v>1355.9239502</v>
      </c>
      <c r="H1247">
        <v>1348.6228027</v>
      </c>
      <c r="I1247">
        <v>1312.7597656</v>
      </c>
      <c r="J1247">
        <v>1303.9211425999999</v>
      </c>
      <c r="K1247">
        <v>1100</v>
      </c>
      <c r="L1247">
        <v>0</v>
      </c>
      <c r="M1247">
        <v>0</v>
      </c>
      <c r="N1247">
        <v>1100</v>
      </c>
    </row>
    <row r="1248" spans="1:14" x14ac:dyDescent="0.25">
      <c r="A1248">
        <v>1142.395747</v>
      </c>
      <c r="B1248" s="1">
        <f>DATE(2013,6,16) + TIME(9,29,52)</f>
        <v>41441.395740740743</v>
      </c>
      <c r="C1248">
        <v>80</v>
      </c>
      <c r="D1248">
        <v>79.917922974000007</v>
      </c>
      <c r="E1248">
        <v>50</v>
      </c>
      <c r="F1248">
        <v>47.147956848</v>
      </c>
      <c r="G1248">
        <v>1355.8955077999999</v>
      </c>
      <c r="H1248">
        <v>1348.6026611</v>
      </c>
      <c r="I1248">
        <v>1312.7457274999999</v>
      </c>
      <c r="J1248">
        <v>1303.8974608999999</v>
      </c>
      <c r="K1248">
        <v>1100</v>
      </c>
      <c r="L1248">
        <v>0</v>
      </c>
      <c r="M1248">
        <v>0</v>
      </c>
      <c r="N1248">
        <v>1100</v>
      </c>
    </row>
    <row r="1249" spans="1:14" x14ac:dyDescent="0.25">
      <c r="A1249">
        <v>1143.5577390000001</v>
      </c>
      <c r="B1249" s="1">
        <f>DATE(2013,6,17) + TIME(13,23,8)</f>
        <v>41442.55773148148</v>
      </c>
      <c r="C1249">
        <v>80</v>
      </c>
      <c r="D1249">
        <v>79.917892456000004</v>
      </c>
      <c r="E1249">
        <v>50</v>
      </c>
      <c r="F1249">
        <v>47.092517852999997</v>
      </c>
      <c r="G1249">
        <v>1355.8670654</v>
      </c>
      <c r="H1249">
        <v>1348.5825195</v>
      </c>
      <c r="I1249">
        <v>1312.7313231999999</v>
      </c>
      <c r="J1249">
        <v>1303.8730469</v>
      </c>
      <c r="K1249">
        <v>1100</v>
      </c>
      <c r="L1249">
        <v>0</v>
      </c>
      <c r="M1249">
        <v>0</v>
      </c>
      <c r="N1249">
        <v>1100</v>
      </c>
    </row>
    <row r="1250" spans="1:14" x14ac:dyDescent="0.25">
      <c r="A1250">
        <v>1144.745525</v>
      </c>
      <c r="B1250" s="1">
        <f>DATE(2013,6,18) + TIME(17,53,33)</f>
        <v>41443.745520833334</v>
      </c>
      <c r="C1250">
        <v>80</v>
      </c>
      <c r="D1250">
        <v>79.917869568</v>
      </c>
      <c r="E1250">
        <v>50</v>
      </c>
      <c r="F1250">
        <v>47.036426544000001</v>
      </c>
      <c r="G1250">
        <v>1355.8386230000001</v>
      </c>
      <c r="H1250">
        <v>1348.5623779</v>
      </c>
      <c r="I1250">
        <v>1312.7164307</v>
      </c>
      <c r="J1250">
        <v>1303.8479004000001</v>
      </c>
      <c r="K1250">
        <v>1100</v>
      </c>
      <c r="L1250">
        <v>0</v>
      </c>
      <c r="M1250">
        <v>0</v>
      </c>
      <c r="N1250">
        <v>1100</v>
      </c>
    </row>
    <row r="1251" spans="1:14" x14ac:dyDescent="0.25">
      <c r="A1251">
        <v>1145.96298</v>
      </c>
      <c r="B1251" s="1">
        <f>DATE(2013,6,19) + TIME(23,6,41)</f>
        <v>41444.96297453704</v>
      </c>
      <c r="C1251">
        <v>80</v>
      </c>
      <c r="D1251">
        <v>79.917839049999998</v>
      </c>
      <c r="E1251">
        <v>50</v>
      </c>
      <c r="F1251">
        <v>46.979545592999997</v>
      </c>
      <c r="G1251">
        <v>1355.8100586</v>
      </c>
      <c r="H1251">
        <v>1348.5421143000001</v>
      </c>
      <c r="I1251">
        <v>1312.7010498</v>
      </c>
      <c r="J1251">
        <v>1303.8216553</v>
      </c>
      <c r="K1251">
        <v>1100</v>
      </c>
      <c r="L1251">
        <v>0</v>
      </c>
      <c r="M1251">
        <v>0</v>
      </c>
      <c r="N1251">
        <v>1100</v>
      </c>
    </row>
    <row r="1252" spans="1:14" x14ac:dyDescent="0.25">
      <c r="A1252">
        <v>1147.214365</v>
      </c>
      <c r="B1252" s="1">
        <f>DATE(2013,6,21) + TIME(5,8,41)</f>
        <v>41446.214363425926</v>
      </c>
      <c r="C1252">
        <v>80</v>
      </c>
      <c r="D1252">
        <v>79.917816161999994</v>
      </c>
      <c r="E1252">
        <v>50</v>
      </c>
      <c r="F1252">
        <v>46.921730042</v>
      </c>
      <c r="G1252">
        <v>1355.78125</v>
      </c>
      <c r="H1252">
        <v>1348.5217285000001</v>
      </c>
      <c r="I1252">
        <v>1312.6851807</v>
      </c>
      <c r="J1252">
        <v>1303.7944336</v>
      </c>
      <c r="K1252">
        <v>1100</v>
      </c>
      <c r="L1252">
        <v>0</v>
      </c>
      <c r="M1252">
        <v>0</v>
      </c>
      <c r="N1252">
        <v>1100</v>
      </c>
    </row>
    <row r="1253" spans="1:14" x14ac:dyDescent="0.25">
      <c r="A1253">
        <v>1148.5044170000001</v>
      </c>
      <c r="B1253" s="1">
        <f>DATE(2013,6,22) + TIME(12,6,21)</f>
        <v>41447.50440972222</v>
      </c>
      <c r="C1253">
        <v>80</v>
      </c>
      <c r="D1253">
        <v>79.917793274000005</v>
      </c>
      <c r="E1253">
        <v>50</v>
      </c>
      <c r="F1253">
        <v>46.862827301000003</v>
      </c>
      <c r="G1253">
        <v>1355.7523193</v>
      </c>
      <c r="H1253">
        <v>1348.5012207</v>
      </c>
      <c r="I1253">
        <v>1312.6685791</v>
      </c>
      <c r="J1253">
        <v>1303.7659911999999</v>
      </c>
      <c r="K1253">
        <v>1100</v>
      </c>
      <c r="L1253">
        <v>0</v>
      </c>
      <c r="M1253">
        <v>0</v>
      </c>
      <c r="N1253">
        <v>1100</v>
      </c>
    </row>
    <row r="1254" spans="1:14" x14ac:dyDescent="0.25">
      <c r="A1254">
        <v>1149.8393149999999</v>
      </c>
      <c r="B1254" s="1">
        <f>DATE(2013,6,23) + TIME(20,8,36)</f>
        <v>41448.839305555557</v>
      </c>
      <c r="C1254">
        <v>80</v>
      </c>
      <c r="D1254">
        <v>79.917770386000001</v>
      </c>
      <c r="E1254">
        <v>50</v>
      </c>
      <c r="F1254">
        <v>46.802642822000003</v>
      </c>
      <c r="G1254">
        <v>1355.7229004000001</v>
      </c>
      <c r="H1254">
        <v>1348.4803466999999</v>
      </c>
      <c r="I1254">
        <v>1312.6512451000001</v>
      </c>
      <c r="J1254">
        <v>1303.7363281</v>
      </c>
      <c r="K1254">
        <v>1100</v>
      </c>
      <c r="L1254">
        <v>0</v>
      </c>
      <c r="M1254">
        <v>0</v>
      </c>
      <c r="N1254">
        <v>1100</v>
      </c>
    </row>
    <row r="1255" spans="1:14" x14ac:dyDescent="0.25">
      <c r="A1255">
        <v>1151.2058320000001</v>
      </c>
      <c r="B1255" s="1">
        <f>DATE(2013,6,25) + TIME(4,56,23)</f>
        <v>41450.205821759257</v>
      </c>
      <c r="C1255">
        <v>80</v>
      </c>
      <c r="D1255">
        <v>79.917747497999997</v>
      </c>
      <c r="E1255">
        <v>50</v>
      </c>
      <c r="F1255">
        <v>46.741481780999997</v>
      </c>
      <c r="G1255">
        <v>1355.6929932</v>
      </c>
      <c r="H1255">
        <v>1348.4591064000001</v>
      </c>
      <c r="I1255">
        <v>1312.6331786999999</v>
      </c>
      <c r="J1255">
        <v>1303.7052002</v>
      </c>
      <c r="K1255">
        <v>1100</v>
      </c>
      <c r="L1255">
        <v>0</v>
      </c>
      <c r="M1255">
        <v>0</v>
      </c>
      <c r="N1255">
        <v>1100</v>
      </c>
    </row>
    <row r="1256" spans="1:14" x14ac:dyDescent="0.25">
      <c r="A1256">
        <v>1152.5751459999999</v>
      </c>
      <c r="B1256" s="1">
        <f>DATE(2013,6,26) + TIME(13,48,12)</f>
        <v>41451.575138888889</v>
      </c>
      <c r="C1256">
        <v>80</v>
      </c>
      <c r="D1256">
        <v>79.917732239000003</v>
      </c>
      <c r="E1256">
        <v>50</v>
      </c>
      <c r="F1256">
        <v>46.680187224999997</v>
      </c>
      <c r="G1256">
        <v>1355.6629639</v>
      </c>
      <c r="H1256">
        <v>1348.4377440999999</v>
      </c>
      <c r="I1256">
        <v>1312.6145019999999</v>
      </c>
      <c r="J1256">
        <v>1303.6730957</v>
      </c>
      <c r="K1256">
        <v>1100</v>
      </c>
      <c r="L1256">
        <v>0</v>
      </c>
      <c r="M1256">
        <v>0</v>
      </c>
      <c r="N1256">
        <v>1100</v>
      </c>
    </row>
    <row r="1257" spans="1:14" x14ac:dyDescent="0.25">
      <c r="A1257">
        <v>1153.9514360000001</v>
      </c>
      <c r="B1257" s="1">
        <f>DATE(2013,6,27) + TIME(22,50,4)</f>
        <v>41452.951435185183</v>
      </c>
      <c r="C1257">
        <v>80</v>
      </c>
      <c r="D1257">
        <v>79.917709350999999</v>
      </c>
      <c r="E1257">
        <v>50</v>
      </c>
      <c r="F1257">
        <v>46.618946074999997</v>
      </c>
      <c r="G1257">
        <v>1355.6333007999999</v>
      </c>
      <c r="H1257">
        <v>1348.416626</v>
      </c>
      <c r="I1257">
        <v>1312.5955810999999</v>
      </c>
      <c r="J1257">
        <v>1303.6402588000001</v>
      </c>
      <c r="K1257">
        <v>1100</v>
      </c>
      <c r="L1257">
        <v>0</v>
      </c>
      <c r="M1257">
        <v>0</v>
      </c>
      <c r="N1257">
        <v>1100</v>
      </c>
    </row>
    <row r="1258" spans="1:14" x14ac:dyDescent="0.25">
      <c r="A1258">
        <v>1155.3383369999999</v>
      </c>
      <c r="B1258" s="1">
        <f>DATE(2013,6,29) + TIME(8,7,12)</f>
        <v>41454.338333333333</v>
      </c>
      <c r="C1258">
        <v>80</v>
      </c>
      <c r="D1258">
        <v>79.917694092000005</v>
      </c>
      <c r="E1258">
        <v>50</v>
      </c>
      <c r="F1258">
        <v>46.557815552000001</v>
      </c>
      <c r="G1258">
        <v>1355.604126</v>
      </c>
      <c r="H1258">
        <v>1348.395874</v>
      </c>
      <c r="I1258">
        <v>1312.5762939000001</v>
      </c>
      <c r="J1258">
        <v>1303.6068115</v>
      </c>
      <c r="K1258">
        <v>1100</v>
      </c>
      <c r="L1258">
        <v>0</v>
      </c>
      <c r="M1258">
        <v>0</v>
      </c>
      <c r="N1258">
        <v>1100</v>
      </c>
    </row>
    <row r="1259" spans="1:14" x14ac:dyDescent="0.25">
      <c r="A1259">
        <v>1156.7398430000001</v>
      </c>
      <c r="B1259" s="1">
        <f>DATE(2013,6,30) + TIME(17,45,22)</f>
        <v>41455.739837962959</v>
      </c>
      <c r="C1259">
        <v>80</v>
      </c>
      <c r="D1259">
        <v>79.917671204000001</v>
      </c>
      <c r="E1259">
        <v>50</v>
      </c>
      <c r="F1259">
        <v>46.496768951</v>
      </c>
      <c r="G1259">
        <v>1355.5751952999999</v>
      </c>
      <c r="H1259">
        <v>1348.3751221</v>
      </c>
      <c r="I1259">
        <v>1312.5566406</v>
      </c>
      <c r="J1259">
        <v>1303.5726318</v>
      </c>
      <c r="K1259">
        <v>1100</v>
      </c>
      <c r="L1259">
        <v>0</v>
      </c>
      <c r="M1259">
        <v>0</v>
      </c>
      <c r="N1259">
        <v>1100</v>
      </c>
    </row>
    <row r="1260" spans="1:14" x14ac:dyDescent="0.25">
      <c r="A1260">
        <v>1157</v>
      </c>
      <c r="B1260" s="1">
        <f>DATE(2013,7,1) + TIME(0,0,0)</f>
        <v>41456</v>
      </c>
      <c r="C1260">
        <v>80</v>
      </c>
      <c r="D1260">
        <v>79.917655945000007</v>
      </c>
      <c r="E1260">
        <v>50</v>
      </c>
      <c r="F1260">
        <v>46.479564666999998</v>
      </c>
      <c r="G1260">
        <v>1355.5465088000001</v>
      </c>
      <c r="H1260">
        <v>1348.3547363</v>
      </c>
      <c r="I1260">
        <v>1312.5382079999999</v>
      </c>
      <c r="J1260">
        <v>1303.5461425999999</v>
      </c>
      <c r="K1260">
        <v>1100</v>
      </c>
      <c r="L1260">
        <v>0</v>
      </c>
      <c r="M1260">
        <v>0</v>
      </c>
      <c r="N1260">
        <v>1100</v>
      </c>
    </row>
    <row r="1261" spans="1:14" x14ac:dyDescent="0.25">
      <c r="A1261">
        <v>1158.4201849999999</v>
      </c>
      <c r="B1261" s="1">
        <f>DATE(2013,7,2) + TIME(10,5,3)</f>
        <v>41457.420173611114</v>
      </c>
      <c r="C1261">
        <v>80</v>
      </c>
      <c r="D1261">
        <v>79.917648314999994</v>
      </c>
      <c r="E1261">
        <v>50</v>
      </c>
      <c r="F1261">
        <v>46.421199799</v>
      </c>
      <c r="G1261">
        <v>1355.5410156</v>
      </c>
      <c r="H1261">
        <v>1348.3507079999999</v>
      </c>
      <c r="I1261">
        <v>1312.5324707</v>
      </c>
      <c r="J1261">
        <v>1303.5299072</v>
      </c>
      <c r="K1261">
        <v>1100</v>
      </c>
      <c r="L1261">
        <v>0</v>
      </c>
      <c r="M1261">
        <v>0</v>
      </c>
      <c r="N1261">
        <v>1100</v>
      </c>
    </row>
    <row r="1262" spans="1:14" x14ac:dyDescent="0.25">
      <c r="A1262">
        <v>1159.868254</v>
      </c>
      <c r="B1262" s="1">
        <f>DATE(2013,7,3) + TIME(20,50,17)</f>
        <v>41458.868252314816</v>
      </c>
      <c r="C1262">
        <v>80</v>
      </c>
      <c r="D1262">
        <v>79.917640685999999</v>
      </c>
      <c r="E1262">
        <v>50</v>
      </c>
      <c r="F1262">
        <v>46.361583709999998</v>
      </c>
      <c r="G1262">
        <v>1355.5125731999999</v>
      </c>
      <c r="H1262">
        <v>1348.3303223</v>
      </c>
      <c r="I1262">
        <v>1312.512207</v>
      </c>
      <c r="J1262">
        <v>1303.4945068</v>
      </c>
      <c r="K1262">
        <v>1100</v>
      </c>
      <c r="L1262">
        <v>0</v>
      </c>
      <c r="M1262">
        <v>0</v>
      </c>
      <c r="N1262">
        <v>1100</v>
      </c>
    </row>
    <row r="1263" spans="1:14" x14ac:dyDescent="0.25">
      <c r="A1263">
        <v>1161.344497</v>
      </c>
      <c r="B1263" s="1">
        <f>DATE(2013,7,5) + TIME(8,16,4)</f>
        <v>41460.344490740739</v>
      </c>
      <c r="C1263">
        <v>80</v>
      </c>
      <c r="D1263">
        <v>79.917633057000003</v>
      </c>
      <c r="E1263">
        <v>50</v>
      </c>
      <c r="F1263">
        <v>46.301132201999998</v>
      </c>
      <c r="G1263">
        <v>1355.4838867000001</v>
      </c>
      <c r="H1263">
        <v>1348.3098144999999</v>
      </c>
      <c r="I1263">
        <v>1312.4913329999999</v>
      </c>
      <c r="J1263">
        <v>1303.4578856999999</v>
      </c>
      <c r="K1263">
        <v>1100</v>
      </c>
      <c r="L1263">
        <v>0</v>
      </c>
      <c r="M1263">
        <v>0</v>
      </c>
      <c r="N1263">
        <v>1100</v>
      </c>
    </row>
    <row r="1264" spans="1:14" x14ac:dyDescent="0.25">
      <c r="A1264">
        <v>1162.8538020000001</v>
      </c>
      <c r="B1264" s="1">
        <f>DATE(2013,7,6) + TIME(20,29,28)</f>
        <v>41461.853796296295</v>
      </c>
      <c r="C1264">
        <v>80</v>
      </c>
      <c r="D1264">
        <v>79.917617797999995</v>
      </c>
      <c r="E1264">
        <v>50</v>
      </c>
      <c r="F1264">
        <v>46.240013122999997</v>
      </c>
      <c r="G1264">
        <v>1355.4550781</v>
      </c>
      <c r="H1264">
        <v>1348.2891846</v>
      </c>
      <c r="I1264">
        <v>1312.4699707</v>
      </c>
      <c r="J1264">
        <v>1303.4199219</v>
      </c>
      <c r="K1264">
        <v>1100</v>
      </c>
      <c r="L1264">
        <v>0</v>
      </c>
      <c r="M1264">
        <v>0</v>
      </c>
      <c r="N1264">
        <v>1100</v>
      </c>
    </row>
    <row r="1265" spans="1:14" x14ac:dyDescent="0.25">
      <c r="A1265">
        <v>1164.401429</v>
      </c>
      <c r="B1265" s="1">
        <f>DATE(2013,7,8) + TIME(9,38,3)</f>
        <v>41463.401423611111</v>
      </c>
      <c r="C1265">
        <v>80</v>
      </c>
      <c r="D1265">
        <v>79.917610167999996</v>
      </c>
      <c r="E1265">
        <v>50</v>
      </c>
      <c r="F1265">
        <v>46.178279877000001</v>
      </c>
      <c r="G1265">
        <v>1355.4261475000001</v>
      </c>
      <c r="H1265">
        <v>1348.2684326000001</v>
      </c>
      <c r="I1265">
        <v>1312.447876</v>
      </c>
      <c r="J1265">
        <v>1303.3807373</v>
      </c>
      <c r="K1265">
        <v>1100</v>
      </c>
      <c r="L1265">
        <v>0</v>
      </c>
      <c r="M1265">
        <v>0</v>
      </c>
      <c r="N1265">
        <v>1100</v>
      </c>
    </row>
    <row r="1266" spans="1:14" x14ac:dyDescent="0.25">
      <c r="A1266">
        <v>1165.9931919999999</v>
      </c>
      <c r="B1266" s="1">
        <f>DATE(2013,7,9) + TIME(23,50,11)</f>
        <v>41464.99318287037</v>
      </c>
      <c r="C1266">
        <v>80</v>
      </c>
      <c r="D1266">
        <v>79.917602539000001</v>
      </c>
      <c r="E1266">
        <v>50</v>
      </c>
      <c r="F1266">
        <v>46.115924835000001</v>
      </c>
      <c r="G1266">
        <v>1355.3968506000001</v>
      </c>
      <c r="H1266">
        <v>1348.2473144999999</v>
      </c>
      <c r="I1266">
        <v>1312.4250488</v>
      </c>
      <c r="J1266">
        <v>1303.3402100000001</v>
      </c>
      <c r="K1266">
        <v>1100</v>
      </c>
      <c r="L1266">
        <v>0</v>
      </c>
      <c r="M1266">
        <v>0</v>
      </c>
      <c r="N1266">
        <v>1100</v>
      </c>
    </row>
    <row r="1267" spans="1:14" x14ac:dyDescent="0.25">
      <c r="A1267">
        <v>1167.6360259999999</v>
      </c>
      <c r="B1267" s="1">
        <f>DATE(2013,7,11) + TIME(15,15,52)</f>
        <v>41466.636018518519</v>
      </c>
      <c r="C1267">
        <v>80</v>
      </c>
      <c r="D1267">
        <v>79.917602539000001</v>
      </c>
      <c r="E1267">
        <v>50</v>
      </c>
      <c r="F1267">
        <v>46.052886962999999</v>
      </c>
      <c r="G1267">
        <v>1355.3671875</v>
      </c>
      <c r="H1267">
        <v>1348.2260742000001</v>
      </c>
      <c r="I1267">
        <v>1312.4014893000001</v>
      </c>
      <c r="J1267">
        <v>1303.2982178</v>
      </c>
      <c r="K1267">
        <v>1100</v>
      </c>
      <c r="L1267">
        <v>0</v>
      </c>
      <c r="M1267">
        <v>0</v>
      </c>
      <c r="N1267">
        <v>1100</v>
      </c>
    </row>
    <row r="1268" spans="1:14" x14ac:dyDescent="0.25">
      <c r="A1268">
        <v>1169.320555</v>
      </c>
      <c r="B1268" s="1">
        <f>DATE(2013,7,13) + TIME(7,41,35)</f>
        <v>41468.320543981485</v>
      </c>
      <c r="C1268">
        <v>80</v>
      </c>
      <c r="D1268">
        <v>79.917594910000005</v>
      </c>
      <c r="E1268">
        <v>50</v>
      </c>
      <c r="F1268">
        <v>45.989425658999998</v>
      </c>
      <c r="G1268">
        <v>1355.3371582</v>
      </c>
      <c r="H1268">
        <v>1348.2043457</v>
      </c>
      <c r="I1268">
        <v>1312.3771973</v>
      </c>
      <c r="J1268">
        <v>1303.2545166</v>
      </c>
      <c r="K1268">
        <v>1100</v>
      </c>
      <c r="L1268">
        <v>0</v>
      </c>
      <c r="M1268">
        <v>0</v>
      </c>
      <c r="N1268">
        <v>1100</v>
      </c>
    </row>
    <row r="1269" spans="1:14" x14ac:dyDescent="0.25">
      <c r="A1269">
        <v>1171.0318669999999</v>
      </c>
      <c r="B1269" s="1">
        <f>DATE(2013,7,15) + TIME(0,45,53)</f>
        <v>41470.031863425924</v>
      </c>
      <c r="C1269">
        <v>80</v>
      </c>
      <c r="D1269">
        <v>79.917594910000005</v>
      </c>
      <c r="E1269">
        <v>50</v>
      </c>
      <c r="F1269">
        <v>45.926017760999997</v>
      </c>
      <c r="G1269">
        <v>1355.3067627</v>
      </c>
      <c r="H1269">
        <v>1348.1823730000001</v>
      </c>
      <c r="I1269">
        <v>1312.3521728999999</v>
      </c>
      <c r="J1269">
        <v>1303.2094727000001</v>
      </c>
      <c r="K1269">
        <v>1100</v>
      </c>
      <c r="L1269">
        <v>0</v>
      </c>
      <c r="M1269">
        <v>0</v>
      </c>
      <c r="N1269">
        <v>1100</v>
      </c>
    </row>
    <row r="1270" spans="1:14" x14ac:dyDescent="0.25">
      <c r="A1270">
        <v>1172.7513140000001</v>
      </c>
      <c r="B1270" s="1">
        <f>DATE(2013,7,16) + TIME(18,1,53)</f>
        <v>41471.751307870371</v>
      </c>
      <c r="C1270">
        <v>80</v>
      </c>
      <c r="D1270">
        <v>79.917587280000006</v>
      </c>
      <c r="E1270">
        <v>50</v>
      </c>
      <c r="F1270">
        <v>45.863307953000003</v>
      </c>
      <c r="G1270">
        <v>1355.2763672000001</v>
      </c>
      <c r="H1270">
        <v>1348.1604004000001</v>
      </c>
      <c r="I1270">
        <v>1312.3267822</v>
      </c>
      <c r="J1270">
        <v>1303.1635742000001</v>
      </c>
      <c r="K1270">
        <v>1100</v>
      </c>
      <c r="L1270">
        <v>0</v>
      </c>
      <c r="M1270">
        <v>0</v>
      </c>
      <c r="N1270">
        <v>1100</v>
      </c>
    </row>
    <row r="1271" spans="1:14" x14ac:dyDescent="0.25">
      <c r="A1271">
        <v>1174.4839219999999</v>
      </c>
      <c r="B1271" s="1">
        <f>DATE(2013,7,18) + TIME(11,36,50)</f>
        <v>41473.483912037038</v>
      </c>
      <c r="C1271">
        <v>80</v>
      </c>
      <c r="D1271">
        <v>79.917587280000006</v>
      </c>
      <c r="E1271">
        <v>50</v>
      </c>
      <c r="F1271">
        <v>45.801563262999998</v>
      </c>
      <c r="G1271">
        <v>1355.2463379000001</v>
      </c>
      <c r="H1271">
        <v>1348.1385498</v>
      </c>
      <c r="I1271">
        <v>1312.3011475000001</v>
      </c>
      <c r="J1271">
        <v>1303.1169434000001</v>
      </c>
      <c r="K1271">
        <v>1100</v>
      </c>
      <c r="L1271">
        <v>0</v>
      </c>
      <c r="M1271">
        <v>0</v>
      </c>
      <c r="N1271">
        <v>1100</v>
      </c>
    </row>
    <row r="1272" spans="1:14" x14ac:dyDescent="0.25">
      <c r="A1272">
        <v>1176.2350530000001</v>
      </c>
      <c r="B1272" s="1">
        <f>DATE(2013,7,20) + TIME(5,38,28)</f>
        <v>41475.235046296293</v>
      </c>
      <c r="C1272">
        <v>80</v>
      </c>
      <c r="D1272">
        <v>79.917587280000006</v>
      </c>
      <c r="E1272">
        <v>50</v>
      </c>
      <c r="F1272">
        <v>45.740890503000003</v>
      </c>
      <c r="G1272">
        <v>1355.2165527</v>
      </c>
      <c r="H1272">
        <v>1348.1169434000001</v>
      </c>
      <c r="I1272">
        <v>1312.2752685999999</v>
      </c>
      <c r="J1272">
        <v>1303.0697021000001</v>
      </c>
      <c r="K1272">
        <v>1100</v>
      </c>
      <c r="L1272">
        <v>0</v>
      </c>
      <c r="M1272">
        <v>0</v>
      </c>
      <c r="N1272">
        <v>1100</v>
      </c>
    </row>
    <row r="1273" spans="1:14" x14ac:dyDescent="0.25">
      <c r="A1273">
        <v>1178.01017</v>
      </c>
      <c r="B1273" s="1">
        <f>DATE(2013,7,22) + TIME(0,14,38)</f>
        <v>41477.010162037041</v>
      </c>
      <c r="C1273">
        <v>80</v>
      </c>
      <c r="D1273">
        <v>79.917587280000006</v>
      </c>
      <c r="E1273">
        <v>50</v>
      </c>
      <c r="F1273">
        <v>45.681335449000002</v>
      </c>
      <c r="G1273">
        <v>1355.1868896000001</v>
      </c>
      <c r="H1273">
        <v>1348.0953368999999</v>
      </c>
      <c r="I1273">
        <v>1312.2491454999999</v>
      </c>
      <c r="J1273">
        <v>1303.0218506000001</v>
      </c>
      <c r="K1273">
        <v>1100</v>
      </c>
      <c r="L1273">
        <v>0</v>
      </c>
      <c r="M1273">
        <v>0</v>
      </c>
      <c r="N1273">
        <v>1100</v>
      </c>
    </row>
    <row r="1274" spans="1:14" x14ac:dyDescent="0.25">
      <c r="A1274">
        <v>1179.8150539999999</v>
      </c>
      <c r="B1274" s="1">
        <f>DATE(2013,7,23) + TIME(19,33,40)</f>
        <v>41478.815046296295</v>
      </c>
      <c r="C1274">
        <v>80</v>
      </c>
      <c r="D1274">
        <v>79.917594910000005</v>
      </c>
      <c r="E1274">
        <v>50</v>
      </c>
      <c r="F1274">
        <v>45.622928619</v>
      </c>
      <c r="G1274">
        <v>1355.1572266000001</v>
      </c>
      <c r="H1274">
        <v>1348.0736084</v>
      </c>
      <c r="I1274">
        <v>1312.2227783000001</v>
      </c>
      <c r="J1274">
        <v>1302.9732666</v>
      </c>
      <c r="K1274">
        <v>1100</v>
      </c>
      <c r="L1274">
        <v>0</v>
      </c>
      <c r="M1274">
        <v>0</v>
      </c>
      <c r="N1274">
        <v>1100</v>
      </c>
    </row>
    <row r="1275" spans="1:14" x14ac:dyDescent="0.25">
      <c r="A1275">
        <v>1181.6557620000001</v>
      </c>
      <c r="B1275" s="1">
        <f>DATE(2013,7,25) + TIME(15,44,17)</f>
        <v>41480.655752314815</v>
      </c>
      <c r="C1275">
        <v>80</v>
      </c>
      <c r="D1275">
        <v>79.917602539000001</v>
      </c>
      <c r="E1275">
        <v>50</v>
      </c>
      <c r="F1275">
        <v>45.565696715999998</v>
      </c>
      <c r="G1275">
        <v>1355.1274414</v>
      </c>
      <c r="H1275">
        <v>1348.0518798999999</v>
      </c>
      <c r="I1275">
        <v>1312.1961670000001</v>
      </c>
      <c r="J1275">
        <v>1302.9238281</v>
      </c>
      <c r="K1275">
        <v>1100</v>
      </c>
      <c r="L1275">
        <v>0</v>
      </c>
      <c r="M1275">
        <v>0</v>
      </c>
      <c r="N1275">
        <v>1100</v>
      </c>
    </row>
    <row r="1276" spans="1:14" x14ac:dyDescent="0.25">
      <c r="A1276">
        <v>1183.536249</v>
      </c>
      <c r="B1276" s="1">
        <f>DATE(2013,7,27) + TIME(12,52,11)</f>
        <v>41482.536238425928</v>
      </c>
      <c r="C1276">
        <v>80</v>
      </c>
      <c r="D1276">
        <v>79.917610167999996</v>
      </c>
      <c r="E1276">
        <v>50</v>
      </c>
      <c r="F1276">
        <v>45.509738921999997</v>
      </c>
      <c r="G1276">
        <v>1355.0975341999999</v>
      </c>
      <c r="H1276">
        <v>1348.0300293</v>
      </c>
      <c r="I1276">
        <v>1312.1690673999999</v>
      </c>
      <c r="J1276">
        <v>1302.8735352000001</v>
      </c>
      <c r="K1276">
        <v>1100</v>
      </c>
      <c r="L1276">
        <v>0</v>
      </c>
      <c r="M1276">
        <v>0</v>
      </c>
      <c r="N1276">
        <v>1100</v>
      </c>
    </row>
    <row r="1277" spans="1:14" x14ac:dyDescent="0.25">
      <c r="A1277">
        <v>1185.4441420000001</v>
      </c>
      <c r="B1277" s="1">
        <f>DATE(2013,7,29) + TIME(10,39,33)</f>
        <v>41484.444131944445</v>
      </c>
      <c r="C1277">
        <v>80</v>
      </c>
      <c r="D1277">
        <v>79.917617797999995</v>
      </c>
      <c r="E1277">
        <v>50</v>
      </c>
      <c r="F1277">
        <v>45.455432891999997</v>
      </c>
      <c r="G1277">
        <v>1355.0675048999999</v>
      </c>
      <c r="H1277">
        <v>1348.0079346</v>
      </c>
      <c r="I1277">
        <v>1312.1417236</v>
      </c>
      <c r="J1277">
        <v>1302.8222656</v>
      </c>
      <c r="K1277">
        <v>1100</v>
      </c>
      <c r="L1277">
        <v>0</v>
      </c>
      <c r="M1277">
        <v>0</v>
      </c>
      <c r="N1277">
        <v>1100</v>
      </c>
    </row>
    <row r="1278" spans="1:14" x14ac:dyDescent="0.25">
      <c r="A1278">
        <v>1187.385203</v>
      </c>
      <c r="B1278" s="1">
        <f>DATE(2013,7,31) + TIME(9,14,41)</f>
        <v>41486.385196759256</v>
      </c>
      <c r="C1278">
        <v>80</v>
      </c>
      <c r="D1278">
        <v>79.917625427000004</v>
      </c>
      <c r="E1278">
        <v>50</v>
      </c>
      <c r="F1278">
        <v>45.403018951</v>
      </c>
      <c r="G1278">
        <v>1355.0373535000001</v>
      </c>
      <c r="H1278">
        <v>1347.9857178</v>
      </c>
      <c r="I1278">
        <v>1312.1141356999999</v>
      </c>
      <c r="J1278">
        <v>1302.7703856999999</v>
      </c>
      <c r="K1278">
        <v>1100</v>
      </c>
      <c r="L1278">
        <v>0</v>
      </c>
      <c r="M1278">
        <v>0</v>
      </c>
      <c r="N1278">
        <v>1100</v>
      </c>
    </row>
    <row r="1279" spans="1:14" x14ac:dyDescent="0.25">
      <c r="A1279">
        <v>1188</v>
      </c>
      <c r="B1279" s="1">
        <f>DATE(2013,8,1) + TIME(0,0,0)</f>
        <v>41487</v>
      </c>
      <c r="C1279">
        <v>80</v>
      </c>
      <c r="D1279">
        <v>79.917610167999996</v>
      </c>
      <c r="E1279">
        <v>50</v>
      </c>
      <c r="F1279">
        <v>45.378784179999997</v>
      </c>
      <c r="G1279">
        <v>1355.0069579999999</v>
      </c>
      <c r="H1279">
        <v>1347.9632568</v>
      </c>
      <c r="I1279">
        <v>1312.090332</v>
      </c>
      <c r="J1279">
        <v>1302.7283935999999</v>
      </c>
      <c r="K1279">
        <v>1100</v>
      </c>
      <c r="L1279">
        <v>0</v>
      </c>
      <c r="M1279">
        <v>0</v>
      </c>
      <c r="N1279">
        <v>1100</v>
      </c>
    </row>
    <row r="1280" spans="1:14" x14ac:dyDescent="0.25">
      <c r="A1280">
        <v>1189.9802079999999</v>
      </c>
      <c r="B1280" s="1">
        <f>DATE(2013,8,2) + TIME(23,31,29)</f>
        <v>41488.980196759258</v>
      </c>
      <c r="C1280">
        <v>80</v>
      </c>
      <c r="D1280">
        <v>79.917633057000003</v>
      </c>
      <c r="E1280">
        <v>50</v>
      </c>
      <c r="F1280">
        <v>45.333801270000002</v>
      </c>
      <c r="G1280">
        <v>1354.9975586</v>
      </c>
      <c r="H1280">
        <v>1347.9562988</v>
      </c>
      <c r="I1280">
        <v>1312.0761719</v>
      </c>
      <c r="J1280">
        <v>1302.6982422000001</v>
      </c>
      <c r="K1280">
        <v>1100</v>
      </c>
      <c r="L1280">
        <v>0</v>
      </c>
      <c r="M1280">
        <v>0</v>
      </c>
      <c r="N1280">
        <v>1100</v>
      </c>
    </row>
    <row r="1281" spans="1:14" x14ac:dyDescent="0.25">
      <c r="A1281">
        <v>1192.0220589999999</v>
      </c>
      <c r="B1281" s="1">
        <f>DATE(2013,8,5) + TIME(0,31,45)</f>
        <v>41491.022048611114</v>
      </c>
      <c r="C1281">
        <v>80</v>
      </c>
      <c r="D1281">
        <v>79.917655945000007</v>
      </c>
      <c r="E1281">
        <v>50</v>
      </c>
      <c r="F1281">
        <v>45.288883208999998</v>
      </c>
      <c r="G1281">
        <v>1354.9674072</v>
      </c>
      <c r="H1281">
        <v>1347.9339600000001</v>
      </c>
      <c r="I1281">
        <v>1312.0491943</v>
      </c>
      <c r="J1281">
        <v>1302.6467285000001</v>
      </c>
      <c r="K1281">
        <v>1100</v>
      </c>
      <c r="L1281">
        <v>0</v>
      </c>
      <c r="M1281">
        <v>0</v>
      </c>
      <c r="N1281">
        <v>1100</v>
      </c>
    </row>
    <row r="1282" spans="1:14" x14ac:dyDescent="0.25">
      <c r="A1282">
        <v>1194.0974080000001</v>
      </c>
      <c r="B1282" s="1">
        <f>DATE(2013,8,7) + TIME(2,20,16)</f>
        <v>41493.097407407404</v>
      </c>
      <c r="C1282">
        <v>80</v>
      </c>
      <c r="D1282">
        <v>79.917678832999997</v>
      </c>
      <c r="E1282">
        <v>50</v>
      </c>
      <c r="F1282">
        <v>45.245735168000003</v>
      </c>
      <c r="G1282">
        <v>1354.9365233999999</v>
      </c>
      <c r="H1282">
        <v>1347.9111327999999</v>
      </c>
      <c r="I1282">
        <v>1312.0213623</v>
      </c>
      <c r="J1282">
        <v>1302.5935059000001</v>
      </c>
      <c r="K1282">
        <v>1100</v>
      </c>
      <c r="L1282">
        <v>0</v>
      </c>
      <c r="M1282">
        <v>0</v>
      </c>
      <c r="N1282">
        <v>1100</v>
      </c>
    </row>
    <row r="1283" spans="1:14" x14ac:dyDescent="0.25">
      <c r="A1283">
        <v>1196.206987</v>
      </c>
      <c r="B1283" s="1">
        <f>DATE(2013,8,9) + TIME(4,58,3)</f>
        <v>41495.206979166665</v>
      </c>
      <c r="C1283">
        <v>80</v>
      </c>
      <c r="D1283">
        <v>79.917694092000005</v>
      </c>
      <c r="E1283">
        <v>50</v>
      </c>
      <c r="F1283">
        <v>45.205444335999999</v>
      </c>
      <c r="G1283">
        <v>1354.9056396000001</v>
      </c>
      <c r="H1283">
        <v>1347.8880615</v>
      </c>
      <c r="I1283">
        <v>1311.9934082</v>
      </c>
      <c r="J1283">
        <v>1302.5394286999999</v>
      </c>
      <c r="K1283">
        <v>1100</v>
      </c>
      <c r="L1283">
        <v>0</v>
      </c>
      <c r="M1283">
        <v>0</v>
      </c>
      <c r="N1283">
        <v>1100</v>
      </c>
    </row>
    <row r="1284" spans="1:14" x14ac:dyDescent="0.25">
      <c r="A1284">
        <v>1198.3579709999999</v>
      </c>
      <c r="B1284" s="1">
        <f>DATE(2013,8,11) + TIME(8,35,28)</f>
        <v>41497.35796296296</v>
      </c>
      <c r="C1284">
        <v>80</v>
      </c>
      <c r="D1284">
        <v>79.917716979999994</v>
      </c>
      <c r="E1284">
        <v>50</v>
      </c>
      <c r="F1284">
        <v>45.168746947999999</v>
      </c>
      <c r="G1284">
        <v>1354.8746338000001</v>
      </c>
      <c r="H1284">
        <v>1347.8649902</v>
      </c>
      <c r="I1284">
        <v>1311.9654541</v>
      </c>
      <c r="J1284">
        <v>1302.4849853999999</v>
      </c>
      <c r="K1284">
        <v>1100</v>
      </c>
      <c r="L1284">
        <v>0</v>
      </c>
      <c r="M1284">
        <v>0</v>
      </c>
      <c r="N1284">
        <v>1100</v>
      </c>
    </row>
    <row r="1285" spans="1:14" x14ac:dyDescent="0.25">
      <c r="A1285">
        <v>1200.5528159999999</v>
      </c>
      <c r="B1285" s="1">
        <f>DATE(2013,8,13) + TIME(13,16,3)</f>
        <v>41499.552812499998</v>
      </c>
      <c r="C1285">
        <v>80</v>
      </c>
      <c r="D1285">
        <v>79.917739867999998</v>
      </c>
      <c r="E1285">
        <v>50</v>
      </c>
      <c r="F1285">
        <v>45.136283874999997</v>
      </c>
      <c r="G1285">
        <v>1354.8433838000001</v>
      </c>
      <c r="H1285">
        <v>1347.8415527</v>
      </c>
      <c r="I1285">
        <v>1311.9375</v>
      </c>
      <c r="J1285">
        <v>1302.4302978999999</v>
      </c>
      <c r="K1285">
        <v>1100</v>
      </c>
      <c r="L1285">
        <v>0</v>
      </c>
      <c r="M1285">
        <v>0</v>
      </c>
      <c r="N1285">
        <v>1100</v>
      </c>
    </row>
    <row r="1286" spans="1:14" x14ac:dyDescent="0.25">
      <c r="A1286">
        <v>1202.772162</v>
      </c>
      <c r="B1286" s="1">
        <f>DATE(2013,8,15) + TIME(18,31,54)</f>
        <v>41501.772152777776</v>
      </c>
      <c r="C1286">
        <v>80</v>
      </c>
      <c r="D1286">
        <v>79.917762756000002</v>
      </c>
      <c r="E1286">
        <v>50</v>
      </c>
      <c r="F1286">
        <v>45.108825684000003</v>
      </c>
      <c r="G1286">
        <v>1354.8118896000001</v>
      </c>
      <c r="H1286">
        <v>1347.8179932</v>
      </c>
      <c r="I1286">
        <v>1311.9097899999999</v>
      </c>
      <c r="J1286">
        <v>1302.3756103999999</v>
      </c>
      <c r="K1286">
        <v>1100</v>
      </c>
      <c r="L1286">
        <v>0</v>
      </c>
      <c r="M1286">
        <v>0</v>
      </c>
      <c r="N1286">
        <v>1100</v>
      </c>
    </row>
    <row r="1287" spans="1:14" x14ac:dyDescent="0.25">
      <c r="A1287">
        <v>1205.0077240000001</v>
      </c>
      <c r="B1287" s="1">
        <f>DATE(2013,8,18) + TIME(0,11,7)</f>
        <v>41504.007719907408</v>
      </c>
      <c r="C1287">
        <v>80</v>
      </c>
      <c r="D1287">
        <v>79.917785644999995</v>
      </c>
      <c r="E1287">
        <v>50</v>
      </c>
      <c r="F1287">
        <v>45.087074280000003</v>
      </c>
      <c r="G1287">
        <v>1354.7805175999999</v>
      </c>
      <c r="H1287">
        <v>1347.7943115</v>
      </c>
      <c r="I1287">
        <v>1311.8825684000001</v>
      </c>
      <c r="J1287">
        <v>1302.3214111</v>
      </c>
      <c r="K1287">
        <v>1100</v>
      </c>
      <c r="L1287">
        <v>0</v>
      </c>
      <c r="M1287">
        <v>0</v>
      </c>
      <c r="N1287">
        <v>1100</v>
      </c>
    </row>
    <row r="1288" spans="1:14" x14ac:dyDescent="0.25">
      <c r="A1288">
        <v>1207.271757</v>
      </c>
      <c r="B1288" s="1">
        <f>DATE(2013,8,20) + TIME(6,31,19)</f>
        <v>41506.271747685183</v>
      </c>
      <c r="C1288">
        <v>80</v>
      </c>
      <c r="D1288">
        <v>79.917808532999999</v>
      </c>
      <c r="E1288">
        <v>50</v>
      </c>
      <c r="F1288">
        <v>45.071594238000003</v>
      </c>
      <c r="G1288">
        <v>1354.7492675999999</v>
      </c>
      <c r="H1288">
        <v>1347.7707519999999</v>
      </c>
      <c r="I1288">
        <v>1311.855957</v>
      </c>
      <c r="J1288">
        <v>1302.2681885</v>
      </c>
      <c r="K1288">
        <v>1100</v>
      </c>
      <c r="L1288">
        <v>0</v>
      </c>
      <c r="M1288">
        <v>0</v>
      </c>
      <c r="N1288">
        <v>1100</v>
      </c>
    </row>
    <row r="1289" spans="1:14" x14ac:dyDescent="0.25">
      <c r="A1289">
        <v>1209.5704969999999</v>
      </c>
      <c r="B1289" s="1">
        <f>DATE(2013,8,22) + TIME(13,41,30)</f>
        <v>41508.570486111108</v>
      </c>
      <c r="C1289">
        <v>80</v>
      </c>
      <c r="D1289">
        <v>79.917839049999998</v>
      </c>
      <c r="E1289">
        <v>50</v>
      </c>
      <c r="F1289">
        <v>45.062992096000002</v>
      </c>
      <c r="G1289">
        <v>1354.7180175999999</v>
      </c>
      <c r="H1289">
        <v>1347.7470702999999</v>
      </c>
      <c r="I1289">
        <v>1311.8300781</v>
      </c>
      <c r="J1289">
        <v>1302.2156981999999</v>
      </c>
      <c r="K1289">
        <v>1100</v>
      </c>
      <c r="L1289">
        <v>0</v>
      </c>
      <c r="M1289">
        <v>0</v>
      </c>
      <c r="N1289">
        <v>1100</v>
      </c>
    </row>
    <row r="1290" spans="1:14" x14ac:dyDescent="0.25">
      <c r="A1290">
        <v>1211.9111339999999</v>
      </c>
      <c r="B1290" s="1">
        <f>DATE(2013,8,24) + TIME(21,52,2)</f>
        <v>41510.911134259259</v>
      </c>
      <c r="C1290">
        <v>80</v>
      </c>
      <c r="D1290">
        <v>79.917869568</v>
      </c>
      <c r="E1290">
        <v>50</v>
      </c>
      <c r="F1290">
        <v>45.061962127999998</v>
      </c>
      <c r="G1290">
        <v>1354.6866454999999</v>
      </c>
      <c r="H1290">
        <v>1347.7232666</v>
      </c>
      <c r="I1290">
        <v>1311.8048096</v>
      </c>
      <c r="J1290">
        <v>1302.1643065999999</v>
      </c>
      <c r="K1290">
        <v>1100</v>
      </c>
      <c r="L1290">
        <v>0</v>
      </c>
      <c r="M1290">
        <v>0</v>
      </c>
      <c r="N1290">
        <v>1100</v>
      </c>
    </row>
    <row r="1291" spans="1:14" x14ac:dyDescent="0.25">
      <c r="A1291">
        <v>1214.301637</v>
      </c>
      <c r="B1291" s="1">
        <f>DATE(2013,8,27) + TIME(7,14,21)</f>
        <v>41513.301631944443</v>
      </c>
      <c r="C1291">
        <v>80</v>
      </c>
      <c r="D1291">
        <v>79.917900084999999</v>
      </c>
      <c r="E1291">
        <v>50</v>
      </c>
      <c r="F1291">
        <v>45.069301605</v>
      </c>
      <c r="G1291">
        <v>1354.6551514</v>
      </c>
      <c r="H1291">
        <v>1347.6993408000001</v>
      </c>
      <c r="I1291">
        <v>1311.7802733999999</v>
      </c>
      <c r="J1291">
        <v>1302.1138916</v>
      </c>
      <c r="K1291">
        <v>1100</v>
      </c>
      <c r="L1291">
        <v>0</v>
      </c>
      <c r="M1291">
        <v>0</v>
      </c>
      <c r="N1291">
        <v>1100</v>
      </c>
    </row>
    <row r="1292" spans="1:14" x14ac:dyDescent="0.25">
      <c r="A1292">
        <v>1216.7435579999999</v>
      </c>
      <c r="B1292" s="1">
        <f>DATE(2013,8,29) + TIME(17,50,43)</f>
        <v>41515.74355324074</v>
      </c>
      <c r="C1292">
        <v>80</v>
      </c>
      <c r="D1292">
        <v>79.917938231999997</v>
      </c>
      <c r="E1292">
        <v>50</v>
      </c>
      <c r="F1292">
        <v>45.085922240999999</v>
      </c>
      <c r="G1292">
        <v>1354.6232910000001</v>
      </c>
      <c r="H1292">
        <v>1347.6749268000001</v>
      </c>
      <c r="I1292">
        <v>1311.7564697</v>
      </c>
      <c r="J1292">
        <v>1302.0645752</v>
      </c>
      <c r="K1292">
        <v>1100</v>
      </c>
      <c r="L1292">
        <v>0</v>
      </c>
      <c r="M1292">
        <v>0</v>
      </c>
      <c r="N1292">
        <v>1100</v>
      </c>
    </row>
    <row r="1293" spans="1:14" x14ac:dyDescent="0.25">
      <c r="A1293">
        <v>1219</v>
      </c>
      <c r="B1293" s="1">
        <f>DATE(2013,9,1) + TIME(0,0,0)</f>
        <v>41518</v>
      </c>
      <c r="C1293">
        <v>80</v>
      </c>
      <c r="D1293">
        <v>79.91796875</v>
      </c>
      <c r="E1293">
        <v>50</v>
      </c>
      <c r="F1293">
        <v>45.111690521</v>
      </c>
      <c r="G1293">
        <v>1354.5910644999999</v>
      </c>
      <c r="H1293">
        <v>1347.6503906</v>
      </c>
      <c r="I1293">
        <v>1311.7342529</v>
      </c>
      <c r="J1293">
        <v>1302.0177002</v>
      </c>
      <c r="K1293">
        <v>1100</v>
      </c>
      <c r="L1293">
        <v>0</v>
      </c>
      <c r="M1293">
        <v>0</v>
      </c>
      <c r="N1293">
        <v>1100</v>
      </c>
    </row>
    <row r="1294" spans="1:14" x14ac:dyDescent="0.25">
      <c r="A1294">
        <v>1221.483078</v>
      </c>
      <c r="B1294" s="1">
        <f>DATE(2013,9,3) + TIME(11,35,37)</f>
        <v>41520.483067129629</v>
      </c>
      <c r="C1294">
        <v>80</v>
      </c>
      <c r="D1294">
        <v>79.918006896999998</v>
      </c>
      <c r="E1294">
        <v>50</v>
      </c>
      <c r="F1294">
        <v>45.147640228</v>
      </c>
      <c r="G1294">
        <v>1354.5617675999999</v>
      </c>
      <c r="H1294">
        <v>1347.6278076000001</v>
      </c>
      <c r="I1294">
        <v>1311.713501</v>
      </c>
      <c r="J1294">
        <v>1301.9744873</v>
      </c>
      <c r="K1294">
        <v>1100</v>
      </c>
      <c r="L1294">
        <v>0</v>
      </c>
      <c r="M1294">
        <v>0</v>
      </c>
      <c r="N1294">
        <v>1100</v>
      </c>
    </row>
    <row r="1295" spans="1:14" x14ac:dyDescent="0.25">
      <c r="A1295">
        <v>1224.0703739999999</v>
      </c>
      <c r="B1295" s="1">
        <f>DATE(2013,9,6) + TIME(1,41,20)</f>
        <v>41523.070370370369</v>
      </c>
      <c r="C1295">
        <v>80</v>
      </c>
      <c r="D1295">
        <v>79.918045043999996</v>
      </c>
      <c r="E1295">
        <v>50</v>
      </c>
      <c r="F1295">
        <v>45.196125031000001</v>
      </c>
      <c r="G1295">
        <v>1354.5297852000001</v>
      </c>
      <c r="H1295">
        <v>1347.6031493999999</v>
      </c>
      <c r="I1295">
        <v>1311.6932373</v>
      </c>
      <c r="J1295">
        <v>1301.9315185999999</v>
      </c>
      <c r="K1295">
        <v>1100</v>
      </c>
      <c r="L1295">
        <v>0</v>
      </c>
      <c r="M1295">
        <v>0</v>
      </c>
      <c r="N1295">
        <v>1100</v>
      </c>
    </row>
    <row r="1296" spans="1:14" x14ac:dyDescent="0.25">
      <c r="A1296">
        <v>1226.7159409999999</v>
      </c>
      <c r="B1296" s="1">
        <f>DATE(2013,9,8) + TIME(17,10,57)</f>
        <v>41525.715937499997</v>
      </c>
      <c r="C1296">
        <v>80</v>
      </c>
      <c r="D1296">
        <v>79.918090820000003</v>
      </c>
      <c r="E1296">
        <v>50</v>
      </c>
      <c r="F1296">
        <v>45.258396148999999</v>
      </c>
      <c r="G1296">
        <v>1354.4968262</v>
      </c>
      <c r="H1296">
        <v>1347.5777588000001</v>
      </c>
      <c r="I1296">
        <v>1311.6739502</v>
      </c>
      <c r="J1296">
        <v>1301.8900146000001</v>
      </c>
      <c r="K1296">
        <v>1100</v>
      </c>
      <c r="L1296">
        <v>0</v>
      </c>
      <c r="M1296">
        <v>0</v>
      </c>
      <c r="N1296">
        <v>1100</v>
      </c>
    </row>
    <row r="1297" spans="1:14" x14ac:dyDescent="0.25">
      <c r="A1297">
        <v>1229.401881</v>
      </c>
      <c r="B1297" s="1">
        <f>DATE(2013,9,11) + TIME(9,38,42)</f>
        <v>41528.401875000003</v>
      </c>
      <c r="C1297">
        <v>80</v>
      </c>
      <c r="D1297">
        <v>79.918136597</v>
      </c>
      <c r="E1297">
        <v>50</v>
      </c>
      <c r="F1297">
        <v>45.335250854000002</v>
      </c>
      <c r="G1297">
        <v>1354.4636230000001</v>
      </c>
      <c r="H1297">
        <v>1347.5518798999999</v>
      </c>
      <c r="I1297">
        <v>1311.6561279</v>
      </c>
      <c r="J1297">
        <v>1301.8510742000001</v>
      </c>
      <c r="K1297">
        <v>1100</v>
      </c>
      <c r="L1297">
        <v>0</v>
      </c>
      <c r="M1297">
        <v>0</v>
      </c>
      <c r="N1297">
        <v>1100</v>
      </c>
    </row>
    <row r="1298" spans="1:14" x14ac:dyDescent="0.25">
      <c r="A1298">
        <v>1232.1183860000001</v>
      </c>
      <c r="B1298" s="1">
        <f>DATE(2013,9,14) + TIME(2,50,28)</f>
        <v>41531.118379629632</v>
      </c>
      <c r="C1298">
        <v>80</v>
      </c>
      <c r="D1298">
        <v>79.918182372999993</v>
      </c>
      <c r="E1298">
        <v>50</v>
      </c>
      <c r="F1298">
        <v>45.427284241000002</v>
      </c>
      <c r="G1298">
        <v>1354.4301757999999</v>
      </c>
      <c r="H1298">
        <v>1347.5258789</v>
      </c>
      <c r="I1298">
        <v>1311.6398925999999</v>
      </c>
      <c r="J1298">
        <v>1301.8154297000001</v>
      </c>
      <c r="K1298">
        <v>1100</v>
      </c>
      <c r="L1298">
        <v>0</v>
      </c>
      <c r="M1298">
        <v>0</v>
      </c>
      <c r="N1298">
        <v>1100</v>
      </c>
    </row>
    <row r="1299" spans="1:14" x14ac:dyDescent="0.25">
      <c r="A1299">
        <v>1234.868191</v>
      </c>
      <c r="B1299" s="1">
        <f>DATE(2013,9,16) + TIME(20,50,11)</f>
        <v>41533.86818287037</v>
      </c>
      <c r="C1299">
        <v>80</v>
      </c>
      <c r="D1299">
        <v>79.918228149000001</v>
      </c>
      <c r="E1299">
        <v>50</v>
      </c>
      <c r="F1299">
        <v>45.535095214999998</v>
      </c>
      <c r="G1299">
        <v>1354.3968506000001</v>
      </c>
      <c r="H1299">
        <v>1347.4998779</v>
      </c>
      <c r="I1299">
        <v>1311.6254882999999</v>
      </c>
      <c r="J1299">
        <v>1301.7834473</v>
      </c>
      <c r="K1299">
        <v>1100</v>
      </c>
      <c r="L1299">
        <v>0</v>
      </c>
      <c r="M1299">
        <v>0</v>
      </c>
      <c r="N1299">
        <v>1100</v>
      </c>
    </row>
    <row r="1300" spans="1:14" x14ac:dyDescent="0.25">
      <c r="A1300">
        <v>1237.662904</v>
      </c>
      <c r="B1300" s="1">
        <f>DATE(2013,9,19) + TIME(15,54,34)</f>
        <v>41536.662893518522</v>
      </c>
      <c r="C1300">
        <v>80</v>
      </c>
      <c r="D1300">
        <v>79.918281554999993</v>
      </c>
      <c r="E1300">
        <v>50</v>
      </c>
      <c r="F1300">
        <v>45.659454345999997</v>
      </c>
      <c r="G1300">
        <v>1354.3635254000001</v>
      </c>
      <c r="H1300">
        <v>1347.4738769999999</v>
      </c>
      <c r="I1300">
        <v>1311.6129149999999</v>
      </c>
      <c r="J1300">
        <v>1301.7553711</v>
      </c>
      <c r="K1300">
        <v>1100</v>
      </c>
      <c r="L1300">
        <v>0</v>
      </c>
      <c r="M1300">
        <v>0</v>
      </c>
      <c r="N1300">
        <v>1100</v>
      </c>
    </row>
    <row r="1301" spans="1:14" x14ac:dyDescent="0.25">
      <c r="A1301">
        <v>1240.5118769999999</v>
      </c>
      <c r="B1301" s="1">
        <f>DATE(2013,9,22) + TIME(12,17,6)</f>
        <v>41539.511874999997</v>
      </c>
      <c r="C1301">
        <v>80</v>
      </c>
      <c r="D1301">
        <v>79.918334960999999</v>
      </c>
      <c r="E1301">
        <v>50</v>
      </c>
      <c r="F1301">
        <v>45.801258087000001</v>
      </c>
      <c r="G1301">
        <v>1354.3299560999999</v>
      </c>
      <c r="H1301">
        <v>1347.4475098</v>
      </c>
      <c r="I1301">
        <v>1311.6024170000001</v>
      </c>
      <c r="J1301">
        <v>1301.7314452999999</v>
      </c>
      <c r="K1301">
        <v>1100</v>
      </c>
      <c r="L1301">
        <v>0</v>
      </c>
      <c r="M1301">
        <v>0</v>
      </c>
      <c r="N1301">
        <v>1100</v>
      </c>
    </row>
    <row r="1302" spans="1:14" x14ac:dyDescent="0.25">
      <c r="A1302">
        <v>1243.393589</v>
      </c>
      <c r="B1302" s="1">
        <f>DATE(2013,9,25) + TIME(9,26,46)</f>
        <v>41542.393587962964</v>
      </c>
      <c r="C1302">
        <v>80</v>
      </c>
      <c r="D1302">
        <v>79.918388367000006</v>
      </c>
      <c r="E1302">
        <v>50</v>
      </c>
      <c r="F1302">
        <v>45.960865020999996</v>
      </c>
      <c r="G1302">
        <v>1354.2962646000001</v>
      </c>
      <c r="H1302">
        <v>1347.4210204999999</v>
      </c>
      <c r="I1302">
        <v>1311.5941161999999</v>
      </c>
      <c r="J1302">
        <v>1301.7119141000001</v>
      </c>
      <c r="K1302">
        <v>1100</v>
      </c>
      <c r="L1302">
        <v>0</v>
      </c>
      <c r="M1302">
        <v>0</v>
      </c>
      <c r="N1302">
        <v>1100</v>
      </c>
    </row>
    <row r="1303" spans="1:14" x14ac:dyDescent="0.25">
      <c r="A1303">
        <v>1246.3207629999999</v>
      </c>
      <c r="B1303" s="1">
        <f>DATE(2013,9,28) + TIME(7,41,53)</f>
        <v>41545.320752314816</v>
      </c>
      <c r="C1303">
        <v>80</v>
      </c>
      <c r="D1303">
        <v>79.918441771999994</v>
      </c>
      <c r="E1303">
        <v>50</v>
      </c>
      <c r="F1303">
        <v>46.138408661</v>
      </c>
      <c r="G1303">
        <v>1354.2625731999999</v>
      </c>
      <c r="H1303">
        <v>1347.3945312000001</v>
      </c>
      <c r="I1303">
        <v>1311.5878906</v>
      </c>
      <c r="J1303">
        <v>1301.6971435999999</v>
      </c>
      <c r="K1303">
        <v>1100</v>
      </c>
      <c r="L1303">
        <v>0</v>
      </c>
      <c r="M1303">
        <v>0</v>
      </c>
      <c r="N1303">
        <v>1100</v>
      </c>
    </row>
    <row r="1304" spans="1:14" x14ac:dyDescent="0.25">
      <c r="A1304">
        <v>1249</v>
      </c>
      <c r="B1304" s="1">
        <f>DATE(2013,10,1) + TIME(0,0,0)</f>
        <v>41548</v>
      </c>
      <c r="C1304">
        <v>80</v>
      </c>
      <c r="D1304">
        <v>79.918487549000005</v>
      </c>
      <c r="E1304">
        <v>50</v>
      </c>
      <c r="F1304">
        <v>46.326526641999997</v>
      </c>
      <c r="G1304">
        <v>1354.2288818</v>
      </c>
      <c r="H1304">
        <v>1347.3677978999999</v>
      </c>
      <c r="I1304">
        <v>1311.5849608999999</v>
      </c>
      <c r="J1304">
        <v>1301.6876221</v>
      </c>
      <c r="K1304">
        <v>1100</v>
      </c>
      <c r="L1304">
        <v>0</v>
      </c>
      <c r="M1304">
        <v>0</v>
      </c>
      <c r="N1304">
        <v>1100</v>
      </c>
    </row>
    <row r="1305" spans="1:14" x14ac:dyDescent="0.25">
      <c r="A1305">
        <v>1251.985604</v>
      </c>
      <c r="B1305" s="1">
        <f>DATE(2013,10,3) + TIME(23,39,16)</f>
        <v>41550.985601851855</v>
      </c>
      <c r="C1305">
        <v>80</v>
      </c>
      <c r="D1305">
        <v>79.918556213000002</v>
      </c>
      <c r="E1305">
        <v>50</v>
      </c>
      <c r="F1305">
        <v>46.530296325999998</v>
      </c>
      <c r="G1305">
        <v>1354.1984863</v>
      </c>
      <c r="H1305">
        <v>1347.3436279</v>
      </c>
      <c r="I1305">
        <v>1311.5822754000001</v>
      </c>
      <c r="J1305">
        <v>1301.6828613</v>
      </c>
      <c r="K1305">
        <v>1100</v>
      </c>
      <c r="L1305">
        <v>0</v>
      </c>
      <c r="M1305">
        <v>0</v>
      </c>
      <c r="N1305">
        <v>1100</v>
      </c>
    </row>
    <row r="1306" spans="1:14" x14ac:dyDescent="0.25">
      <c r="A1306">
        <v>1255.0572119999999</v>
      </c>
      <c r="B1306" s="1">
        <f>DATE(2013,10,7) + TIME(1,22,23)</f>
        <v>41554.057210648149</v>
      </c>
      <c r="C1306">
        <v>80</v>
      </c>
      <c r="D1306">
        <v>79.918617248999993</v>
      </c>
      <c r="E1306">
        <v>50</v>
      </c>
      <c r="F1306">
        <v>46.756511688000003</v>
      </c>
      <c r="G1306">
        <v>1354.1649170000001</v>
      </c>
      <c r="H1306">
        <v>1347.3171387</v>
      </c>
      <c r="I1306">
        <v>1311.5830077999999</v>
      </c>
      <c r="J1306">
        <v>1301.6826172000001</v>
      </c>
      <c r="K1306">
        <v>1100</v>
      </c>
      <c r="L1306">
        <v>0</v>
      </c>
      <c r="M1306">
        <v>0</v>
      </c>
      <c r="N1306">
        <v>1100</v>
      </c>
    </row>
    <row r="1307" spans="1:14" x14ac:dyDescent="0.25">
      <c r="A1307">
        <v>1258.181542</v>
      </c>
      <c r="B1307" s="1">
        <f>DATE(2013,10,10) + TIME(4,21,25)</f>
        <v>41557.181539351855</v>
      </c>
      <c r="C1307">
        <v>80</v>
      </c>
      <c r="D1307">
        <v>79.918678283999995</v>
      </c>
      <c r="E1307">
        <v>50</v>
      </c>
      <c r="F1307">
        <v>47.002693176000001</v>
      </c>
      <c r="G1307">
        <v>1354.1309814000001</v>
      </c>
      <c r="H1307">
        <v>1347.2901611</v>
      </c>
      <c r="I1307">
        <v>1311.5861815999999</v>
      </c>
      <c r="J1307">
        <v>1301.6876221</v>
      </c>
      <c r="K1307">
        <v>1100</v>
      </c>
      <c r="L1307">
        <v>0</v>
      </c>
      <c r="M1307">
        <v>0</v>
      </c>
      <c r="N1307">
        <v>1100</v>
      </c>
    </row>
    <row r="1308" spans="1:14" x14ac:dyDescent="0.25">
      <c r="A1308">
        <v>1261.369545</v>
      </c>
      <c r="B1308" s="1">
        <f>DATE(2013,10,13) + TIME(8,52,8)</f>
        <v>41560.369537037041</v>
      </c>
      <c r="C1308">
        <v>80</v>
      </c>
      <c r="D1308">
        <v>79.918746948000006</v>
      </c>
      <c r="E1308">
        <v>50</v>
      </c>
      <c r="F1308">
        <v>47.266811371000003</v>
      </c>
      <c r="G1308">
        <v>1354.0970459</v>
      </c>
      <c r="H1308">
        <v>1347.2630615</v>
      </c>
      <c r="I1308">
        <v>1311.5916748</v>
      </c>
      <c r="J1308">
        <v>1301.697876</v>
      </c>
      <c r="K1308">
        <v>1100</v>
      </c>
      <c r="L1308">
        <v>0</v>
      </c>
      <c r="M1308">
        <v>0</v>
      </c>
      <c r="N1308">
        <v>1100</v>
      </c>
    </row>
    <row r="1309" spans="1:14" x14ac:dyDescent="0.25">
      <c r="A1309">
        <v>1264.632413</v>
      </c>
      <c r="B1309" s="1">
        <f>DATE(2013,10,16) + TIME(15,10,40)</f>
        <v>41563.632407407407</v>
      </c>
      <c r="C1309">
        <v>80</v>
      </c>
      <c r="D1309">
        <v>79.918815613000007</v>
      </c>
      <c r="E1309">
        <v>50</v>
      </c>
      <c r="F1309">
        <v>47.547966002999999</v>
      </c>
      <c r="G1309">
        <v>1354.0628661999999</v>
      </c>
      <c r="H1309">
        <v>1347.2358397999999</v>
      </c>
      <c r="I1309">
        <v>1311.5996094</v>
      </c>
      <c r="J1309">
        <v>1301.713501</v>
      </c>
      <c r="K1309">
        <v>1100</v>
      </c>
      <c r="L1309">
        <v>0</v>
      </c>
      <c r="M1309">
        <v>0</v>
      </c>
      <c r="N1309">
        <v>1100</v>
      </c>
    </row>
    <row r="1310" spans="1:14" x14ac:dyDescent="0.25">
      <c r="A1310">
        <v>1267.9825149999999</v>
      </c>
      <c r="B1310" s="1">
        <f>DATE(2013,10,19) + TIME(23,34,49)</f>
        <v>41566.982511574075</v>
      </c>
      <c r="C1310">
        <v>80</v>
      </c>
      <c r="D1310">
        <v>79.918891907000003</v>
      </c>
      <c r="E1310">
        <v>50</v>
      </c>
      <c r="F1310">
        <v>47.845607758</v>
      </c>
      <c r="G1310">
        <v>1354.0285644999999</v>
      </c>
      <c r="H1310">
        <v>1347.2084961</v>
      </c>
      <c r="I1310">
        <v>1311.6099853999999</v>
      </c>
      <c r="J1310">
        <v>1301.7344971</v>
      </c>
      <c r="K1310">
        <v>1100</v>
      </c>
      <c r="L1310">
        <v>0</v>
      </c>
      <c r="M1310">
        <v>0</v>
      </c>
      <c r="N1310">
        <v>1100</v>
      </c>
    </row>
    <row r="1311" spans="1:14" x14ac:dyDescent="0.25">
      <c r="A1311">
        <v>1271.3631029999999</v>
      </c>
      <c r="B1311" s="1">
        <f>DATE(2013,10,23) + TIME(8,42,52)</f>
        <v>41570.36310185185</v>
      </c>
      <c r="C1311">
        <v>80</v>
      </c>
      <c r="D1311">
        <v>79.918960571</v>
      </c>
      <c r="E1311">
        <v>50</v>
      </c>
      <c r="F1311">
        <v>48.157138824</v>
      </c>
      <c r="G1311">
        <v>1353.9940185999999</v>
      </c>
      <c r="H1311">
        <v>1347.1807861</v>
      </c>
      <c r="I1311">
        <v>1311.6232910000001</v>
      </c>
      <c r="J1311">
        <v>1301.7607422000001</v>
      </c>
      <c r="K1311">
        <v>1100</v>
      </c>
      <c r="L1311">
        <v>0</v>
      </c>
      <c r="M1311">
        <v>0</v>
      </c>
      <c r="N1311">
        <v>1100</v>
      </c>
    </row>
    <row r="1312" spans="1:14" x14ac:dyDescent="0.25">
      <c r="A1312">
        <v>1274.752606</v>
      </c>
      <c r="B1312" s="1">
        <f>DATE(2013,10,26) + TIME(18,3,45)</f>
        <v>41573.752604166664</v>
      </c>
      <c r="C1312">
        <v>80</v>
      </c>
      <c r="D1312">
        <v>79.919036864999995</v>
      </c>
      <c r="E1312">
        <v>50</v>
      </c>
      <c r="F1312">
        <v>48.477867126</v>
      </c>
      <c r="G1312">
        <v>1353.9597168</v>
      </c>
      <c r="H1312">
        <v>1347.1534423999999</v>
      </c>
      <c r="I1312">
        <v>1311.6387939000001</v>
      </c>
      <c r="J1312">
        <v>1301.7918701000001</v>
      </c>
      <c r="K1312">
        <v>1100</v>
      </c>
      <c r="L1312">
        <v>0</v>
      </c>
      <c r="M1312">
        <v>0</v>
      </c>
      <c r="N1312">
        <v>1100</v>
      </c>
    </row>
    <row r="1313" spans="1:14" x14ac:dyDescent="0.25">
      <c r="A1313">
        <v>1278.1650830000001</v>
      </c>
      <c r="B1313" s="1">
        <f>DATE(2013,10,30) + TIME(3,57,43)</f>
        <v>41577.165081018517</v>
      </c>
      <c r="C1313">
        <v>80</v>
      </c>
      <c r="D1313">
        <v>79.919113159000005</v>
      </c>
      <c r="E1313">
        <v>50</v>
      </c>
      <c r="F1313">
        <v>48.804462432999998</v>
      </c>
      <c r="G1313">
        <v>1353.9261475000001</v>
      </c>
      <c r="H1313">
        <v>1347.1264647999999</v>
      </c>
      <c r="I1313">
        <v>1311.6563721</v>
      </c>
      <c r="J1313">
        <v>1301.8273925999999</v>
      </c>
      <c r="K1313">
        <v>1100</v>
      </c>
      <c r="L1313">
        <v>0</v>
      </c>
      <c r="M1313">
        <v>0</v>
      </c>
      <c r="N1313">
        <v>1100</v>
      </c>
    </row>
    <row r="1314" spans="1:14" x14ac:dyDescent="0.25">
      <c r="A1314">
        <v>1280</v>
      </c>
      <c r="B1314" s="1">
        <f>DATE(2013,11,1) + TIME(0,0,0)</f>
        <v>41579</v>
      </c>
      <c r="C1314">
        <v>80</v>
      </c>
      <c r="D1314">
        <v>79.919128418</v>
      </c>
      <c r="E1314">
        <v>50</v>
      </c>
      <c r="F1314">
        <v>49.061817169000001</v>
      </c>
      <c r="G1314">
        <v>1353.8929443</v>
      </c>
      <c r="H1314">
        <v>1347.0999756000001</v>
      </c>
      <c r="I1314">
        <v>1311.6818848</v>
      </c>
      <c r="J1314">
        <v>1301.8647461</v>
      </c>
      <c r="K1314">
        <v>1100</v>
      </c>
      <c r="L1314">
        <v>0</v>
      </c>
      <c r="M1314">
        <v>0</v>
      </c>
      <c r="N1314">
        <v>1100</v>
      </c>
    </row>
    <row r="1315" spans="1:14" x14ac:dyDescent="0.25">
      <c r="A1315">
        <v>1280.0000010000001</v>
      </c>
      <c r="B1315" s="1">
        <f>DATE(2013,11,1) + TIME(0,0,0)</f>
        <v>41579</v>
      </c>
      <c r="C1315">
        <v>80</v>
      </c>
      <c r="D1315">
        <v>79.919075011999993</v>
      </c>
      <c r="E1315">
        <v>50</v>
      </c>
      <c r="F1315">
        <v>49.06187439</v>
      </c>
      <c r="G1315">
        <v>1346.7004394999999</v>
      </c>
      <c r="H1315">
        <v>1341.8894043</v>
      </c>
      <c r="I1315">
        <v>1322.0748291</v>
      </c>
      <c r="J1315">
        <v>1312.1270752</v>
      </c>
      <c r="K1315">
        <v>0</v>
      </c>
      <c r="L1315">
        <v>1100</v>
      </c>
      <c r="M1315">
        <v>1100</v>
      </c>
      <c r="N1315">
        <v>0</v>
      </c>
    </row>
    <row r="1316" spans="1:14" x14ac:dyDescent="0.25">
      <c r="A1316">
        <v>1280.000004</v>
      </c>
      <c r="B1316" s="1">
        <f>DATE(2013,11,1) + TIME(0,0,0)</f>
        <v>41579</v>
      </c>
      <c r="C1316">
        <v>80</v>
      </c>
      <c r="D1316">
        <v>79.918930054</v>
      </c>
      <c r="E1316">
        <v>50</v>
      </c>
      <c r="F1316">
        <v>49.062026977999999</v>
      </c>
      <c r="G1316">
        <v>1345.6911620999999</v>
      </c>
      <c r="H1316">
        <v>1340.8796387</v>
      </c>
      <c r="I1316">
        <v>1323.1741943</v>
      </c>
      <c r="J1316">
        <v>1313.3144531</v>
      </c>
      <c r="K1316">
        <v>0</v>
      </c>
      <c r="L1316">
        <v>1100</v>
      </c>
      <c r="M1316">
        <v>1100</v>
      </c>
      <c r="N1316">
        <v>0</v>
      </c>
    </row>
    <row r="1317" spans="1:14" x14ac:dyDescent="0.25">
      <c r="A1317">
        <v>1280.0000130000001</v>
      </c>
      <c r="B1317" s="1">
        <f>DATE(2013,11,1) + TIME(0,0,1)</f>
        <v>41579.000011574077</v>
      </c>
      <c r="C1317">
        <v>80</v>
      </c>
      <c r="D1317">
        <v>79.918640136999997</v>
      </c>
      <c r="E1317">
        <v>50</v>
      </c>
      <c r="F1317">
        <v>49.062370299999998</v>
      </c>
      <c r="G1317">
        <v>1343.6533202999999</v>
      </c>
      <c r="H1317">
        <v>1338.8414307</v>
      </c>
      <c r="I1317">
        <v>1325.7014160000001</v>
      </c>
      <c r="J1317">
        <v>1315.9816894999999</v>
      </c>
      <c r="K1317">
        <v>0</v>
      </c>
      <c r="L1317">
        <v>1100</v>
      </c>
      <c r="M1317">
        <v>1100</v>
      </c>
      <c r="N1317">
        <v>0</v>
      </c>
    </row>
    <row r="1318" spans="1:14" x14ac:dyDescent="0.25">
      <c r="A1318">
        <v>1280.0000399999999</v>
      </c>
      <c r="B1318" s="1">
        <f>DATE(2013,11,1) + TIME(0,0,3)</f>
        <v>41579.000034722223</v>
      </c>
      <c r="C1318">
        <v>80</v>
      </c>
      <c r="D1318">
        <v>79.918212890999996</v>
      </c>
      <c r="E1318">
        <v>50</v>
      </c>
      <c r="F1318">
        <v>49.062938690000003</v>
      </c>
      <c r="G1318">
        <v>1340.6746826000001</v>
      </c>
      <c r="H1318">
        <v>1335.8635254000001</v>
      </c>
      <c r="I1318">
        <v>1330.0565185999999</v>
      </c>
      <c r="J1318">
        <v>1320.4151611</v>
      </c>
      <c r="K1318">
        <v>0</v>
      </c>
      <c r="L1318">
        <v>1100</v>
      </c>
      <c r="M1318">
        <v>1100</v>
      </c>
      <c r="N1318">
        <v>0</v>
      </c>
    </row>
    <row r="1319" spans="1:14" x14ac:dyDescent="0.25">
      <c r="A1319">
        <v>1280.000121</v>
      </c>
      <c r="B1319" s="1">
        <f>DATE(2013,11,1) + TIME(0,0,10)</f>
        <v>41579.000115740739</v>
      </c>
      <c r="C1319">
        <v>80</v>
      </c>
      <c r="D1319">
        <v>79.917732239000003</v>
      </c>
      <c r="E1319">
        <v>50</v>
      </c>
      <c r="F1319">
        <v>49.063671112000002</v>
      </c>
      <c r="G1319">
        <v>1337.3557129000001</v>
      </c>
      <c r="H1319">
        <v>1332.5454102000001</v>
      </c>
      <c r="I1319">
        <v>1335.5585937999999</v>
      </c>
      <c r="J1319">
        <v>1325.9022216999999</v>
      </c>
      <c r="K1319">
        <v>0</v>
      </c>
      <c r="L1319">
        <v>1100</v>
      </c>
      <c r="M1319">
        <v>1100</v>
      </c>
      <c r="N1319">
        <v>0</v>
      </c>
    </row>
    <row r="1320" spans="1:14" x14ac:dyDescent="0.25">
      <c r="A1320">
        <v>1280.000364</v>
      </c>
      <c r="B1320" s="1">
        <f>DATE(2013,11,1) + TIME(0,0,31)</f>
        <v>41579.000358796293</v>
      </c>
      <c r="C1320">
        <v>80</v>
      </c>
      <c r="D1320">
        <v>79.917213439999998</v>
      </c>
      <c r="E1320">
        <v>50</v>
      </c>
      <c r="F1320">
        <v>49.064525604000004</v>
      </c>
      <c r="G1320">
        <v>1333.9932861</v>
      </c>
      <c r="H1320">
        <v>1329.1640625</v>
      </c>
      <c r="I1320">
        <v>1341.3642577999999</v>
      </c>
      <c r="J1320">
        <v>1331.6743164</v>
      </c>
      <c r="K1320">
        <v>0</v>
      </c>
      <c r="L1320">
        <v>1100</v>
      </c>
      <c r="M1320">
        <v>1100</v>
      </c>
      <c r="N1320">
        <v>0</v>
      </c>
    </row>
    <row r="1321" spans="1:14" x14ac:dyDescent="0.25">
      <c r="A1321">
        <v>1280.0010930000001</v>
      </c>
      <c r="B1321" s="1">
        <f>DATE(2013,11,1) + TIME(0,1,34)</f>
        <v>41579.001087962963</v>
      </c>
      <c r="C1321">
        <v>80</v>
      </c>
      <c r="D1321">
        <v>79.916603088000002</v>
      </c>
      <c r="E1321">
        <v>50</v>
      </c>
      <c r="F1321">
        <v>49.065647124999998</v>
      </c>
      <c r="G1321">
        <v>1330.5386963000001</v>
      </c>
      <c r="H1321">
        <v>1325.6145019999999</v>
      </c>
      <c r="I1321">
        <v>1347.2478027</v>
      </c>
      <c r="J1321">
        <v>1337.5140381000001</v>
      </c>
      <c r="K1321">
        <v>0</v>
      </c>
      <c r="L1321">
        <v>1100</v>
      </c>
      <c r="M1321">
        <v>1100</v>
      </c>
      <c r="N1321">
        <v>0</v>
      </c>
    </row>
    <row r="1322" spans="1:14" x14ac:dyDescent="0.25">
      <c r="A1322">
        <v>1280.0032799999999</v>
      </c>
      <c r="B1322" s="1">
        <f>DATE(2013,11,1) + TIME(0,4,43)</f>
        <v>41579.003275462965</v>
      </c>
      <c r="C1322">
        <v>80</v>
      </c>
      <c r="D1322">
        <v>79.915740967000005</v>
      </c>
      <c r="E1322">
        <v>50</v>
      </c>
      <c r="F1322">
        <v>49.067512512</v>
      </c>
      <c r="G1322">
        <v>1327.0634766000001</v>
      </c>
      <c r="H1322">
        <v>1321.9680175999999</v>
      </c>
      <c r="I1322">
        <v>1352.8426514</v>
      </c>
      <c r="J1322">
        <v>1343.0288086</v>
      </c>
      <c r="K1322">
        <v>0</v>
      </c>
      <c r="L1322">
        <v>1100</v>
      </c>
      <c r="M1322">
        <v>1100</v>
      </c>
      <c r="N1322">
        <v>0</v>
      </c>
    </row>
    <row r="1323" spans="1:14" x14ac:dyDescent="0.25">
      <c r="A1323">
        <v>1280.0098410000001</v>
      </c>
      <c r="B1323" s="1">
        <f>DATE(2013,11,1) + TIME(0,14,10)</f>
        <v>41579.009837962964</v>
      </c>
      <c r="C1323">
        <v>80</v>
      </c>
      <c r="D1323">
        <v>79.914184570000003</v>
      </c>
      <c r="E1323">
        <v>50</v>
      </c>
      <c r="F1323">
        <v>49.071586609000001</v>
      </c>
      <c r="G1323">
        <v>1324.0480957</v>
      </c>
      <c r="H1323">
        <v>1318.8254394999999</v>
      </c>
      <c r="I1323">
        <v>1357.2257079999999</v>
      </c>
      <c r="J1323">
        <v>1347.3192139</v>
      </c>
      <c r="K1323">
        <v>0</v>
      </c>
      <c r="L1323">
        <v>1100</v>
      </c>
      <c r="M1323">
        <v>1100</v>
      </c>
      <c r="N1323">
        <v>0</v>
      </c>
    </row>
    <row r="1324" spans="1:14" x14ac:dyDescent="0.25">
      <c r="A1324">
        <v>1280.029524</v>
      </c>
      <c r="B1324" s="1">
        <f>DATE(2013,11,1) + TIME(0,42,30)</f>
        <v>41579.029513888891</v>
      </c>
      <c r="C1324">
        <v>80</v>
      </c>
      <c r="D1324">
        <v>79.910514832000004</v>
      </c>
      <c r="E1324">
        <v>50</v>
      </c>
      <c r="F1324">
        <v>49.082439422999997</v>
      </c>
      <c r="G1324">
        <v>1322.0174560999999</v>
      </c>
      <c r="H1324">
        <v>1316.7532959</v>
      </c>
      <c r="I1324">
        <v>1359.7329102000001</v>
      </c>
      <c r="J1324">
        <v>1349.7669678</v>
      </c>
      <c r="K1324">
        <v>0</v>
      </c>
      <c r="L1324">
        <v>1100</v>
      </c>
      <c r="M1324">
        <v>1100</v>
      </c>
      <c r="N1324">
        <v>0</v>
      </c>
    </row>
    <row r="1325" spans="1:14" x14ac:dyDescent="0.25">
      <c r="A1325">
        <v>1280.088573</v>
      </c>
      <c r="B1325" s="1">
        <f>DATE(2013,11,1) + TIME(2,7,32)</f>
        <v>41579.088564814818</v>
      </c>
      <c r="C1325">
        <v>80</v>
      </c>
      <c r="D1325">
        <v>79.900459290000001</v>
      </c>
      <c r="E1325">
        <v>50</v>
      </c>
      <c r="F1325">
        <v>49.113098145000002</v>
      </c>
      <c r="G1325">
        <v>1321.0703125</v>
      </c>
      <c r="H1325">
        <v>1315.7993164</v>
      </c>
      <c r="I1325">
        <v>1360.5899658000001</v>
      </c>
      <c r="J1325">
        <v>1350.6153564000001</v>
      </c>
      <c r="K1325">
        <v>0</v>
      </c>
      <c r="L1325">
        <v>1100</v>
      </c>
      <c r="M1325">
        <v>1100</v>
      </c>
      <c r="N1325">
        <v>0</v>
      </c>
    </row>
    <row r="1326" spans="1:14" x14ac:dyDescent="0.25">
      <c r="A1326">
        <v>1280.2147560000001</v>
      </c>
      <c r="B1326" s="1">
        <f>DATE(2013,11,1) + TIME(5,9,14)</f>
        <v>41579.214745370373</v>
      </c>
      <c r="C1326">
        <v>80</v>
      </c>
      <c r="D1326">
        <v>79.880111693999993</v>
      </c>
      <c r="E1326">
        <v>50</v>
      </c>
      <c r="F1326">
        <v>49.173492432000003</v>
      </c>
      <c r="G1326">
        <v>1320.8293457</v>
      </c>
      <c r="H1326">
        <v>1315.5573730000001</v>
      </c>
      <c r="I1326">
        <v>1360.6304932</v>
      </c>
      <c r="J1326">
        <v>1350.6846923999999</v>
      </c>
      <c r="K1326">
        <v>0</v>
      </c>
      <c r="L1326">
        <v>1100</v>
      </c>
      <c r="M1326">
        <v>1100</v>
      </c>
      <c r="N1326">
        <v>0</v>
      </c>
    </row>
    <row r="1327" spans="1:14" x14ac:dyDescent="0.25">
      <c r="A1327">
        <v>1280.3466780000001</v>
      </c>
      <c r="B1327" s="1">
        <f>DATE(2013,11,1) + TIME(8,19,13)</f>
        <v>41579.346678240741</v>
      </c>
      <c r="C1327">
        <v>80</v>
      </c>
      <c r="D1327">
        <v>79.859298706000004</v>
      </c>
      <c r="E1327">
        <v>50</v>
      </c>
      <c r="F1327">
        <v>49.231697083</v>
      </c>
      <c r="G1327">
        <v>1320.7896728999999</v>
      </c>
      <c r="H1327">
        <v>1315.5174560999999</v>
      </c>
      <c r="I1327">
        <v>1360.5524902</v>
      </c>
      <c r="J1327">
        <v>1350.6362305</v>
      </c>
      <c r="K1327">
        <v>0</v>
      </c>
      <c r="L1327">
        <v>1100</v>
      </c>
      <c r="M1327">
        <v>1100</v>
      </c>
      <c r="N1327">
        <v>0</v>
      </c>
    </row>
    <row r="1328" spans="1:14" x14ac:dyDescent="0.25">
      <c r="A1328">
        <v>1280.484964</v>
      </c>
      <c r="B1328" s="1">
        <f>DATE(2013,11,1) + TIME(11,38,20)</f>
        <v>41579.484953703701</v>
      </c>
      <c r="C1328">
        <v>80</v>
      </c>
      <c r="D1328">
        <v>79.837936400999993</v>
      </c>
      <c r="E1328">
        <v>50</v>
      </c>
      <c r="F1328">
        <v>49.287757874</v>
      </c>
      <c r="G1328">
        <v>1320.7799072</v>
      </c>
      <c r="H1328">
        <v>1315.5073242000001</v>
      </c>
      <c r="I1328">
        <v>1360.4715576000001</v>
      </c>
      <c r="J1328">
        <v>1350.5844727000001</v>
      </c>
      <c r="K1328">
        <v>0</v>
      </c>
      <c r="L1328">
        <v>1100</v>
      </c>
      <c r="M1328">
        <v>1100</v>
      </c>
      <c r="N1328">
        <v>0</v>
      </c>
    </row>
    <row r="1329" spans="1:14" x14ac:dyDescent="0.25">
      <c r="A1329">
        <v>1280.630367</v>
      </c>
      <c r="B1329" s="1">
        <f>DATE(2013,11,1) + TIME(15,7,43)</f>
        <v>41579.630358796298</v>
      </c>
      <c r="C1329">
        <v>80</v>
      </c>
      <c r="D1329">
        <v>79.815948485999996</v>
      </c>
      <c r="E1329">
        <v>50</v>
      </c>
      <c r="F1329">
        <v>49.341709137000002</v>
      </c>
      <c r="G1329">
        <v>1320.7752685999999</v>
      </c>
      <c r="H1329">
        <v>1315.5023193</v>
      </c>
      <c r="I1329">
        <v>1360.3941649999999</v>
      </c>
      <c r="J1329">
        <v>1350.5354004000001</v>
      </c>
      <c r="K1329">
        <v>0</v>
      </c>
      <c r="L1329">
        <v>1100</v>
      </c>
      <c r="M1329">
        <v>1100</v>
      </c>
      <c r="N1329">
        <v>0</v>
      </c>
    </row>
    <row r="1330" spans="1:14" x14ac:dyDescent="0.25">
      <c r="A1330">
        <v>1280.7837870000001</v>
      </c>
      <c r="B1330" s="1">
        <f>DATE(2013,11,1) + TIME(18,48,39)</f>
        <v>41579.783784722225</v>
      </c>
      <c r="C1330">
        <v>80</v>
      </c>
      <c r="D1330">
        <v>79.793243407999995</v>
      </c>
      <c r="E1330">
        <v>50</v>
      </c>
      <c r="F1330">
        <v>49.393592834000003</v>
      </c>
      <c r="G1330">
        <v>1320.7713623</v>
      </c>
      <c r="H1330">
        <v>1315.4981689000001</v>
      </c>
      <c r="I1330">
        <v>1360.3194579999999</v>
      </c>
      <c r="J1330">
        <v>1350.4881591999999</v>
      </c>
      <c r="K1330">
        <v>0</v>
      </c>
      <c r="L1330">
        <v>1100</v>
      </c>
      <c r="M1330">
        <v>1100</v>
      </c>
      <c r="N1330">
        <v>0</v>
      </c>
    </row>
    <row r="1331" spans="1:14" x14ac:dyDescent="0.25">
      <c r="A1331">
        <v>1280.946291</v>
      </c>
      <c r="B1331" s="1">
        <f>DATE(2013,11,1) + TIME(22,42,39)</f>
        <v>41579.946284722224</v>
      </c>
      <c r="C1331">
        <v>80</v>
      </c>
      <c r="D1331">
        <v>79.769706725999995</v>
      </c>
      <c r="E1331">
        <v>50</v>
      </c>
      <c r="F1331">
        <v>49.443447112999998</v>
      </c>
      <c r="G1331">
        <v>1320.7674560999999</v>
      </c>
      <c r="H1331">
        <v>1315.4938964999999</v>
      </c>
      <c r="I1331">
        <v>1360.2469481999999</v>
      </c>
      <c r="J1331">
        <v>1350.4423827999999</v>
      </c>
      <c r="K1331">
        <v>0</v>
      </c>
      <c r="L1331">
        <v>1100</v>
      </c>
      <c r="M1331">
        <v>1100</v>
      </c>
      <c r="N1331">
        <v>0</v>
      </c>
    </row>
    <row r="1332" spans="1:14" x14ac:dyDescent="0.25">
      <c r="A1332">
        <v>1281.1191630000001</v>
      </c>
      <c r="B1332" s="1">
        <f>DATE(2013,11,2) + TIME(2,51,35)</f>
        <v>41580.119155092594</v>
      </c>
      <c r="C1332">
        <v>80</v>
      </c>
      <c r="D1332">
        <v>79.745231627999999</v>
      </c>
      <c r="E1332">
        <v>50</v>
      </c>
      <c r="F1332">
        <v>49.491287231000001</v>
      </c>
      <c r="G1332">
        <v>1320.7633057</v>
      </c>
      <c r="H1332">
        <v>1315.4893798999999</v>
      </c>
      <c r="I1332">
        <v>1360.1763916</v>
      </c>
      <c r="J1332">
        <v>1350.3977050999999</v>
      </c>
      <c r="K1332">
        <v>0</v>
      </c>
      <c r="L1332">
        <v>1100</v>
      </c>
      <c r="M1332">
        <v>1100</v>
      </c>
      <c r="N1332">
        <v>0</v>
      </c>
    </row>
    <row r="1333" spans="1:14" x14ac:dyDescent="0.25">
      <c r="A1333">
        <v>1281.3039590000001</v>
      </c>
      <c r="B1333" s="1">
        <f>DATE(2013,11,2) + TIME(7,17,42)</f>
        <v>41580.30395833333</v>
      </c>
      <c r="C1333">
        <v>80</v>
      </c>
      <c r="D1333">
        <v>79.719657897999994</v>
      </c>
      <c r="E1333">
        <v>50</v>
      </c>
      <c r="F1333">
        <v>49.537128447999997</v>
      </c>
      <c r="G1333">
        <v>1320.7590332</v>
      </c>
      <c r="H1333">
        <v>1315.4846190999999</v>
      </c>
      <c r="I1333">
        <v>1360.1075439000001</v>
      </c>
      <c r="J1333">
        <v>1350.354126</v>
      </c>
      <c r="K1333">
        <v>0</v>
      </c>
      <c r="L1333">
        <v>1100</v>
      </c>
      <c r="M1333">
        <v>1100</v>
      </c>
      <c r="N1333">
        <v>0</v>
      </c>
    </row>
    <row r="1334" spans="1:14" x14ac:dyDescent="0.25">
      <c r="A1334">
        <v>1281.502592</v>
      </c>
      <c r="B1334" s="1">
        <f>DATE(2013,11,2) + TIME(12,3,43)</f>
        <v>41580.502581018518</v>
      </c>
      <c r="C1334">
        <v>80</v>
      </c>
      <c r="D1334">
        <v>79.692810058999996</v>
      </c>
      <c r="E1334">
        <v>50</v>
      </c>
      <c r="F1334">
        <v>49.580974578999999</v>
      </c>
      <c r="G1334">
        <v>1320.7545166</v>
      </c>
      <c r="H1334">
        <v>1315.4794922000001</v>
      </c>
      <c r="I1334">
        <v>1360.0404053</v>
      </c>
      <c r="J1334">
        <v>1350.3115233999999</v>
      </c>
      <c r="K1334">
        <v>0</v>
      </c>
      <c r="L1334">
        <v>1100</v>
      </c>
      <c r="M1334">
        <v>1100</v>
      </c>
      <c r="N1334">
        <v>0</v>
      </c>
    </row>
    <row r="1335" spans="1:14" x14ac:dyDescent="0.25">
      <c r="A1335">
        <v>1281.7174480000001</v>
      </c>
      <c r="B1335" s="1">
        <f>DATE(2013,11,2) + TIME(17,13,7)</f>
        <v>41580.717442129629</v>
      </c>
      <c r="C1335">
        <v>80</v>
      </c>
      <c r="D1335">
        <v>79.664474487000007</v>
      </c>
      <c r="E1335">
        <v>50</v>
      </c>
      <c r="F1335">
        <v>49.622814177999999</v>
      </c>
      <c r="G1335">
        <v>1320.7496338000001</v>
      </c>
      <c r="H1335">
        <v>1315.473999</v>
      </c>
      <c r="I1335">
        <v>1359.9749756000001</v>
      </c>
      <c r="J1335">
        <v>1350.2700195</v>
      </c>
      <c r="K1335">
        <v>0</v>
      </c>
      <c r="L1335">
        <v>1100</v>
      </c>
      <c r="M1335">
        <v>1100</v>
      </c>
      <c r="N1335">
        <v>0</v>
      </c>
    </row>
    <row r="1336" spans="1:14" x14ac:dyDescent="0.25">
      <c r="A1336">
        <v>1281.951534</v>
      </c>
      <c r="B1336" s="1">
        <f>DATE(2013,11,2) + TIME(22,50,12)</f>
        <v>41580.951527777775</v>
      </c>
      <c r="C1336">
        <v>80</v>
      </c>
      <c r="D1336">
        <v>79.634368895999998</v>
      </c>
      <c r="E1336">
        <v>50</v>
      </c>
      <c r="F1336">
        <v>49.662635803000001</v>
      </c>
      <c r="G1336">
        <v>1320.7443848</v>
      </c>
      <c r="H1336">
        <v>1315.4681396000001</v>
      </c>
      <c r="I1336">
        <v>1359.9111327999999</v>
      </c>
      <c r="J1336">
        <v>1350.2293701000001</v>
      </c>
      <c r="K1336">
        <v>0</v>
      </c>
      <c r="L1336">
        <v>1100</v>
      </c>
      <c r="M1336">
        <v>1100</v>
      </c>
      <c r="N1336">
        <v>0</v>
      </c>
    </row>
    <row r="1337" spans="1:14" x14ac:dyDescent="0.25">
      <c r="A1337">
        <v>1282.2087320000001</v>
      </c>
      <c r="B1337" s="1">
        <f>DATE(2013,11,3) + TIME(5,0,34)</f>
        <v>41581.208726851852</v>
      </c>
      <c r="C1337">
        <v>80</v>
      </c>
      <c r="D1337">
        <v>79.602157593000001</v>
      </c>
      <c r="E1337">
        <v>50</v>
      </c>
      <c r="F1337">
        <v>49.700397490999997</v>
      </c>
      <c r="G1337">
        <v>1320.7386475000001</v>
      </c>
      <c r="H1337">
        <v>1315.4616699000001</v>
      </c>
      <c r="I1337">
        <v>1359.8486327999999</v>
      </c>
      <c r="J1337">
        <v>1350.1894531</v>
      </c>
      <c r="K1337">
        <v>0</v>
      </c>
      <c r="L1337">
        <v>1100</v>
      </c>
      <c r="M1337">
        <v>1100</v>
      </c>
      <c r="N1337">
        <v>0</v>
      </c>
    </row>
    <row r="1338" spans="1:14" x14ac:dyDescent="0.25">
      <c r="A1338">
        <v>1282.494236</v>
      </c>
      <c r="B1338" s="1">
        <f>DATE(2013,11,3) + TIME(11,51,42)</f>
        <v>41581.49423611111</v>
      </c>
      <c r="C1338">
        <v>80</v>
      </c>
      <c r="D1338">
        <v>79.567390442000004</v>
      </c>
      <c r="E1338">
        <v>50</v>
      </c>
      <c r="F1338">
        <v>49.736061096</v>
      </c>
      <c r="G1338">
        <v>1320.7324219</v>
      </c>
      <c r="H1338">
        <v>1315.4545897999999</v>
      </c>
      <c r="I1338">
        <v>1359.7874756000001</v>
      </c>
      <c r="J1338">
        <v>1350.1503906</v>
      </c>
      <c r="K1338">
        <v>0</v>
      </c>
      <c r="L1338">
        <v>1100</v>
      </c>
      <c r="M1338">
        <v>1100</v>
      </c>
      <c r="N1338">
        <v>0</v>
      </c>
    </row>
    <row r="1339" spans="1:14" x14ac:dyDescent="0.25">
      <c r="A1339">
        <v>1282.815049</v>
      </c>
      <c r="B1339" s="1">
        <f>DATE(2013,11,3) + TIME(19,33,40)</f>
        <v>41581.815046296295</v>
      </c>
      <c r="C1339">
        <v>80</v>
      </c>
      <c r="D1339">
        <v>79.529472350999995</v>
      </c>
      <c r="E1339">
        <v>50</v>
      </c>
      <c r="F1339">
        <v>49.769561768000003</v>
      </c>
      <c r="G1339">
        <v>1320.7255858999999</v>
      </c>
      <c r="H1339">
        <v>1315.4467772999999</v>
      </c>
      <c r="I1339">
        <v>1359.7276611</v>
      </c>
      <c r="J1339">
        <v>1350.1120605000001</v>
      </c>
      <c r="K1339">
        <v>0</v>
      </c>
      <c r="L1339">
        <v>1100</v>
      </c>
      <c r="M1339">
        <v>1100</v>
      </c>
      <c r="N1339">
        <v>0</v>
      </c>
    </row>
    <row r="1340" spans="1:14" x14ac:dyDescent="0.25">
      <c r="A1340">
        <v>1283.180965</v>
      </c>
      <c r="B1340" s="1">
        <f>DATE(2013,11,4) + TIME(4,20,35)</f>
        <v>41582.180960648147</v>
      </c>
      <c r="C1340">
        <v>80</v>
      </c>
      <c r="D1340">
        <v>79.487602233999993</v>
      </c>
      <c r="E1340">
        <v>50</v>
      </c>
      <c r="F1340">
        <v>49.800807953000003</v>
      </c>
      <c r="G1340">
        <v>1320.7178954999999</v>
      </c>
      <c r="H1340">
        <v>1315.4378661999999</v>
      </c>
      <c r="I1340">
        <v>1359.6689452999999</v>
      </c>
      <c r="J1340">
        <v>1350.0742187999999</v>
      </c>
      <c r="K1340">
        <v>0</v>
      </c>
      <c r="L1340">
        <v>1100</v>
      </c>
      <c r="M1340">
        <v>1100</v>
      </c>
      <c r="N1340">
        <v>0</v>
      </c>
    </row>
    <row r="1341" spans="1:14" x14ac:dyDescent="0.25">
      <c r="A1341">
        <v>1283.6062099999999</v>
      </c>
      <c r="B1341" s="1">
        <f>DATE(2013,11,4) + TIME(14,32,56)</f>
        <v>41582.606203703705</v>
      </c>
      <c r="C1341">
        <v>80</v>
      </c>
      <c r="D1341">
        <v>79.440673828000001</v>
      </c>
      <c r="E1341">
        <v>50</v>
      </c>
      <c r="F1341">
        <v>49.829681395999998</v>
      </c>
      <c r="G1341">
        <v>1320.7092285000001</v>
      </c>
      <c r="H1341">
        <v>1315.4277344</v>
      </c>
      <c r="I1341">
        <v>1359.6110839999999</v>
      </c>
      <c r="J1341">
        <v>1350.0369873</v>
      </c>
      <c r="K1341">
        <v>0</v>
      </c>
      <c r="L1341">
        <v>1100</v>
      </c>
      <c r="M1341">
        <v>1100</v>
      </c>
      <c r="N1341">
        <v>0</v>
      </c>
    </row>
    <row r="1342" spans="1:14" x14ac:dyDescent="0.25">
      <c r="A1342">
        <v>1284.0972389999999</v>
      </c>
      <c r="B1342" s="1">
        <f>DATE(2013,11,5) + TIME(2,20,1)</f>
        <v>41583.097233796296</v>
      </c>
      <c r="C1342">
        <v>80</v>
      </c>
      <c r="D1342">
        <v>79.388328552000004</v>
      </c>
      <c r="E1342">
        <v>50</v>
      </c>
      <c r="F1342">
        <v>49.855411529999998</v>
      </c>
      <c r="G1342">
        <v>1320.6990966999999</v>
      </c>
      <c r="H1342">
        <v>1315.4160156</v>
      </c>
      <c r="I1342">
        <v>1359.5555420000001</v>
      </c>
      <c r="J1342">
        <v>1350.0009766000001</v>
      </c>
      <c r="K1342">
        <v>0</v>
      </c>
      <c r="L1342">
        <v>1100</v>
      </c>
      <c r="M1342">
        <v>1100</v>
      </c>
      <c r="N1342">
        <v>0</v>
      </c>
    </row>
    <row r="1343" spans="1:14" x14ac:dyDescent="0.25">
      <c r="A1343">
        <v>1284.588894</v>
      </c>
      <c r="B1343" s="1">
        <f>DATE(2013,11,5) + TIME(14,8,0)</f>
        <v>41583.588888888888</v>
      </c>
      <c r="C1343">
        <v>80</v>
      </c>
      <c r="D1343">
        <v>79.336112975999995</v>
      </c>
      <c r="E1343">
        <v>50</v>
      </c>
      <c r="F1343">
        <v>49.87531662</v>
      </c>
      <c r="G1343">
        <v>1320.6873779</v>
      </c>
      <c r="H1343">
        <v>1315.4025879000001</v>
      </c>
      <c r="I1343">
        <v>1359.5078125</v>
      </c>
      <c r="J1343">
        <v>1349.9696045000001</v>
      </c>
      <c r="K1343">
        <v>0</v>
      </c>
      <c r="L1343">
        <v>1100</v>
      </c>
      <c r="M1343">
        <v>1100</v>
      </c>
      <c r="N1343">
        <v>0</v>
      </c>
    </row>
    <row r="1344" spans="1:14" x14ac:dyDescent="0.25">
      <c r="A1344">
        <v>1285.092913</v>
      </c>
      <c r="B1344" s="1">
        <f>DATE(2013,11,6) + TIME(2,13,47)</f>
        <v>41584.092905092592</v>
      </c>
      <c r="C1344">
        <v>80</v>
      </c>
      <c r="D1344">
        <v>79.283111571999996</v>
      </c>
      <c r="E1344">
        <v>50</v>
      </c>
      <c r="F1344">
        <v>49.891017914000003</v>
      </c>
      <c r="G1344">
        <v>1320.6756591999999</v>
      </c>
      <c r="H1344">
        <v>1315.3889160000001</v>
      </c>
      <c r="I1344">
        <v>1359.4660644999999</v>
      </c>
      <c r="J1344">
        <v>1349.9421387</v>
      </c>
      <c r="K1344">
        <v>0</v>
      </c>
      <c r="L1344">
        <v>1100</v>
      </c>
      <c r="M1344">
        <v>1100</v>
      </c>
      <c r="N1344">
        <v>0</v>
      </c>
    </row>
    <row r="1345" spans="1:14" x14ac:dyDescent="0.25">
      <c r="A1345">
        <v>1285.6142150000001</v>
      </c>
      <c r="B1345" s="1">
        <f>DATE(2013,11,6) + TIME(14,44,28)</f>
        <v>41584.614212962966</v>
      </c>
      <c r="C1345">
        <v>80</v>
      </c>
      <c r="D1345">
        <v>79.228965759000005</v>
      </c>
      <c r="E1345">
        <v>50</v>
      </c>
      <c r="F1345">
        <v>49.903434752999999</v>
      </c>
      <c r="G1345">
        <v>1320.6635742000001</v>
      </c>
      <c r="H1345">
        <v>1315.3747559000001</v>
      </c>
      <c r="I1345">
        <v>1359.4290771000001</v>
      </c>
      <c r="J1345">
        <v>1349.9176024999999</v>
      </c>
      <c r="K1345">
        <v>0</v>
      </c>
      <c r="L1345">
        <v>1100</v>
      </c>
      <c r="M1345">
        <v>1100</v>
      </c>
      <c r="N1345">
        <v>0</v>
      </c>
    </row>
    <row r="1346" spans="1:14" x14ac:dyDescent="0.25">
      <c r="A1346">
        <v>1286.158459</v>
      </c>
      <c r="B1346" s="1">
        <f>DATE(2013,11,7) + TIME(3,48,10)</f>
        <v>41585.158449074072</v>
      </c>
      <c r="C1346">
        <v>80</v>
      </c>
      <c r="D1346">
        <v>79.173240661999998</v>
      </c>
      <c r="E1346">
        <v>50</v>
      </c>
      <c r="F1346">
        <v>49.913272857999999</v>
      </c>
      <c r="G1346">
        <v>1320.651001</v>
      </c>
      <c r="H1346">
        <v>1315.3599853999999</v>
      </c>
      <c r="I1346">
        <v>1359.3957519999999</v>
      </c>
      <c r="J1346">
        <v>1349.8953856999999</v>
      </c>
      <c r="K1346">
        <v>0</v>
      </c>
      <c r="L1346">
        <v>1100</v>
      </c>
      <c r="M1346">
        <v>1100</v>
      </c>
      <c r="N1346">
        <v>0</v>
      </c>
    </row>
    <row r="1347" spans="1:14" x14ac:dyDescent="0.25">
      <c r="A1347">
        <v>1286.7318230000001</v>
      </c>
      <c r="B1347" s="1">
        <f>DATE(2013,11,7) + TIME(17,33,49)</f>
        <v>41585.731817129628</v>
      </c>
      <c r="C1347">
        <v>80</v>
      </c>
      <c r="D1347">
        <v>79.115463257000002</v>
      </c>
      <c r="E1347">
        <v>50</v>
      </c>
      <c r="F1347">
        <v>49.921051024999997</v>
      </c>
      <c r="G1347">
        <v>1320.6378173999999</v>
      </c>
      <c r="H1347">
        <v>1315.3444824000001</v>
      </c>
      <c r="I1347">
        <v>1359.3653564000001</v>
      </c>
      <c r="J1347">
        <v>1349.8751221</v>
      </c>
      <c r="K1347">
        <v>0</v>
      </c>
      <c r="L1347">
        <v>1100</v>
      </c>
      <c r="M1347">
        <v>1100</v>
      </c>
      <c r="N1347">
        <v>0</v>
      </c>
    </row>
    <row r="1348" spans="1:14" x14ac:dyDescent="0.25">
      <c r="A1348">
        <v>1287.341467</v>
      </c>
      <c r="B1348" s="1">
        <f>DATE(2013,11,8) + TIME(8,11,42)</f>
        <v>41586.341458333336</v>
      </c>
      <c r="C1348">
        <v>80</v>
      </c>
      <c r="D1348">
        <v>79.055122374999996</v>
      </c>
      <c r="E1348">
        <v>50</v>
      </c>
      <c r="F1348">
        <v>49.927188872999999</v>
      </c>
      <c r="G1348">
        <v>1320.6239014</v>
      </c>
      <c r="H1348">
        <v>1315.3278809000001</v>
      </c>
      <c r="I1348">
        <v>1359.3374022999999</v>
      </c>
      <c r="J1348">
        <v>1349.8562012</v>
      </c>
      <c r="K1348">
        <v>0</v>
      </c>
      <c r="L1348">
        <v>1100</v>
      </c>
      <c r="M1348">
        <v>1100</v>
      </c>
      <c r="N1348">
        <v>0</v>
      </c>
    </row>
    <row r="1349" spans="1:14" x14ac:dyDescent="0.25">
      <c r="A1349">
        <v>1287.9959220000001</v>
      </c>
      <c r="B1349" s="1">
        <f>DATE(2013,11,8) + TIME(23,54,7)</f>
        <v>41586.99591435185</v>
      </c>
      <c r="C1349">
        <v>80</v>
      </c>
      <c r="D1349">
        <v>78.991600036999998</v>
      </c>
      <c r="E1349">
        <v>50</v>
      </c>
      <c r="F1349">
        <v>49.932006835999999</v>
      </c>
      <c r="G1349">
        <v>1320.6090088000001</v>
      </c>
      <c r="H1349">
        <v>1315.3099365</v>
      </c>
      <c r="I1349">
        <v>1359.3112793</v>
      </c>
      <c r="J1349">
        <v>1349.838501</v>
      </c>
      <c r="K1349">
        <v>0</v>
      </c>
      <c r="L1349">
        <v>1100</v>
      </c>
      <c r="M1349">
        <v>1100</v>
      </c>
      <c r="N1349">
        <v>0</v>
      </c>
    </row>
    <row r="1350" spans="1:14" x14ac:dyDescent="0.25">
      <c r="A1350">
        <v>1288.6988879999999</v>
      </c>
      <c r="B1350" s="1">
        <f>DATE(2013,11,9) + TIME(16,46,23)</f>
        <v>41587.698877314811</v>
      </c>
      <c r="C1350">
        <v>80</v>
      </c>
      <c r="D1350">
        <v>78.924644470000004</v>
      </c>
      <c r="E1350">
        <v>50</v>
      </c>
      <c r="F1350">
        <v>49.935741425000003</v>
      </c>
      <c r="G1350">
        <v>1320.5928954999999</v>
      </c>
      <c r="H1350">
        <v>1315.2905272999999</v>
      </c>
      <c r="I1350">
        <v>1359.2866211</v>
      </c>
      <c r="J1350">
        <v>1349.8216553</v>
      </c>
      <c r="K1350">
        <v>0</v>
      </c>
      <c r="L1350">
        <v>1100</v>
      </c>
      <c r="M1350">
        <v>1100</v>
      </c>
      <c r="N1350">
        <v>0</v>
      </c>
    </row>
    <row r="1351" spans="1:14" x14ac:dyDescent="0.25">
      <c r="A1351">
        <v>1289.4498799999999</v>
      </c>
      <c r="B1351" s="1">
        <f>DATE(2013,11,10) + TIME(10,47,49)</f>
        <v>41588.449872685182</v>
      </c>
      <c r="C1351">
        <v>80</v>
      </c>
      <c r="D1351">
        <v>78.854293823000006</v>
      </c>
      <c r="E1351">
        <v>50</v>
      </c>
      <c r="F1351">
        <v>49.938594817999999</v>
      </c>
      <c r="G1351">
        <v>1320.5754394999999</v>
      </c>
      <c r="H1351">
        <v>1315.2695312000001</v>
      </c>
      <c r="I1351">
        <v>1359.2631836</v>
      </c>
      <c r="J1351">
        <v>1349.8056641000001</v>
      </c>
      <c r="K1351">
        <v>0</v>
      </c>
      <c r="L1351">
        <v>1100</v>
      </c>
      <c r="M1351">
        <v>1100</v>
      </c>
      <c r="N1351">
        <v>0</v>
      </c>
    </row>
    <row r="1352" spans="1:14" x14ac:dyDescent="0.25">
      <c r="A1352">
        <v>1290.259777</v>
      </c>
      <c r="B1352" s="1">
        <f>DATE(2013,11,11) + TIME(6,14,4)</f>
        <v>41589.259768518517</v>
      </c>
      <c r="C1352">
        <v>80</v>
      </c>
      <c r="D1352">
        <v>78.779861449999999</v>
      </c>
      <c r="E1352">
        <v>50</v>
      </c>
      <c r="F1352">
        <v>49.940765380999999</v>
      </c>
      <c r="G1352">
        <v>1320.5565185999999</v>
      </c>
      <c r="H1352">
        <v>1315.246582</v>
      </c>
      <c r="I1352">
        <v>1359.2408447</v>
      </c>
      <c r="J1352">
        <v>1349.7902832</v>
      </c>
      <c r="K1352">
        <v>0</v>
      </c>
      <c r="L1352">
        <v>1100</v>
      </c>
      <c r="M1352">
        <v>1100</v>
      </c>
      <c r="N1352">
        <v>0</v>
      </c>
    </row>
    <row r="1353" spans="1:14" x14ac:dyDescent="0.25">
      <c r="A1353">
        <v>1291.141341</v>
      </c>
      <c r="B1353" s="1">
        <f>DATE(2013,11,12) + TIME(3,23,31)</f>
        <v>41590.141331018516</v>
      </c>
      <c r="C1353">
        <v>80</v>
      </c>
      <c r="D1353">
        <v>78.700546265</v>
      </c>
      <c r="E1353">
        <v>50</v>
      </c>
      <c r="F1353">
        <v>49.942413330000001</v>
      </c>
      <c r="G1353">
        <v>1320.5360106999999</v>
      </c>
      <c r="H1353">
        <v>1315.2215576000001</v>
      </c>
      <c r="I1353">
        <v>1359.2192382999999</v>
      </c>
      <c r="J1353">
        <v>1349.7753906</v>
      </c>
      <c r="K1353">
        <v>0</v>
      </c>
      <c r="L1353">
        <v>1100</v>
      </c>
      <c r="M1353">
        <v>1100</v>
      </c>
      <c r="N1353">
        <v>0</v>
      </c>
    </row>
    <row r="1354" spans="1:14" x14ac:dyDescent="0.25">
      <c r="A1354">
        <v>1292.111314</v>
      </c>
      <c r="B1354" s="1">
        <f>DATE(2013,11,13) + TIME(2,40,17)</f>
        <v>41591.111307870371</v>
      </c>
      <c r="C1354">
        <v>80</v>
      </c>
      <c r="D1354">
        <v>78.615341186999999</v>
      </c>
      <c r="E1354">
        <v>50</v>
      </c>
      <c r="F1354">
        <v>49.94367218</v>
      </c>
      <c r="G1354">
        <v>1320.5133057</v>
      </c>
      <c r="H1354">
        <v>1315.1938477000001</v>
      </c>
      <c r="I1354">
        <v>1359.1979980000001</v>
      </c>
      <c r="J1354">
        <v>1349.7607422000001</v>
      </c>
      <c r="K1354">
        <v>0</v>
      </c>
      <c r="L1354">
        <v>1100</v>
      </c>
      <c r="M1354">
        <v>1100</v>
      </c>
      <c r="N1354">
        <v>0</v>
      </c>
    </row>
    <row r="1355" spans="1:14" x14ac:dyDescent="0.25">
      <c r="A1355">
        <v>1293.140895</v>
      </c>
      <c r="B1355" s="1">
        <f>DATE(2013,11,14) + TIME(3,22,53)</f>
        <v>41592.1408912037</v>
      </c>
      <c r="C1355">
        <v>80</v>
      </c>
      <c r="D1355">
        <v>78.525779724000003</v>
      </c>
      <c r="E1355">
        <v>50</v>
      </c>
      <c r="F1355">
        <v>49.944599152000002</v>
      </c>
      <c r="G1355">
        <v>1320.4881591999999</v>
      </c>
      <c r="H1355">
        <v>1315.1629639</v>
      </c>
      <c r="I1355">
        <v>1359.1770019999999</v>
      </c>
      <c r="J1355">
        <v>1349.7460937999999</v>
      </c>
      <c r="K1355">
        <v>0</v>
      </c>
      <c r="L1355">
        <v>1100</v>
      </c>
      <c r="M1355">
        <v>1100</v>
      </c>
      <c r="N1355">
        <v>0</v>
      </c>
    </row>
    <row r="1356" spans="1:14" x14ac:dyDescent="0.25">
      <c r="A1356">
        <v>1294.1898619999999</v>
      </c>
      <c r="B1356" s="1">
        <f>DATE(2013,11,15) + TIME(4,33,24)</f>
        <v>41593.18986111111</v>
      </c>
      <c r="C1356">
        <v>80</v>
      </c>
      <c r="D1356">
        <v>78.434326171999999</v>
      </c>
      <c r="E1356">
        <v>50</v>
      </c>
      <c r="F1356">
        <v>49.945266724</v>
      </c>
      <c r="G1356">
        <v>1320.4609375</v>
      </c>
      <c r="H1356">
        <v>1315.1296387</v>
      </c>
      <c r="I1356">
        <v>1359.1567382999999</v>
      </c>
      <c r="J1356">
        <v>1349.7319336</v>
      </c>
      <c r="K1356">
        <v>0</v>
      </c>
      <c r="L1356">
        <v>1100</v>
      </c>
      <c r="M1356">
        <v>1100</v>
      </c>
      <c r="N1356">
        <v>0</v>
      </c>
    </row>
    <row r="1357" spans="1:14" x14ac:dyDescent="0.25">
      <c r="A1357">
        <v>1295.2605269999999</v>
      </c>
      <c r="B1357" s="1">
        <f>DATE(2013,11,16) + TIME(6,15,9)</f>
        <v>41594.260520833333</v>
      </c>
      <c r="C1357">
        <v>80</v>
      </c>
      <c r="D1357">
        <v>78.341423035000005</v>
      </c>
      <c r="E1357">
        <v>50</v>
      </c>
      <c r="F1357">
        <v>49.945762633999998</v>
      </c>
      <c r="G1357">
        <v>1320.4327393000001</v>
      </c>
      <c r="H1357">
        <v>1315.0947266000001</v>
      </c>
      <c r="I1357">
        <v>1359.1378173999999</v>
      </c>
      <c r="J1357">
        <v>1349.71875</v>
      </c>
      <c r="K1357">
        <v>0</v>
      </c>
      <c r="L1357">
        <v>1100</v>
      </c>
      <c r="M1357">
        <v>1100</v>
      </c>
      <c r="N1357">
        <v>0</v>
      </c>
    </row>
    <row r="1358" spans="1:14" x14ac:dyDescent="0.25">
      <c r="A1358">
        <v>1296.3550620000001</v>
      </c>
      <c r="B1358" s="1">
        <f>DATE(2013,11,17) + TIME(8,31,17)</f>
        <v>41595.355057870373</v>
      </c>
      <c r="C1358">
        <v>80</v>
      </c>
      <c r="D1358">
        <v>78.247314453000001</v>
      </c>
      <c r="E1358">
        <v>50</v>
      </c>
      <c r="F1358">
        <v>49.946136475000003</v>
      </c>
      <c r="G1358">
        <v>1320.4034423999999</v>
      </c>
      <c r="H1358">
        <v>1315.0584716999999</v>
      </c>
      <c r="I1358">
        <v>1359.1199951000001</v>
      </c>
      <c r="J1358">
        <v>1349.7062988</v>
      </c>
      <c r="K1358">
        <v>0</v>
      </c>
      <c r="L1358">
        <v>1100</v>
      </c>
      <c r="M1358">
        <v>1100</v>
      </c>
      <c r="N1358">
        <v>0</v>
      </c>
    </row>
    <row r="1359" spans="1:14" x14ac:dyDescent="0.25">
      <c r="A1359">
        <v>1297.4753290000001</v>
      </c>
      <c r="B1359" s="1">
        <f>DATE(2013,11,18) + TIME(11,24,28)</f>
        <v>41596.475324074076</v>
      </c>
      <c r="C1359">
        <v>80</v>
      </c>
      <c r="D1359">
        <v>78.152137756000002</v>
      </c>
      <c r="E1359">
        <v>50</v>
      </c>
      <c r="F1359">
        <v>49.946430206000002</v>
      </c>
      <c r="G1359">
        <v>1320.3730469</v>
      </c>
      <c r="H1359">
        <v>1315.0203856999999</v>
      </c>
      <c r="I1359">
        <v>1359.1031493999999</v>
      </c>
      <c r="J1359">
        <v>1349.6945800999999</v>
      </c>
      <c r="K1359">
        <v>0</v>
      </c>
      <c r="L1359">
        <v>1100</v>
      </c>
      <c r="M1359">
        <v>1100</v>
      </c>
      <c r="N1359">
        <v>0</v>
      </c>
    </row>
    <row r="1360" spans="1:14" x14ac:dyDescent="0.25">
      <c r="A1360">
        <v>1298.6243159999999</v>
      </c>
      <c r="B1360" s="1">
        <f>DATE(2013,11,19) + TIME(14,59,0)</f>
        <v>41597.624305555553</v>
      </c>
      <c r="C1360">
        <v>80</v>
      </c>
      <c r="D1360">
        <v>78.055885314999998</v>
      </c>
      <c r="E1360">
        <v>50</v>
      </c>
      <c r="F1360">
        <v>49.946659087999997</v>
      </c>
      <c r="G1360">
        <v>1320.3414307</v>
      </c>
      <c r="H1360">
        <v>1314.9807129000001</v>
      </c>
      <c r="I1360">
        <v>1359.0870361</v>
      </c>
      <c r="J1360">
        <v>1349.6834716999999</v>
      </c>
      <c r="K1360">
        <v>0</v>
      </c>
      <c r="L1360">
        <v>1100</v>
      </c>
      <c r="M1360">
        <v>1100</v>
      </c>
      <c r="N1360">
        <v>0</v>
      </c>
    </row>
    <row r="1361" spans="1:14" x14ac:dyDescent="0.25">
      <c r="A1361">
        <v>1299.8045480000001</v>
      </c>
      <c r="B1361" s="1">
        <f>DATE(2013,11,20) + TIME(19,18,32)</f>
        <v>41598.804537037038</v>
      </c>
      <c r="C1361">
        <v>80</v>
      </c>
      <c r="D1361">
        <v>77.958503723000007</v>
      </c>
      <c r="E1361">
        <v>50</v>
      </c>
      <c r="F1361">
        <v>49.946846008000001</v>
      </c>
      <c r="G1361">
        <v>1320.3084716999999</v>
      </c>
      <c r="H1361">
        <v>1314.9390868999999</v>
      </c>
      <c r="I1361">
        <v>1359.0717772999999</v>
      </c>
      <c r="J1361">
        <v>1349.6727295000001</v>
      </c>
      <c r="K1361">
        <v>0</v>
      </c>
      <c r="L1361">
        <v>1100</v>
      </c>
      <c r="M1361">
        <v>1100</v>
      </c>
      <c r="N1361">
        <v>0</v>
      </c>
    </row>
    <row r="1362" spans="1:14" x14ac:dyDescent="0.25">
      <c r="A1362">
        <v>1301.0186670000001</v>
      </c>
      <c r="B1362" s="1">
        <f>DATE(2013,11,22) + TIME(0,26,52)</f>
        <v>41600.018657407411</v>
      </c>
      <c r="C1362">
        <v>80</v>
      </c>
      <c r="D1362">
        <v>77.859909058</v>
      </c>
      <c r="E1362">
        <v>50</v>
      </c>
      <c r="F1362">
        <v>49.947002411</v>
      </c>
      <c r="G1362">
        <v>1320.2741699000001</v>
      </c>
      <c r="H1362">
        <v>1314.8956298999999</v>
      </c>
      <c r="I1362">
        <v>1359.0571289</v>
      </c>
      <c r="J1362">
        <v>1349.6624756000001</v>
      </c>
      <c r="K1362">
        <v>0</v>
      </c>
      <c r="L1362">
        <v>1100</v>
      </c>
      <c r="M1362">
        <v>1100</v>
      </c>
      <c r="N1362">
        <v>0</v>
      </c>
    </row>
    <row r="1363" spans="1:14" x14ac:dyDescent="0.25">
      <c r="A1363">
        <v>1302.2694650000001</v>
      </c>
      <c r="B1363" s="1">
        <f>DATE(2013,11,23) + TIME(6,28,1)</f>
        <v>41601.269456018519</v>
      </c>
      <c r="C1363">
        <v>80</v>
      </c>
      <c r="D1363">
        <v>77.759986877000003</v>
      </c>
      <c r="E1363">
        <v>50</v>
      </c>
      <c r="F1363">
        <v>49.947132111000002</v>
      </c>
      <c r="G1363">
        <v>1320.2382812000001</v>
      </c>
      <c r="H1363">
        <v>1314.8498535000001</v>
      </c>
      <c r="I1363">
        <v>1359.0429687999999</v>
      </c>
      <c r="J1363">
        <v>1349.6527100000001</v>
      </c>
      <c r="K1363">
        <v>0</v>
      </c>
      <c r="L1363">
        <v>1100</v>
      </c>
      <c r="M1363">
        <v>1100</v>
      </c>
      <c r="N1363">
        <v>0</v>
      </c>
    </row>
    <row r="1364" spans="1:14" x14ac:dyDescent="0.25">
      <c r="A1364">
        <v>1303.559908</v>
      </c>
      <c r="B1364" s="1">
        <f>DATE(2013,11,24) + TIME(13,26,16)</f>
        <v>41602.559907407405</v>
      </c>
      <c r="C1364">
        <v>80</v>
      </c>
      <c r="D1364">
        <v>77.658599854000002</v>
      </c>
      <c r="E1364">
        <v>50</v>
      </c>
      <c r="F1364">
        <v>49.947242737000003</v>
      </c>
      <c r="G1364">
        <v>1320.2006836</v>
      </c>
      <c r="H1364">
        <v>1314.8018798999999</v>
      </c>
      <c r="I1364">
        <v>1359.0294189000001</v>
      </c>
      <c r="J1364">
        <v>1349.6431885</v>
      </c>
      <c r="K1364">
        <v>0</v>
      </c>
      <c r="L1364">
        <v>1100</v>
      </c>
      <c r="M1364">
        <v>1100</v>
      </c>
      <c r="N1364">
        <v>0</v>
      </c>
    </row>
    <row r="1365" spans="1:14" x14ac:dyDescent="0.25">
      <c r="A1365">
        <v>1304.8931640000001</v>
      </c>
      <c r="B1365" s="1">
        <f>DATE(2013,11,25) + TIME(21,26,9)</f>
        <v>41603.893159722225</v>
      </c>
      <c r="C1365">
        <v>80</v>
      </c>
      <c r="D1365">
        <v>77.555595397999994</v>
      </c>
      <c r="E1365">
        <v>50</v>
      </c>
      <c r="F1365">
        <v>49.947338104000004</v>
      </c>
      <c r="G1365">
        <v>1320.1613769999999</v>
      </c>
      <c r="H1365">
        <v>1314.7514647999999</v>
      </c>
      <c r="I1365">
        <v>1359.0161132999999</v>
      </c>
      <c r="J1365">
        <v>1349.6340332</v>
      </c>
      <c r="K1365">
        <v>0</v>
      </c>
      <c r="L1365">
        <v>1100</v>
      </c>
      <c r="M1365">
        <v>1100</v>
      </c>
      <c r="N1365">
        <v>0</v>
      </c>
    </row>
    <row r="1366" spans="1:14" x14ac:dyDescent="0.25">
      <c r="A1366">
        <v>1306.2537649999999</v>
      </c>
      <c r="B1366" s="1">
        <f>DATE(2013,11,27) + TIME(6,5,25)</f>
        <v>41605.253761574073</v>
      </c>
      <c r="C1366">
        <v>80</v>
      </c>
      <c r="D1366">
        <v>77.451667786000002</v>
      </c>
      <c r="E1366">
        <v>50</v>
      </c>
      <c r="F1366">
        <v>49.947418212999999</v>
      </c>
      <c r="G1366">
        <v>1320.1201172000001</v>
      </c>
      <c r="H1366">
        <v>1314.6983643000001</v>
      </c>
      <c r="I1366">
        <v>1359.003418</v>
      </c>
      <c r="J1366">
        <v>1349.6251221</v>
      </c>
      <c r="K1366">
        <v>0</v>
      </c>
      <c r="L1366">
        <v>1100</v>
      </c>
      <c r="M1366">
        <v>1100</v>
      </c>
      <c r="N1366">
        <v>0</v>
      </c>
    </row>
    <row r="1367" spans="1:14" x14ac:dyDescent="0.25">
      <c r="A1367">
        <v>1307.6404729999999</v>
      </c>
      <c r="B1367" s="1">
        <f>DATE(2013,11,28) + TIME(15,22,16)</f>
        <v>41606.640462962961</v>
      </c>
      <c r="C1367">
        <v>80</v>
      </c>
      <c r="D1367">
        <v>77.347045898000005</v>
      </c>
      <c r="E1367">
        <v>50</v>
      </c>
      <c r="F1367">
        <v>49.947490692000002</v>
      </c>
      <c r="G1367">
        <v>1320.0772704999999</v>
      </c>
      <c r="H1367">
        <v>1314.6430664</v>
      </c>
      <c r="I1367">
        <v>1358.9910889</v>
      </c>
      <c r="J1367">
        <v>1349.6165771000001</v>
      </c>
      <c r="K1367">
        <v>0</v>
      </c>
      <c r="L1367">
        <v>1100</v>
      </c>
      <c r="M1367">
        <v>1100</v>
      </c>
      <c r="N1367">
        <v>0</v>
      </c>
    </row>
    <row r="1368" spans="1:14" x14ac:dyDescent="0.25">
      <c r="A1368">
        <v>1309.0565449999999</v>
      </c>
      <c r="B1368" s="1">
        <f>DATE(2013,11,30) + TIME(1,21,25)</f>
        <v>41608.056539351855</v>
      </c>
      <c r="C1368">
        <v>80</v>
      </c>
      <c r="D1368">
        <v>77.241722107000001</v>
      </c>
      <c r="E1368">
        <v>50</v>
      </c>
      <c r="F1368">
        <v>49.947555542000003</v>
      </c>
      <c r="G1368">
        <v>1320.0329589999999</v>
      </c>
      <c r="H1368">
        <v>1314.5856934000001</v>
      </c>
      <c r="I1368">
        <v>1358.9792480000001</v>
      </c>
      <c r="J1368">
        <v>1349.6083983999999</v>
      </c>
      <c r="K1368">
        <v>0</v>
      </c>
      <c r="L1368">
        <v>1100</v>
      </c>
      <c r="M1368">
        <v>1100</v>
      </c>
      <c r="N1368">
        <v>0</v>
      </c>
    </row>
    <row r="1369" spans="1:14" x14ac:dyDescent="0.25">
      <c r="A1369">
        <v>1310</v>
      </c>
      <c r="B1369" s="1">
        <f>DATE(2013,12,1) + TIME(0,0,0)</f>
        <v>41609</v>
      </c>
      <c r="C1369">
        <v>80</v>
      </c>
      <c r="D1369">
        <v>77.160545349000003</v>
      </c>
      <c r="E1369">
        <v>50</v>
      </c>
      <c r="F1369">
        <v>49.947593689000001</v>
      </c>
      <c r="G1369">
        <v>1319.987793</v>
      </c>
      <c r="H1369">
        <v>1314.5285644999999</v>
      </c>
      <c r="I1369">
        <v>1358.9676514</v>
      </c>
      <c r="J1369">
        <v>1349.6002197</v>
      </c>
      <c r="K1369">
        <v>0</v>
      </c>
      <c r="L1369">
        <v>1100</v>
      </c>
      <c r="M1369">
        <v>1100</v>
      </c>
      <c r="N1369">
        <v>0</v>
      </c>
    </row>
    <row r="1370" spans="1:14" x14ac:dyDescent="0.25">
      <c r="A1370">
        <v>1311.4432420000001</v>
      </c>
      <c r="B1370" s="1">
        <f>DATE(2013,12,2) + TIME(10,38,16)</f>
        <v>41610.443240740744</v>
      </c>
      <c r="C1370">
        <v>80</v>
      </c>
      <c r="D1370">
        <v>77.060134887999993</v>
      </c>
      <c r="E1370">
        <v>50</v>
      </c>
      <c r="F1370">
        <v>49.947650908999996</v>
      </c>
      <c r="G1370">
        <v>1319.9549560999999</v>
      </c>
      <c r="H1370">
        <v>1314.4833983999999</v>
      </c>
      <c r="I1370">
        <v>1358.9608154</v>
      </c>
      <c r="J1370">
        <v>1349.5955810999999</v>
      </c>
      <c r="K1370">
        <v>0</v>
      </c>
      <c r="L1370">
        <v>1100</v>
      </c>
      <c r="M1370">
        <v>1100</v>
      </c>
      <c r="N1370">
        <v>0</v>
      </c>
    </row>
    <row r="1371" spans="1:14" x14ac:dyDescent="0.25">
      <c r="A1371">
        <v>1312.9300499999999</v>
      </c>
      <c r="B1371" s="1">
        <f>DATE(2013,12,3) + TIME(22,19,16)</f>
        <v>41611.930046296293</v>
      </c>
      <c r="C1371">
        <v>80</v>
      </c>
      <c r="D1371">
        <v>76.956680297999995</v>
      </c>
      <c r="E1371">
        <v>50</v>
      </c>
      <c r="F1371">
        <v>49.947704315000003</v>
      </c>
      <c r="G1371">
        <v>1319.9073486</v>
      </c>
      <c r="H1371">
        <v>1314.4213867000001</v>
      </c>
      <c r="I1371">
        <v>1358.9501952999999</v>
      </c>
      <c r="J1371">
        <v>1349.5882568</v>
      </c>
      <c r="K1371">
        <v>0</v>
      </c>
      <c r="L1371">
        <v>1100</v>
      </c>
      <c r="M1371">
        <v>1100</v>
      </c>
      <c r="N1371">
        <v>0</v>
      </c>
    </row>
    <row r="1372" spans="1:14" x14ac:dyDescent="0.25">
      <c r="A1372">
        <v>1314.4466010000001</v>
      </c>
      <c r="B1372" s="1">
        <f>DATE(2013,12,5) + TIME(10,43,6)</f>
        <v>41613.446597222224</v>
      </c>
      <c r="C1372">
        <v>80</v>
      </c>
      <c r="D1372">
        <v>76.851333617999998</v>
      </c>
      <c r="E1372">
        <v>50</v>
      </c>
      <c r="F1372">
        <v>49.947753906000003</v>
      </c>
      <c r="G1372">
        <v>1319.8574219</v>
      </c>
      <c r="H1372">
        <v>1314.3562012</v>
      </c>
      <c r="I1372">
        <v>1358.9399414</v>
      </c>
      <c r="J1372">
        <v>1349.5810547000001</v>
      </c>
      <c r="K1372">
        <v>0</v>
      </c>
      <c r="L1372">
        <v>1100</v>
      </c>
      <c r="M1372">
        <v>1100</v>
      </c>
      <c r="N1372">
        <v>0</v>
      </c>
    </row>
    <row r="1373" spans="1:14" x14ac:dyDescent="0.25">
      <c r="A1373">
        <v>1315.997046</v>
      </c>
      <c r="B1373" s="1">
        <f>DATE(2013,12,6) + TIME(23,55,44)</f>
        <v>41614.997037037036</v>
      </c>
      <c r="C1373">
        <v>80</v>
      </c>
      <c r="D1373">
        <v>76.744506835999999</v>
      </c>
      <c r="E1373">
        <v>50</v>
      </c>
      <c r="F1373">
        <v>49.947803497000002</v>
      </c>
      <c r="G1373">
        <v>1319.8056641000001</v>
      </c>
      <c r="H1373">
        <v>1314.2882079999999</v>
      </c>
      <c r="I1373">
        <v>1358.9299315999999</v>
      </c>
      <c r="J1373">
        <v>1349.5742187999999</v>
      </c>
      <c r="K1373">
        <v>0</v>
      </c>
      <c r="L1373">
        <v>1100</v>
      </c>
      <c r="M1373">
        <v>1100</v>
      </c>
      <c r="N1373">
        <v>0</v>
      </c>
    </row>
    <row r="1374" spans="1:14" x14ac:dyDescent="0.25">
      <c r="A1374">
        <v>1317.5850439999999</v>
      </c>
      <c r="B1374" s="1">
        <f>DATE(2013,12,8) + TIME(14,2,27)</f>
        <v>41616.585034722222</v>
      </c>
      <c r="C1374">
        <v>80</v>
      </c>
      <c r="D1374">
        <v>76.636329650999997</v>
      </c>
      <c r="E1374">
        <v>50</v>
      </c>
      <c r="F1374">
        <v>49.947849273999999</v>
      </c>
      <c r="G1374">
        <v>1319.7519531</v>
      </c>
      <c r="H1374">
        <v>1314.2172852000001</v>
      </c>
      <c r="I1374">
        <v>1358.9202881000001</v>
      </c>
      <c r="J1374">
        <v>1349.5675048999999</v>
      </c>
      <c r="K1374">
        <v>0</v>
      </c>
      <c r="L1374">
        <v>1100</v>
      </c>
      <c r="M1374">
        <v>1100</v>
      </c>
      <c r="N1374">
        <v>0</v>
      </c>
    </row>
    <row r="1375" spans="1:14" x14ac:dyDescent="0.25">
      <c r="A1375">
        <v>1319.2143410000001</v>
      </c>
      <c r="B1375" s="1">
        <f>DATE(2013,12,10) + TIME(5,8,39)</f>
        <v>41618.21434027778</v>
      </c>
      <c r="C1375">
        <v>80</v>
      </c>
      <c r="D1375">
        <v>76.526809692</v>
      </c>
      <c r="E1375">
        <v>50</v>
      </c>
      <c r="F1375">
        <v>49.94789505</v>
      </c>
      <c r="G1375">
        <v>1319.6960449000001</v>
      </c>
      <c r="H1375">
        <v>1314.1435547000001</v>
      </c>
      <c r="I1375">
        <v>1358.9108887</v>
      </c>
      <c r="J1375">
        <v>1349.5610352000001</v>
      </c>
      <c r="K1375">
        <v>0</v>
      </c>
      <c r="L1375">
        <v>1100</v>
      </c>
      <c r="M1375">
        <v>1100</v>
      </c>
      <c r="N1375">
        <v>0</v>
      </c>
    </row>
    <row r="1376" spans="1:14" x14ac:dyDescent="0.25">
      <c r="A1376">
        <v>1320.8888260000001</v>
      </c>
      <c r="B1376" s="1">
        <f>DATE(2013,12,11) + TIME(21,19,54)</f>
        <v>41619.888819444444</v>
      </c>
      <c r="C1376">
        <v>80</v>
      </c>
      <c r="D1376">
        <v>76.415824889999996</v>
      </c>
      <c r="E1376">
        <v>50</v>
      </c>
      <c r="F1376">
        <v>49.947940826</v>
      </c>
      <c r="G1376">
        <v>1319.6379394999999</v>
      </c>
      <c r="H1376">
        <v>1314.0665283000001</v>
      </c>
      <c r="I1376">
        <v>1358.9017334</v>
      </c>
      <c r="J1376">
        <v>1349.5546875</v>
      </c>
      <c r="K1376">
        <v>0</v>
      </c>
      <c r="L1376">
        <v>1100</v>
      </c>
      <c r="M1376">
        <v>1100</v>
      </c>
      <c r="N1376">
        <v>0</v>
      </c>
    </row>
    <row r="1377" spans="1:14" x14ac:dyDescent="0.25">
      <c r="A1377">
        <v>1322.6126059999999</v>
      </c>
      <c r="B1377" s="1">
        <f>DATE(2013,12,13) + TIME(14,42,9)</f>
        <v>41621.612604166665</v>
      </c>
      <c r="C1377">
        <v>80</v>
      </c>
      <c r="D1377">
        <v>76.303222656000003</v>
      </c>
      <c r="E1377">
        <v>50</v>
      </c>
      <c r="F1377">
        <v>49.947990417</v>
      </c>
      <c r="G1377">
        <v>1319.5775146000001</v>
      </c>
      <c r="H1377">
        <v>1313.9860839999999</v>
      </c>
      <c r="I1377">
        <v>1358.8928223</v>
      </c>
      <c r="J1377">
        <v>1349.5484618999999</v>
      </c>
      <c r="K1377">
        <v>0</v>
      </c>
      <c r="L1377">
        <v>1100</v>
      </c>
      <c r="M1377">
        <v>1100</v>
      </c>
      <c r="N1377">
        <v>0</v>
      </c>
    </row>
    <row r="1378" spans="1:14" x14ac:dyDescent="0.25">
      <c r="A1378">
        <v>1324.390046</v>
      </c>
      <c r="B1378" s="1">
        <f>DATE(2013,12,15) + TIME(9,21,39)</f>
        <v>41623.390034722222</v>
      </c>
      <c r="C1378">
        <v>80</v>
      </c>
      <c r="D1378">
        <v>76.188812256000006</v>
      </c>
      <c r="E1378">
        <v>50</v>
      </c>
      <c r="F1378">
        <v>49.948036193999997</v>
      </c>
      <c r="G1378">
        <v>1319.5144043</v>
      </c>
      <c r="H1378">
        <v>1313.9019774999999</v>
      </c>
      <c r="I1378">
        <v>1358.8840332</v>
      </c>
      <c r="J1378">
        <v>1349.5424805</v>
      </c>
      <c r="K1378">
        <v>0</v>
      </c>
      <c r="L1378">
        <v>1100</v>
      </c>
      <c r="M1378">
        <v>1100</v>
      </c>
      <c r="N1378">
        <v>0</v>
      </c>
    </row>
    <row r="1379" spans="1:14" x14ac:dyDescent="0.25">
      <c r="A1379">
        <v>1326.2257830000001</v>
      </c>
      <c r="B1379" s="1">
        <f>DATE(2013,12,17) + TIME(5,25,7)</f>
        <v>41625.225775462961</v>
      </c>
      <c r="C1379">
        <v>80</v>
      </c>
      <c r="D1379">
        <v>76.072349548000005</v>
      </c>
      <c r="E1379">
        <v>50</v>
      </c>
      <c r="F1379">
        <v>49.948085785000004</v>
      </c>
      <c r="G1379">
        <v>1319.4484863</v>
      </c>
      <c r="H1379">
        <v>1313.8139647999999</v>
      </c>
      <c r="I1379">
        <v>1358.8753661999999</v>
      </c>
      <c r="J1379">
        <v>1349.536499</v>
      </c>
      <c r="K1379">
        <v>0</v>
      </c>
      <c r="L1379">
        <v>1100</v>
      </c>
      <c r="M1379">
        <v>1100</v>
      </c>
      <c r="N1379">
        <v>0</v>
      </c>
    </row>
    <row r="1380" spans="1:14" x14ac:dyDescent="0.25">
      <c r="A1380">
        <v>1328.1247370000001</v>
      </c>
      <c r="B1380" s="1">
        <f>DATE(2013,12,19) + TIME(2,59,37)</f>
        <v>41627.1247337963</v>
      </c>
      <c r="C1380">
        <v>80</v>
      </c>
      <c r="D1380">
        <v>75.953598021999994</v>
      </c>
      <c r="E1380">
        <v>50</v>
      </c>
      <c r="F1380">
        <v>49.948135376000003</v>
      </c>
      <c r="G1380">
        <v>1319.3795166</v>
      </c>
      <c r="H1380">
        <v>1313.7216797000001</v>
      </c>
      <c r="I1380">
        <v>1358.8669434000001</v>
      </c>
      <c r="J1380">
        <v>1349.5307617000001</v>
      </c>
      <c r="K1380">
        <v>0</v>
      </c>
      <c r="L1380">
        <v>1100</v>
      </c>
      <c r="M1380">
        <v>1100</v>
      </c>
      <c r="N1380">
        <v>0</v>
      </c>
    </row>
    <row r="1381" spans="1:14" x14ac:dyDescent="0.25">
      <c r="A1381">
        <v>1330.080778</v>
      </c>
      <c r="B1381" s="1">
        <f>DATE(2013,12,21) + TIME(1,56,19)</f>
        <v>41629.080775462964</v>
      </c>
      <c r="C1381">
        <v>80</v>
      </c>
      <c r="D1381">
        <v>75.832633971999996</v>
      </c>
      <c r="E1381">
        <v>50</v>
      </c>
      <c r="F1381">
        <v>49.948188782000003</v>
      </c>
      <c r="G1381">
        <v>1319.3073730000001</v>
      </c>
      <c r="H1381">
        <v>1313.6247559000001</v>
      </c>
      <c r="I1381">
        <v>1358.8585204999999</v>
      </c>
      <c r="J1381">
        <v>1349.5250243999999</v>
      </c>
      <c r="K1381">
        <v>0</v>
      </c>
      <c r="L1381">
        <v>1100</v>
      </c>
      <c r="M1381">
        <v>1100</v>
      </c>
      <c r="N1381">
        <v>0</v>
      </c>
    </row>
    <row r="1382" spans="1:14" x14ac:dyDescent="0.25">
      <c r="A1382">
        <v>1332.0663609999999</v>
      </c>
      <c r="B1382" s="1">
        <f>DATE(2013,12,23) + TIME(1,35,33)</f>
        <v>41631.066354166665</v>
      </c>
      <c r="C1382">
        <v>80</v>
      </c>
      <c r="D1382">
        <v>75.71031189</v>
      </c>
      <c r="E1382">
        <v>50</v>
      </c>
      <c r="F1382">
        <v>49.948242188000002</v>
      </c>
      <c r="G1382">
        <v>1319.2320557</v>
      </c>
      <c r="H1382">
        <v>1313.5235596</v>
      </c>
      <c r="I1382">
        <v>1358.8503418</v>
      </c>
      <c r="J1382">
        <v>1349.5194091999999</v>
      </c>
      <c r="K1382">
        <v>0</v>
      </c>
      <c r="L1382">
        <v>1100</v>
      </c>
      <c r="M1382">
        <v>1100</v>
      </c>
      <c r="N1382">
        <v>0</v>
      </c>
    </row>
    <row r="1383" spans="1:14" x14ac:dyDescent="0.25">
      <c r="A1383">
        <v>1334.0864630000001</v>
      </c>
      <c r="B1383" s="1">
        <f>DATE(2013,12,25) + TIME(2,4,30)</f>
        <v>41633.086458333331</v>
      </c>
      <c r="C1383">
        <v>80</v>
      </c>
      <c r="D1383">
        <v>75.586914062000005</v>
      </c>
      <c r="E1383">
        <v>50</v>
      </c>
      <c r="F1383">
        <v>49.948295592999997</v>
      </c>
      <c r="G1383">
        <v>1319.1545410000001</v>
      </c>
      <c r="H1383">
        <v>1313.4190673999999</v>
      </c>
      <c r="I1383">
        <v>1358.8424072</v>
      </c>
      <c r="J1383">
        <v>1349.5139160000001</v>
      </c>
      <c r="K1383">
        <v>0</v>
      </c>
      <c r="L1383">
        <v>1100</v>
      </c>
      <c r="M1383">
        <v>1100</v>
      </c>
      <c r="N1383">
        <v>0</v>
      </c>
    </row>
    <row r="1384" spans="1:14" x14ac:dyDescent="0.25">
      <c r="A1384">
        <v>1336.1453879999999</v>
      </c>
      <c r="B1384" s="1">
        <f>DATE(2013,12,27) + TIME(3,29,21)</f>
        <v>41635.145381944443</v>
      </c>
      <c r="C1384">
        <v>80</v>
      </c>
      <c r="D1384">
        <v>75.462417603000006</v>
      </c>
      <c r="E1384">
        <v>50</v>
      </c>
      <c r="F1384">
        <v>49.948348998999997</v>
      </c>
      <c r="G1384">
        <v>1319.0745850000001</v>
      </c>
      <c r="H1384">
        <v>1313.3110352000001</v>
      </c>
      <c r="I1384">
        <v>1358.8345947</v>
      </c>
      <c r="J1384">
        <v>1349.5086670000001</v>
      </c>
      <c r="K1384">
        <v>0</v>
      </c>
      <c r="L1384">
        <v>1100</v>
      </c>
      <c r="M1384">
        <v>1100</v>
      </c>
      <c r="N1384">
        <v>0</v>
      </c>
    </row>
    <row r="1385" spans="1:14" x14ac:dyDescent="0.25">
      <c r="A1385">
        <v>1338.2473849999999</v>
      </c>
      <c r="B1385" s="1">
        <f>DATE(2013,12,29) + TIME(5,56,14)</f>
        <v>41637.247384259259</v>
      </c>
      <c r="C1385">
        <v>80</v>
      </c>
      <c r="D1385">
        <v>75.336654663000004</v>
      </c>
      <c r="E1385">
        <v>50</v>
      </c>
      <c r="F1385">
        <v>49.948402405000003</v>
      </c>
      <c r="G1385">
        <v>1318.9920654</v>
      </c>
      <c r="H1385">
        <v>1313.1993408000001</v>
      </c>
      <c r="I1385">
        <v>1358.8270264</v>
      </c>
      <c r="J1385">
        <v>1349.5035399999999</v>
      </c>
      <c r="K1385">
        <v>0</v>
      </c>
      <c r="L1385">
        <v>1100</v>
      </c>
      <c r="M1385">
        <v>1100</v>
      </c>
      <c r="N1385">
        <v>0</v>
      </c>
    </row>
    <row r="1386" spans="1:14" x14ac:dyDescent="0.25">
      <c r="A1386">
        <v>1340.3967789999999</v>
      </c>
      <c r="B1386" s="1">
        <f>DATE(2013,12,31) + TIME(9,31,21)</f>
        <v>41639.396770833337</v>
      </c>
      <c r="C1386">
        <v>80</v>
      </c>
      <c r="D1386">
        <v>75.209373474000003</v>
      </c>
      <c r="E1386">
        <v>50</v>
      </c>
      <c r="F1386">
        <v>49.948459624999998</v>
      </c>
      <c r="G1386">
        <v>1318.9069824000001</v>
      </c>
      <c r="H1386">
        <v>1313.0836182</v>
      </c>
      <c r="I1386">
        <v>1358.8197021000001</v>
      </c>
      <c r="J1386">
        <v>1349.4985352000001</v>
      </c>
      <c r="K1386">
        <v>0</v>
      </c>
      <c r="L1386">
        <v>1100</v>
      </c>
      <c r="M1386">
        <v>1100</v>
      </c>
      <c r="N1386">
        <v>0</v>
      </c>
    </row>
    <row r="1387" spans="1:14" x14ac:dyDescent="0.25">
      <c r="A1387">
        <v>1341</v>
      </c>
      <c r="B1387" s="1">
        <f>DATE(2014,1,1) + TIME(0,0,0)</f>
        <v>41640</v>
      </c>
      <c r="C1387">
        <v>80</v>
      </c>
      <c r="D1387">
        <v>75.151168823000006</v>
      </c>
      <c r="E1387">
        <v>50</v>
      </c>
      <c r="F1387">
        <v>49.948474883999999</v>
      </c>
      <c r="G1387">
        <v>1318.8258057</v>
      </c>
      <c r="H1387">
        <v>1312.9797363</v>
      </c>
      <c r="I1387">
        <v>1358.8115233999999</v>
      </c>
      <c r="J1387">
        <v>1349.4929199000001</v>
      </c>
      <c r="K1387">
        <v>0</v>
      </c>
      <c r="L1387">
        <v>1100</v>
      </c>
      <c r="M1387">
        <v>1100</v>
      </c>
      <c r="N1387">
        <v>0</v>
      </c>
    </row>
    <row r="1388" spans="1:14" x14ac:dyDescent="0.25">
      <c r="A1388">
        <v>1343.2012480000001</v>
      </c>
      <c r="B1388" s="1">
        <f>DATE(2014,1,3) + TIME(4,49,47)</f>
        <v>41642.201238425929</v>
      </c>
      <c r="C1388">
        <v>80</v>
      </c>
      <c r="D1388">
        <v>75.034217834000003</v>
      </c>
      <c r="E1388">
        <v>50</v>
      </c>
      <c r="F1388">
        <v>49.948535919000001</v>
      </c>
      <c r="G1388">
        <v>1318.7897949000001</v>
      </c>
      <c r="H1388">
        <v>1312.9224853999999</v>
      </c>
      <c r="I1388">
        <v>1358.8105469</v>
      </c>
      <c r="J1388">
        <v>1349.4923096</v>
      </c>
      <c r="K1388">
        <v>0</v>
      </c>
      <c r="L1388">
        <v>1100</v>
      </c>
      <c r="M1388">
        <v>1100</v>
      </c>
      <c r="N1388">
        <v>0</v>
      </c>
    </row>
    <row r="1389" spans="1:14" x14ac:dyDescent="0.25">
      <c r="A1389">
        <v>1345.476255</v>
      </c>
      <c r="B1389" s="1">
        <f>DATE(2014,1,5) + TIME(11,25,48)</f>
        <v>41644.47625</v>
      </c>
      <c r="C1389">
        <v>80</v>
      </c>
      <c r="D1389">
        <v>74.908180236999996</v>
      </c>
      <c r="E1389">
        <v>50</v>
      </c>
      <c r="F1389">
        <v>49.94859314</v>
      </c>
      <c r="G1389">
        <v>1318.7006836</v>
      </c>
      <c r="H1389">
        <v>1312.8017577999999</v>
      </c>
      <c r="I1389">
        <v>1358.8034668</v>
      </c>
      <c r="J1389">
        <v>1349.4875488</v>
      </c>
      <c r="K1389">
        <v>0</v>
      </c>
      <c r="L1389">
        <v>1100</v>
      </c>
      <c r="M1389">
        <v>1100</v>
      </c>
      <c r="N1389">
        <v>0</v>
      </c>
    </row>
    <row r="1390" spans="1:14" x14ac:dyDescent="0.25">
      <c r="A1390">
        <v>1347.8134729999999</v>
      </c>
      <c r="B1390" s="1">
        <f>DATE(2014,1,7) + TIME(19,31,24)</f>
        <v>41646.813472222224</v>
      </c>
      <c r="C1390">
        <v>80</v>
      </c>
      <c r="D1390">
        <v>74.776184082</v>
      </c>
      <c r="E1390">
        <v>50</v>
      </c>
      <c r="F1390">
        <v>49.948657990000001</v>
      </c>
      <c r="G1390">
        <v>1318.6063231999999</v>
      </c>
      <c r="H1390">
        <v>1312.6732178</v>
      </c>
      <c r="I1390">
        <v>1358.7963867000001</v>
      </c>
      <c r="J1390">
        <v>1349.4829102000001</v>
      </c>
      <c r="K1390">
        <v>0</v>
      </c>
      <c r="L1390">
        <v>1100</v>
      </c>
      <c r="M1390">
        <v>1100</v>
      </c>
      <c r="N1390">
        <v>0</v>
      </c>
    </row>
    <row r="1391" spans="1:14" x14ac:dyDescent="0.25">
      <c r="A1391">
        <v>1350.218687</v>
      </c>
      <c r="B1391" s="1">
        <f>DATE(2014,1,10) + TIME(5,14,54)</f>
        <v>41649.218680555554</v>
      </c>
      <c r="C1391">
        <v>80</v>
      </c>
      <c r="D1391">
        <v>74.639640807999996</v>
      </c>
      <c r="E1391">
        <v>50</v>
      </c>
      <c r="F1391">
        <v>49.948719025000003</v>
      </c>
      <c r="G1391">
        <v>1318.5076904</v>
      </c>
      <c r="H1391">
        <v>1312.5383300999999</v>
      </c>
      <c r="I1391">
        <v>1358.7894286999999</v>
      </c>
      <c r="J1391">
        <v>1349.4782714999999</v>
      </c>
      <c r="K1391">
        <v>0</v>
      </c>
      <c r="L1391">
        <v>1100</v>
      </c>
      <c r="M1391">
        <v>1100</v>
      </c>
      <c r="N1391">
        <v>0</v>
      </c>
    </row>
    <row r="1392" spans="1:14" x14ac:dyDescent="0.25">
      <c r="A1392">
        <v>1352.697604</v>
      </c>
      <c r="B1392" s="1">
        <f>DATE(2014,1,12) + TIME(16,44,32)</f>
        <v>41651.697592592594</v>
      </c>
      <c r="C1392">
        <v>80</v>
      </c>
      <c r="D1392">
        <v>74.498878478999998</v>
      </c>
      <c r="E1392">
        <v>50</v>
      </c>
      <c r="F1392">
        <v>49.948787689</v>
      </c>
      <c r="G1392">
        <v>1318.4050293</v>
      </c>
      <c r="H1392">
        <v>1312.3974608999999</v>
      </c>
      <c r="I1392">
        <v>1358.7825928</v>
      </c>
      <c r="J1392">
        <v>1349.4737548999999</v>
      </c>
      <c r="K1392">
        <v>0</v>
      </c>
      <c r="L1392">
        <v>1100</v>
      </c>
      <c r="M1392">
        <v>1100</v>
      </c>
      <c r="N1392">
        <v>0</v>
      </c>
    </row>
    <row r="1393" spans="1:14" x14ac:dyDescent="0.25">
      <c r="A1393">
        <v>1355.255105</v>
      </c>
      <c r="B1393" s="1">
        <f>DATE(2014,1,15) + TIME(6,7,21)</f>
        <v>41654.255104166667</v>
      </c>
      <c r="C1393">
        <v>80</v>
      </c>
      <c r="D1393">
        <v>74.353790282999995</v>
      </c>
      <c r="E1393">
        <v>50</v>
      </c>
      <c r="F1393">
        <v>49.948852539000001</v>
      </c>
      <c r="G1393">
        <v>1318.2980957</v>
      </c>
      <c r="H1393">
        <v>1312.2503661999999</v>
      </c>
      <c r="I1393">
        <v>1358.7757568</v>
      </c>
      <c r="J1393">
        <v>1349.4692382999999</v>
      </c>
      <c r="K1393">
        <v>0</v>
      </c>
      <c r="L1393">
        <v>1100</v>
      </c>
      <c r="M1393">
        <v>1100</v>
      </c>
      <c r="N1393">
        <v>0</v>
      </c>
    </row>
    <row r="1394" spans="1:14" x14ac:dyDescent="0.25">
      <c r="A1394">
        <v>1357.8980790000001</v>
      </c>
      <c r="B1394" s="1">
        <f>DATE(2014,1,17) + TIME(21,33,14)</f>
        <v>41656.898078703707</v>
      </c>
      <c r="C1394">
        <v>80</v>
      </c>
      <c r="D1394">
        <v>74.203987122000001</v>
      </c>
      <c r="E1394">
        <v>50</v>
      </c>
      <c r="F1394">
        <v>49.948921204000001</v>
      </c>
      <c r="G1394">
        <v>1318.1866454999999</v>
      </c>
      <c r="H1394">
        <v>1312.0966797000001</v>
      </c>
      <c r="I1394">
        <v>1358.7689209</v>
      </c>
      <c r="J1394">
        <v>1349.4647216999999</v>
      </c>
      <c r="K1394">
        <v>0</v>
      </c>
      <c r="L1394">
        <v>1100</v>
      </c>
      <c r="M1394">
        <v>1100</v>
      </c>
      <c r="N1394">
        <v>0</v>
      </c>
    </row>
    <row r="1395" spans="1:14" x14ac:dyDescent="0.25">
      <c r="A1395">
        <v>1360.5966800000001</v>
      </c>
      <c r="B1395" s="1">
        <f>DATE(2014,1,20) + TIME(14,19,13)</f>
        <v>41659.596678240741</v>
      </c>
      <c r="C1395">
        <v>80</v>
      </c>
      <c r="D1395">
        <v>74.049758910999998</v>
      </c>
      <c r="E1395">
        <v>50</v>
      </c>
      <c r="F1395">
        <v>49.948993682999998</v>
      </c>
      <c r="G1395">
        <v>1318.0704346</v>
      </c>
      <c r="H1395">
        <v>1311.9365233999999</v>
      </c>
      <c r="I1395">
        <v>1358.7620850000001</v>
      </c>
      <c r="J1395">
        <v>1349.4602050999999</v>
      </c>
      <c r="K1395">
        <v>0</v>
      </c>
      <c r="L1395">
        <v>1100</v>
      </c>
      <c r="M1395">
        <v>1100</v>
      </c>
      <c r="N1395">
        <v>0</v>
      </c>
    </row>
    <row r="1396" spans="1:14" x14ac:dyDescent="0.25">
      <c r="A1396">
        <v>1363.3560239999999</v>
      </c>
      <c r="B1396" s="1">
        <f>DATE(2014,1,23) + TIME(8,32,40)</f>
        <v>41662.35601851852</v>
      </c>
      <c r="C1396">
        <v>80</v>
      </c>
      <c r="D1396">
        <v>73.891235351999995</v>
      </c>
      <c r="E1396">
        <v>50</v>
      </c>
      <c r="F1396">
        <v>49.949066162000001</v>
      </c>
      <c r="G1396">
        <v>1317.9506836</v>
      </c>
      <c r="H1396">
        <v>1311.7706298999999</v>
      </c>
      <c r="I1396">
        <v>1358.7553711</v>
      </c>
      <c r="J1396">
        <v>1349.4558105000001</v>
      </c>
      <c r="K1396">
        <v>0</v>
      </c>
      <c r="L1396">
        <v>1100</v>
      </c>
      <c r="M1396">
        <v>1100</v>
      </c>
      <c r="N1396">
        <v>0</v>
      </c>
    </row>
    <row r="1397" spans="1:14" x14ac:dyDescent="0.25">
      <c r="A1397">
        <v>1366.1819519999999</v>
      </c>
      <c r="B1397" s="1">
        <f>DATE(2014,1,26) + TIME(4,22,0)</f>
        <v>41665.181944444441</v>
      </c>
      <c r="C1397">
        <v>80</v>
      </c>
      <c r="D1397">
        <v>73.728065490999995</v>
      </c>
      <c r="E1397">
        <v>50</v>
      </c>
      <c r="F1397">
        <v>49.949138640999998</v>
      </c>
      <c r="G1397">
        <v>1317.8271483999999</v>
      </c>
      <c r="H1397">
        <v>1311.5992432</v>
      </c>
      <c r="I1397">
        <v>1358.7486572</v>
      </c>
      <c r="J1397">
        <v>1349.4514160000001</v>
      </c>
      <c r="K1397">
        <v>0</v>
      </c>
      <c r="L1397">
        <v>1100</v>
      </c>
      <c r="M1397">
        <v>1100</v>
      </c>
      <c r="N1397">
        <v>0</v>
      </c>
    </row>
    <row r="1398" spans="1:14" x14ac:dyDescent="0.25">
      <c r="A1398">
        <v>1369.0805319999999</v>
      </c>
      <c r="B1398" s="1">
        <f>DATE(2014,1,29) + TIME(1,55,57)</f>
        <v>41668.080520833333</v>
      </c>
      <c r="C1398">
        <v>80</v>
      </c>
      <c r="D1398">
        <v>73.559669494999994</v>
      </c>
      <c r="E1398">
        <v>50</v>
      </c>
      <c r="F1398">
        <v>49.949214935000001</v>
      </c>
      <c r="G1398">
        <v>1317.6995850000001</v>
      </c>
      <c r="H1398">
        <v>1311.421875</v>
      </c>
      <c r="I1398">
        <v>1358.7419434000001</v>
      </c>
      <c r="J1398">
        <v>1349.4471435999999</v>
      </c>
      <c r="K1398">
        <v>0</v>
      </c>
      <c r="L1398">
        <v>1100</v>
      </c>
      <c r="M1398">
        <v>1100</v>
      </c>
      <c r="N1398">
        <v>0</v>
      </c>
    </row>
    <row r="1399" spans="1:14" x14ac:dyDescent="0.25">
      <c r="A1399">
        <v>1372</v>
      </c>
      <c r="B1399" s="1">
        <f>DATE(2014,2,1) + TIME(0,0,0)</f>
        <v>41671</v>
      </c>
      <c r="C1399">
        <v>80</v>
      </c>
      <c r="D1399">
        <v>73.386596679999997</v>
      </c>
      <c r="E1399">
        <v>50</v>
      </c>
      <c r="F1399">
        <v>49.949287415000001</v>
      </c>
      <c r="G1399">
        <v>1317.5679932</v>
      </c>
      <c r="H1399">
        <v>1311.2386475000001</v>
      </c>
      <c r="I1399">
        <v>1358.7351074000001</v>
      </c>
      <c r="J1399">
        <v>1349.442749</v>
      </c>
      <c r="K1399">
        <v>0</v>
      </c>
      <c r="L1399">
        <v>1100</v>
      </c>
      <c r="M1399">
        <v>1100</v>
      </c>
      <c r="N1399">
        <v>0</v>
      </c>
    </row>
    <row r="1400" spans="1:14" x14ac:dyDescent="0.25">
      <c r="A1400">
        <v>1374.977719</v>
      </c>
      <c r="B1400" s="1">
        <f>DATE(2014,2,3) + TIME(23,27,54)</f>
        <v>41673.977708333332</v>
      </c>
      <c r="C1400">
        <v>80</v>
      </c>
      <c r="D1400">
        <v>73.208694457999997</v>
      </c>
      <c r="E1400">
        <v>50</v>
      </c>
      <c r="F1400">
        <v>49.949363708</v>
      </c>
      <c r="G1400">
        <v>1317.434082</v>
      </c>
      <c r="H1400">
        <v>1311.0515137</v>
      </c>
      <c r="I1400">
        <v>1358.7285156</v>
      </c>
      <c r="J1400">
        <v>1349.4385986</v>
      </c>
      <c r="K1400">
        <v>0</v>
      </c>
      <c r="L1400">
        <v>1100</v>
      </c>
      <c r="M1400">
        <v>1100</v>
      </c>
      <c r="N1400">
        <v>0</v>
      </c>
    </row>
    <row r="1401" spans="1:14" x14ac:dyDescent="0.25">
      <c r="A1401">
        <v>1378.1033</v>
      </c>
      <c r="B1401" s="1">
        <f>DATE(2014,2,7) + TIME(2,28,45)</f>
        <v>41677.103298611109</v>
      </c>
      <c r="C1401">
        <v>80</v>
      </c>
      <c r="D1401">
        <v>73.023117064999994</v>
      </c>
      <c r="E1401">
        <v>50</v>
      </c>
      <c r="F1401">
        <v>49.949443817000002</v>
      </c>
      <c r="G1401">
        <v>1317.2965088000001</v>
      </c>
      <c r="H1401">
        <v>1310.8587646000001</v>
      </c>
      <c r="I1401">
        <v>1358.7219238</v>
      </c>
      <c r="J1401">
        <v>1349.4343262</v>
      </c>
      <c r="K1401">
        <v>0</v>
      </c>
      <c r="L1401">
        <v>1100</v>
      </c>
      <c r="M1401">
        <v>1100</v>
      </c>
      <c r="N1401">
        <v>0</v>
      </c>
    </row>
    <row r="1402" spans="1:14" x14ac:dyDescent="0.25">
      <c r="A1402">
        <v>1381.2893690000001</v>
      </c>
      <c r="B1402" s="1">
        <f>DATE(2014,2,10) + TIME(6,56,41)</f>
        <v>41680.289363425924</v>
      </c>
      <c r="C1402">
        <v>80</v>
      </c>
      <c r="D1402">
        <v>72.828704834000007</v>
      </c>
      <c r="E1402">
        <v>50</v>
      </c>
      <c r="F1402">
        <v>49.949527740000001</v>
      </c>
      <c r="G1402">
        <v>1317.1524658000001</v>
      </c>
      <c r="H1402">
        <v>1310.6568603999999</v>
      </c>
      <c r="I1402">
        <v>1358.7150879000001</v>
      </c>
      <c r="J1402">
        <v>1349.4300536999999</v>
      </c>
      <c r="K1402">
        <v>0</v>
      </c>
      <c r="L1402">
        <v>1100</v>
      </c>
      <c r="M1402">
        <v>1100</v>
      </c>
      <c r="N1402">
        <v>0</v>
      </c>
    </row>
    <row r="1403" spans="1:14" x14ac:dyDescent="0.25">
      <c r="A1403">
        <v>1384.5453460000001</v>
      </c>
      <c r="B1403" s="1">
        <f>DATE(2014,2,13) + TIME(13,5,17)</f>
        <v>41683.545335648145</v>
      </c>
      <c r="C1403">
        <v>80</v>
      </c>
      <c r="D1403">
        <v>72.625938415999997</v>
      </c>
      <c r="E1403">
        <v>50</v>
      </c>
      <c r="F1403">
        <v>49.949607849000003</v>
      </c>
      <c r="G1403">
        <v>1317.0043945</v>
      </c>
      <c r="H1403">
        <v>1310.4486084</v>
      </c>
      <c r="I1403">
        <v>1358.7081298999999</v>
      </c>
      <c r="J1403">
        <v>1349.4256591999999</v>
      </c>
      <c r="K1403">
        <v>0</v>
      </c>
      <c r="L1403">
        <v>1100</v>
      </c>
      <c r="M1403">
        <v>1100</v>
      </c>
      <c r="N1403">
        <v>0</v>
      </c>
    </row>
    <row r="1404" spans="1:14" x14ac:dyDescent="0.25">
      <c r="A1404">
        <v>1387.879631</v>
      </c>
      <c r="B1404" s="1">
        <f>DATE(2014,2,16) + TIME(21,6,40)</f>
        <v>41686.879629629628</v>
      </c>
      <c r="C1404">
        <v>80</v>
      </c>
      <c r="D1404">
        <v>72.414192200000002</v>
      </c>
      <c r="E1404">
        <v>50</v>
      </c>
      <c r="F1404">
        <v>49.949691772000001</v>
      </c>
      <c r="G1404">
        <v>1316.8524170000001</v>
      </c>
      <c r="H1404">
        <v>1310.2342529</v>
      </c>
      <c r="I1404">
        <v>1358.7011719</v>
      </c>
      <c r="J1404">
        <v>1349.4212646000001</v>
      </c>
      <c r="K1404">
        <v>0</v>
      </c>
      <c r="L1404">
        <v>1100</v>
      </c>
      <c r="M1404">
        <v>1100</v>
      </c>
      <c r="N1404">
        <v>0</v>
      </c>
    </row>
    <row r="1405" spans="1:14" x14ac:dyDescent="0.25">
      <c r="A1405">
        <v>1391.301342</v>
      </c>
      <c r="B1405" s="1">
        <f>DATE(2014,2,20) + TIME(7,13,55)</f>
        <v>41690.30133101852</v>
      </c>
      <c r="C1405">
        <v>80</v>
      </c>
      <c r="D1405">
        <v>72.192405700999998</v>
      </c>
      <c r="E1405">
        <v>50</v>
      </c>
      <c r="F1405">
        <v>49.949775696000003</v>
      </c>
      <c r="G1405">
        <v>1316.6961670000001</v>
      </c>
      <c r="H1405">
        <v>1310.0135498</v>
      </c>
      <c r="I1405">
        <v>1358.6940918</v>
      </c>
      <c r="J1405">
        <v>1349.4168701000001</v>
      </c>
      <c r="K1405">
        <v>0</v>
      </c>
      <c r="L1405">
        <v>1100</v>
      </c>
      <c r="M1405">
        <v>1100</v>
      </c>
      <c r="N1405">
        <v>0</v>
      </c>
    </row>
    <row r="1406" spans="1:14" x14ac:dyDescent="0.25">
      <c r="A1406">
        <v>1394.820199</v>
      </c>
      <c r="B1406" s="1">
        <f>DATE(2014,2,23) + TIME(19,41,5)</f>
        <v>41693.820196759261</v>
      </c>
      <c r="C1406">
        <v>80</v>
      </c>
      <c r="D1406">
        <v>71.959243774000001</v>
      </c>
      <c r="E1406">
        <v>50</v>
      </c>
      <c r="F1406">
        <v>49.949863434000001</v>
      </c>
      <c r="G1406">
        <v>1316.5355225000001</v>
      </c>
      <c r="H1406">
        <v>1309.7858887</v>
      </c>
      <c r="I1406">
        <v>1358.6868896000001</v>
      </c>
      <c r="J1406">
        <v>1349.4123535000001</v>
      </c>
      <c r="K1406">
        <v>0</v>
      </c>
      <c r="L1406">
        <v>1100</v>
      </c>
      <c r="M1406">
        <v>1100</v>
      </c>
      <c r="N1406">
        <v>0</v>
      </c>
    </row>
    <row r="1407" spans="1:14" x14ac:dyDescent="0.25">
      <c r="A1407">
        <v>1398.4273949999999</v>
      </c>
      <c r="B1407" s="1">
        <f>DATE(2014,2,27) + TIME(10,15,26)</f>
        <v>41697.427384259259</v>
      </c>
      <c r="C1407">
        <v>80</v>
      </c>
      <c r="D1407">
        <v>71.713615417</v>
      </c>
      <c r="E1407">
        <v>50</v>
      </c>
      <c r="F1407">
        <v>49.949951171999999</v>
      </c>
      <c r="G1407">
        <v>1316.3702393000001</v>
      </c>
      <c r="H1407">
        <v>1309.5510254000001</v>
      </c>
      <c r="I1407">
        <v>1358.6794434000001</v>
      </c>
      <c r="J1407">
        <v>1349.4077147999999</v>
      </c>
      <c r="K1407">
        <v>0</v>
      </c>
      <c r="L1407">
        <v>1100</v>
      </c>
      <c r="M1407">
        <v>1100</v>
      </c>
      <c r="N1407">
        <v>0</v>
      </c>
    </row>
    <row r="1408" spans="1:14" x14ac:dyDescent="0.25">
      <c r="A1408">
        <v>1400</v>
      </c>
      <c r="B1408" s="1">
        <f>DATE(2014,3,1) + TIME(0,0,0)</f>
        <v>41699</v>
      </c>
      <c r="C1408">
        <v>80</v>
      </c>
      <c r="D1408">
        <v>71.531616210999999</v>
      </c>
      <c r="E1408">
        <v>50</v>
      </c>
      <c r="F1408">
        <v>49.949985503999997</v>
      </c>
      <c r="G1408">
        <v>1316.2087402</v>
      </c>
      <c r="H1408">
        <v>1309.3299560999999</v>
      </c>
      <c r="I1408">
        <v>1358.6711425999999</v>
      </c>
      <c r="J1408">
        <v>1349.4023437999999</v>
      </c>
      <c r="K1408">
        <v>0</v>
      </c>
      <c r="L1408">
        <v>1100</v>
      </c>
      <c r="M1408">
        <v>1100</v>
      </c>
      <c r="N1408">
        <v>0</v>
      </c>
    </row>
    <row r="1409" spans="1:14" x14ac:dyDescent="0.25">
      <c r="A1409">
        <v>1403.6845189999999</v>
      </c>
      <c r="B1409" s="1">
        <f>DATE(2014,3,4) + TIME(16,25,42)</f>
        <v>41702.684513888889</v>
      </c>
      <c r="C1409">
        <v>80</v>
      </c>
      <c r="D1409">
        <v>71.317153931000007</v>
      </c>
      <c r="E1409">
        <v>50</v>
      </c>
      <c r="F1409">
        <v>49.950077057000001</v>
      </c>
      <c r="G1409">
        <v>1316.1143798999999</v>
      </c>
      <c r="H1409">
        <v>1309.1811522999999</v>
      </c>
      <c r="I1409">
        <v>1358.6687012</v>
      </c>
      <c r="J1409">
        <v>1349.4008789</v>
      </c>
      <c r="K1409">
        <v>0</v>
      </c>
      <c r="L1409">
        <v>1100</v>
      </c>
      <c r="M1409">
        <v>1100</v>
      </c>
      <c r="N1409">
        <v>0</v>
      </c>
    </row>
    <row r="1410" spans="1:14" x14ac:dyDescent="0.25">
      <c r="A1410">
        <v>1407.5005349999999</v>
      </c>
      <c r="B1410" s="1">
        <f>DATE(2014,3,8) + TIME(12,0,46)</f>
        <v>41706.500532407408</v>
      </c>
      <c r="C1410">
        <v>80</v>
      </c>
      <c r="D1410">
        <v>71.055297851999995</v>
      </c>
      <c r="E1410">
        <v>50</v>
      </c>
      <c r="F1410">
        <v>49.950168609999999</v>
      </c>
      <c r="G1410">
        <v>1315.9492187999999</v>
      </c>
      <c r="H1410">
        <v>1308.9481201000001</v>
      </c>
      <c r="I1410">
        <v>1358.6607666</v>
      </c>
      <c r="J1410">
        <v>1349.3959961</v>
      </c>
      <c r="K1410">
        <v>0</v>
      </c>
      <c r="L1410">
        <v>1100</v>
      </c>
      <c r="M1410">
        <v>1100</v>
      </c>
      <c r="N1410">
        <v>0</v>
      </c>
    </row>
    <row r="1411" spans="1:14" x14ac:dyDescent="0.25">
      <c r="A1411">
        <v>1411.4208639999999</v>
      </c>
      <c r="B1411" s="1">
        <f>DATE(2014,3,12) + TIME(10,6,2)</f>
        <v>41710.420856481483</v>
      </c>
      <c r="C1411">
        <v>80</v>
      </c>
      <c r="D1411">
        <v>70.766036987000007</v>
      </c>
      <c r="E1411">
        <v>50</v>
      </c>
      <c r="F1411">
        <v>49.950260161999999</v>
      </c>
      <c r="G1411">
        <v>1315.7731934000001</v>
      </c>
      <c r="H1411">
        <v>1308.6966553</v>
      </c>
      <c r="I1411">
        <v>1358.6525879000001</v>
      </c>
      <c r="J1411">
        <v>1349.3908690999999</v>
      </c>
      <c r="K1411">
        <v>0</v>
      </c>
      <c r="L1411">
        <v>1100</v>
      </c>
      <c r="M1411">
        <v>1100</v>
      </c>
      <c r="N1411">
        <v>0</v>
      </c>
    </row>
    <row r="1412" spans="1:14" x14ac:dyDescent="0.25">
      <c r="A1412">
        <v>1415.4600290000001</v>
      </c>
      <c r="B1412" s="1">
        <f>DATE(2014,3,16) + TIME(11,2,26)</f>
        <v>41714.460023148145</v>
      </c>
      <c r="C1412">
        <v>80</v>
      </c>
      <c r="D1412">
        <v>70.455764771000005</v>
      </c>
      <c r="E1412">
        <v>50</v>
      </c>
      <c r="F1412">
        <v>49.950355530000003</v>
      </c>
      <c r="G1412">
        <v>1315.5909423999999</v>
      </c>
      <c r="H1412">
        <v>1308.4344481999999</v>
      </c>
      <c r="I1412">
        <v>1358.6441649999999</v>
      </c>
      <c r="J1412">
        <v>1349.3854980000001</v>
      </c>
      <c r="K1412">
        <v>0</v>
      </c>
      <c r="L1412">
        <v>1100</v>
      </c>
      <c r="M1412">
        <v>1100</v>
      </c>
      <c r="N1412">
        <v>0</v>
      </c>
    </row>
    <row r="1413" spans="1:14" x14ac:dyDescent="0.25">
      <c r="A1413">
        <v>1419.6265800000001</v>
      </c>
      <c r="B1413" s="1">
        <f>DATE(2014,3,20) + TIME(15,2,16)</f>
        <v>41718.626574074071</v>
      </c>
      <c r="C1413">
        <v>80</v>
      </c>
      <c r="D1413">
        <v>70.125030518000003</v>
      </c>
      <c r="E1413">
        <v>50</v>
      </c>
      <c r="F1413">
        <v>49.950450897000003</v>
      </c>
      <c r="G1413">
        <v>1315.4034423999999</v>
      </c>
      <c r="H1413">
        <v>1308.1638184000001</v>
      </c>
      <c r="I1413">
        <v>1358.635376</v>
      </c>
      <c r="J1413">
        <v>1349.3798827999999</v>
      </c>
      <c r="K1413">
        <v>0</v>
      </c>
      <c r="L1413">
        <v>1100</v>
      </c>
      <c r="M1413">
        <v>1100</v>
      </c>
      <c r="N1413">
        <v>0</v>
      </c>
    </row>
    <row r="1414" spans="1:14" x14ac:dyDescent="0.25">
      <c r="A1414">
        <v>1423.8965250000001</v>
      </c>
      <c r="B1414" s="1">
        <f>DATE(2014,3,24) + TIME(21,30,59)</f>
        <v>41722.896516203706</v>
      </c>
      <c r="C1414">
        <v>80</v>
      </c>
      <c r="D1414">
        <v>69.773254394999995</v>
      </c>
      <c r="E1414">
        <v>50</v>
      </c>
      <c r="F1414">
        <v>49.950550079000003</v>
      </c>
      <c r="G1414">
        <v>1315.2110596</v>
      </c>
      <c r="H1414">
        <v>1307.8852539</v>
      </c>
      <c r="I1414">
        <v>1358.6262207</v>
      </c>
      <c r="J1414">
        <v>1349.3740233999999</v>
      </c>
      <c r="K1414">
        <v>0</v>
      </c>
      <c r="L1414">
        <v>1100</v>
      </c>
      <c r="M1414">
        <v>1100</v>
      </c>
      <c r="N1414">
        <v>0</v>
      </c>
    </row>
    <row r="1415" spans="1:14" x14ac:dyDescent="0.25">
      <c r="A1415">
        <v>1428.2868350000001</v>
      </c>
      <c r="B1415" s="1">
        <f>DATE(2014,3,29) + TIME(6,53,2)</f>
        <v>41727.286828703705</v>
      </c>
      <c r="C1415">
        <v>80</v>
      </c>
      <c r="D1415">
        <v>69.400222778</v>
      </c>
      <c r="E1415">
        <v>50</v>
      </c>
      <c r="F1415">
        <v>49.950649261000002</v>
      </c>
      <c r="G1415">
        <v>1315.0152588000001</v>
      </c>
      <c r="H1415">
        <v>1307.6003418</v>
      </c>
      <c r="I1415">
        <v>1358.6165771000001</v>
      </c>
      <c r="J1415">
        <v>1349.3679199000001</v>
      </c>
      <c r="K1415">
        <v>0</v>
      </c>
      <c r="L1415">
        <v>1100</v>
      </c>
      <c r="M1415">
        <v>1100</v>
      </c>
      <c r="N1415">
        <v>0</v>
      </c>
    </row>
    <row r="1416" spans="1:14" x14ac:dyDescent="0.25">
      <c r="A1416">
        <v>1431</v>
      </c>
      <c r="B1416" s="1">
        <f>DATE(2014,4,1) + TIME(0,0,0)</f>
        <v>41730</v>
      </c>
      <c r="C1416">
        <v>80</v>
      </c>
      <c r="D1416">
        <v>69.063415527000004</v>
      </c>
      <c r="E1416">
        <v>50</v>
      </c>
      <c r="F1416">
        <v>49.950706482000001</v>
      </c>
      <c r="G1416">
        <v>1314.8200684000001</v>
      </c>
      <c r="H1416">
        <v>1307.3226318</v>
      </c>
      <c r="I1416">
        <v>1358.6062012</v>
      </c>
      <c r="J1416">
        <v>1349.3610839999999</v>
      </c>
      <c r="K1416">
        <v>0</v>
      </c>
      <c r="L1416">
        <v>1100</v>
      </c>
      <c r="M1416">
        <v>1100</v>
      </c>
      <c r="N1416">
        <v>0</v>
      </c>
    </row>
    <row r="1417" spans="1:14" x14ac:dyDescent="0.25">
      <c r="A1417">
        <v>1435.5134660000001</v>
      </c>
      <c r="B1417" s="1">
        <f>DATE(2014,4,5) + TIME(12,19,23)</f>
        <v>41734.513460648152</v>
      </c>
      <c r="C1417">
        <v>80</v>
      </c>
      <c r="D1417">
        <v>68.728904724000003</v>
      </c>
      <c r="E1417">
        <v>50</v>
      </c>
      <c r="F1417">
        <v>49.950809479</v>
      </c>
      <c r="G1417">
        <v>1314.6815185999999</v>
      </c>
      <c r="H1417">
        <v>1307.1070557</v>
      </c>
      <c r="I1417">
        <v>1358.6003418</v>
      </c>
      <c r="J1417">
        <v>1349.3572998</v>
      </c>
      <c r="K1417">
        <v>0</v>
      </c>
      <c r="L1417">
        <v>1100</v>
      </c>
      <c r="M1417">
        <v>1100</v>
      </c>
      <c r="N1417">
        <v>0</v>
      </c>
    </row>
    <row r="1418" spans="1:14" x14ac:dyDescent="0.25">
      <c r="A1418">
        <v>1440.238654</v>
      </c>
      <c r="B1418" s="1">
        <f>DATE(2014,4,10) + TIME(5,43,39)</f>
        <v>41739.238645833335</v>
      </c>
      <c r="C1418">
        <v>80</v>
      </c>
      <c r="D1418">
        <v>68.319099425999994</v>
      </c>
      <c r="E1418">
        <v>50</v>
      </c>
      <c r="F1418">
        <v>49.950916290000002</v>
      </c>
      <c r="G1418">
        <v>1314.4885254000001</v>
      </c>
      <c r="H1418">
        <v>1306.8272704999999</v>
      </c>
      <c r="I1418">
        <v>1358.5895995999999</v>
      </c>
      <c r="J1418">
        <v>1349.3502197</v>
      </c>
      <c r="K1418">
        <v>0</v>
      </c>
      <c r="L1418">
        <v>1100</v>
      </c>
      <c r="M1418">
        <v>1100</v>
      </c>
      <c r="N1418">
        <v>0</v>
      </c>
    </row>
    <row r="1419" spans="1:14" x14ac:dyDescent="0.25">
      <c r="A1419">
        <v>1445.0872409999999</v>
      </c>
      <c r="B1419" s="1">
        <f>DATE(2014,4,15) + TIME(2,5,37)</f>
        <v>41744.087233796294</v>
      </c>
      <c r="C1419">
        <v>80</v>
      </c>
      <c r="D1419">
        <v>67.867500304999993</v>
      </c>
      <c r="E1419">
        <v>50</v>
      </c>
      <c r="F1419">
        <v>49.951019287000001</v>
      </c>
      <c r="G1419">
        <v>1314.2838135</v>
      </c>
      <c r="H1419">
        <v>1306.5267334</v>
      </c>
      <c r="I1419">
        <v>1358.578125</v>
      </c>
      <c r="J1419">
        <v>1349.3426514</v>
      </c>
      <c r="K1419">
        <v>0</v>
      </c>
      <c r="L1419">
        <v>1100</v>
      </c>
      <c r="M1419">
        <v>1100</v>
      </c>
      <c r="N1419">
        <v>0</v>
      </c>
    </row>
    <row r="1420" spans="1:14" x14ac:dyDescent="0.25">
      <c r="A1420">
        <v>1450.0827099999999</v>
      </c>
      <c r="B1420" s="1">
        <f>DATE(2014,4,20) + TIME(1,59,6)</f>
        <v>41749.082708333335</v>
      </c>
      <c r="C1420">
        <v>80</v>
      </c>
      <c r="D1420">
        <v>67.386871338000006</v>
      </c>
      <c r="E1420">
        <v>50</v>
      </c>
      <c r="F1420">
        <v>49.951129913000003</v>
      </c>
      <c r="G1420">
        <v>1314.0748291</v>
      </c>
      <c r="H1420">
        <v>1306.2175293</v>
      </c>
      <c r="I1420">
        <v>1358.5661620999999</v>
      </c>
      <c r="J1420">
        <v>1349.3345947</v>
      </c>
      <c r="K1420">
        <v>0</v>
      </c>
      <c r="L1420">
        <v>1100</v>
      </c>
      <c r="M1420">
        <v>1100</v>
      </c>
      <c r="N1420">
        <v>0</v>
      </c>
    </row>
    <row r="1421" spans="1:14" x14ac:dyDescent="0.25">
      <c r="A1421">
        <v>1455.1763430000001</v>
      </c>
      <c r="B1421" s="1">
        <f>DATE(2014,4,25) + TIME(4,13,56)</f>
        <v>41754.176342592589</v>
      </c>
      <c r="C1421">
        <v>80</v>
      </c>
      <c r="D1421">
        <v>66.880599975999999</v>
      </c>
      <c r="E1421">
        <v>50</v>
      </c>
      <c r="F1421">
        <v>49.951236725000001</v>
      </c>
      <c r="G1421">
        <v>1313.8631591999999</v>
      </c>
      <c r="H1421">
        <v>1305.9029541</v>
      </c>
      <c r="I1421">
        <v>1358.5535889</v>
      </c>
      <c r="J1421">
        <v>1349.3259277</v>
      </c>
      <c r="K1421">
        <v>0</v>
      </c>
      <c r="L1421">
        <v>1100</v>
      </c>
      <c r="M1421">
        <v>1100</v>
      </c>
      <c r="N1421">
        <v>0</v>
      </c>
    </row>
    <row r="1422" spans="1:14" x14ac:dyDescent="0.25">
      <c r="A1422">
        <v>1460.3758290000001</v>
      </c>
      <c r="B1422" s="1">
        <f>DATE(2014,4,30) + TIME(9,1,11)</f>
        <v>41759.375821759262</v>
      </c>
      <c r="C1422">
        <v>80</v>
      </c>
      <c r="D1422">
        <v>66.352416992000002</v>
      </c>
      <c r="E1422">
        <v>50</v>
      </c>
      <c r="F1422">
        <v>49.951347351000003</v>
      </c>
      <c r="G1422">
        <v>1313.6513672000001</v>
      </c>
      <c r="H1422">
        <v>1305.5865478999999</v>
      </c>
      <c r="I1422">
        <v>1358.5402832</v>
      </c>
      <c r="J1422">
        <v>1349.3168945</v>
      </c>
      <c r="K1422">
        <v>0</v>
      </c>
      <c r="L1422">
        <v>1100</v>
      </c>
      <c r="M1422">
        <v>1100</v>
      </c>
      <c r="N1422">
        <v>0</v>
      </c>
    </row>
    <row r="1423" spans="1:14" x14ac:dyDescent="0.25">
      <c r="A1423">
        <v>1461</v>
      </c>
      <c r="B1423" s="1">
        <f>DATE(2014,5,1) + TIME(0,0,0)</f>
        <v>41760</v>
      </c>
      <c r="C1423">
        <v>80</v>
      </c>
      <c r="D1423">
        <v>66.147651671999995</v>
      </c>
      <c r="E1423">
        <v>50</v>
      </c>
      <c r="F1423">
        <v>49.951354979999998</v>
      </c>
      <c r="G1423">
        <v>1313.4533690999999</v>
      </c>
      <c r="H1423">
        <v>1305.3325195</v>
      </c>
      <c r="I1423">
        <v>1358.5253906</v>
      </c>
      <c r="J1423">
        <v>1349.3061522999999</v>
      </c>
      <c r="K1423">
        <v>0</v>
      </c>
      <c r="L1423">
        <v>1100</v>
      </c>
      <c r="M1423">
        <v>1100</v>
      </c>
      <c r="N1423">
        <v>0</v>
      </c>
    </row>
    <row r="1424" spans="1:14" x14ac:dyDescent="0.25">
      <c r="A1424">
        <v>1461.0000010000001</v>
      </c>
      <c r="B1424" s="1">
        <f>DATE(2014,5,1) + TIME(0,0,0)</f>
        <v>41760</v>
      </c>
      <c r="C1424">
        <v>80</v>
      </c>
      <c r="D1424">
        <v>66.147727966000005</v>
      </c>
      <c r="E1424">
        <v>50</v>
      </c>
      <c r="F1424">
        <v>49.951301575000002</v>
      </c>
      <c r="G1424">
        <v>1322.8416748</v>
      </c>
      <c r="H1424">
        <v>1313.9468993999999</v>
      </c>
      <c r="I1424">
        <v>1348.9055175999999</v>
      </c>
      <c r="J1424">
        <v>1340.5501709</v>
      </c>
      <c r="K1424">
        <v>1100</v>
      </c>
      <c r="L1424">
        <v>0</v>
      </c>
      <c r="M1424">
        <v>0</v>
      </c>
      <c r="N1424">
        <v>1100</v>
      </c>
    </row>
    <row r="1425" spans="1:14" x14ac:dyDescent="0.25">
      <c r="A1425">
        <v>1461.000004</v>
      </c>
      <c r="B1425" s="1">
        <f>DATE(2014,5,1) + TIME(0,0,0)</f>
        <v>41760</v>
      </c>
      <c r="C1425">
        <v>80</v>
      </c>
      <c r="D1425">
        <v>66.147926330999994</v>
      </c>
      <c r="E1425">
        <v>50</v>
      </c>
      <c r="F1425">
        <v>49.951168060000001</v>
      </c>
      <c r="G1425">
        <v>1323.9455565999999</v>
      </c>
      <c r="H1425">
        <v>1315.2143555</v>
      </c>
      <c r="I1425">
        <v>1347.8366699000001</v>
      </c>
      <c r="J1425">
        <v>1339.4808350000001</v>
      </c>
      <c r="K1425">
        <v>1100</v>
      </c>
      <c r="L1425">
        <v>0</v>
      </c>
      <c r="M1425">
        <v>0</v>
      </c>
      <c r="N1425">
        <v>1100</v>
      </c>
    </row>
    <row r="1426" spans="1:14" x14ac:dyDescent="0.25">
      <c r="A1426">
        <v>1461.0000130000001</v>
      </c>
      <c r="B1426" s="1">
        <f>DATE(2014,5,1) + TIME(0,0,1)</f>
        <v>41760.000011574077</v>
      </c>
      <c r="C1426">
        <v>80</v>
      </c>
      <c r="D1426">
        <v>66.148368834999999</v>
      </c>
      <c r="E1426">
        <v>50</v>
      </c>
      <c r="F1426">
        <v>49.950866699000002</v>
      </c>
      <c r="G1426">
        <v>1326.3747559000001</v>
      </c>
      <c r="H1426">
        <v>1317.8609618999999</v>
      </c>
      <c r="I1426">
        <v>1345.4387207</v>
      </c>
      <c r="J1426">
        <v>1337.0821533000001</v>
      </c>
      <c r="K1426">
        <v>1100</v>
      </c>
      <c r="L1426">
        <v>0</v>
      </c>
      <c r="M1426">
        <v>0</v>
      </c>
      <c r="N1426">
        <v>1100</v>
      </c>
    </row>
    <row r="1427" spans="1:14" x14ac:dyDescent="0.25">
      <c r="A1427">
        <v>1461.0000399999999</v>
      </c>
      <c r="B1427" s="1">
        <f>DATE(2014,5,1) + TIME(0,0,3)</f>
        <v>41760.000034722223</v>
      </c>
      <c r="C1427">
        <v>80</v>
      </c>
      <c r="D1427">
        <v>66.149169921999999</v>
      </c>
      <c r="E1427">
        <v>50</v>
      </c>
      <c r="F1427">
        <v>49.950359343999999</v>
      </c>
      <c r="G1427">
        <v>1330.3553466999999</v>
      </c>
      <c r="H1427">
        <v>1321.9304199000001</v>
      </c>
      <c r="I1427">
        <v>1341.4304199000001</v>
      </c>
      <c r="J1427">
        <v>1333.0744629000001</v>
      </c>
      <c r="K1427">
        <v>1100</v>
      </c>
      <c r="L1427">
        <v>0</v>
      </c>
      <c r="M1427">
        <v>0</v>
      </c>
      <c r="N1427">
        <v>1100</v>
      </c>
    </row>
    <row r="1428" spans="1:14" x14ac:dyDescent="0.25">
      <c r="A1428">
        <v>1461.000121</v>
      </c>
      <c r="B1428" s="1">
        <f>DATE(2014,5,1) + TIME(0,0,10)</f>
        <v>41760.000115740739</v>
      </c>
      <c r="C1428">
        <v>80</v>
      </c>
      <c r="D1428">
        <v>66.150581360000004</v>
      </c>
      <c r="E1428">
        <v>50</v>
      </c>
      <c r="F1428">
        <v>49.949737548999998</v>
      </c>
      <c r="G1428">
        <v>1335.1962891000001</v>
      </c>
      <c r="H1428">
        <v>1326.6951904</v>
      </c>
      <c r="I1428">
        <v>1336.5344238</v>
      </c>
      <c r="J1428">
        <v>1328.1827393000001</v>
      </c>
      <c r="K1428">
        <v>1100</v>
      </c>
      <c r="L1428">
        <v>0</v>
      </c>
      <c r="M1428">
        <v>0</v>
      </c>
      <c r="N1428">
        <v>1100</v>
      </c>
    </row>
    <row r="1429" spans="1:14" x14ac:dyDescent="0.25">
      <c r="A1429">
        <v>1461.000364</v>
      </c>
      <c r="B1429" s="1">
        <f>DATE(2014,5,1) + TIME(0,0,31)</f>
        <v>41760.000358796293</v>
      </c>
      <c r="C1429">
        <v>80</v>
      </c>
      <c r="D1429">
        <v>66.153579711999996</v>
      </c>
      <c r="E1429">
        <v>50</v>
      </c>
      <c r="F1429">
        <v>49.949077606000003</v>
      </c>
      <c r="G1429">
        <v>1340.2590332</v>
      </c>
      <c r="H1429">
        <v>1331.6478271000001</v>
      </c>
      <c r="I1429">
        <v>1331.487793</v>
      </c>
      <c r="J1429">
        <v>1323.1419678</v>
      </c>
      <c r="K1429">
        <v>1100</v>
      </c>
      <c r="L1429">
        <v>0</v>
      </c>
      <c r="M1429">
        <v>0</v>
      </c>
      <c r="N1429">
        <v>1100</v>
      </c>
    </row>
    <row r="1430" spans="1:14" x14ac:dyDescent="0.25">
      <c r="A1430">
        <v>1461.0010930000001</v>
      </c>
      <c r="B1430" s="1">
        <f>DATE(2014,5,1) + TIME(0,1,34)</f>
        <v>41760.001087962963</v>
      </c>
      <c r="C1430">
        <v>80</v>
      </c>
      <c r="D1430">
        <v>66.161369324000006</v>
      </c>
      <c r="E1430">
        <v>50</v>
      </c>
      <c r="F1430">
        <v>49.948368072999997</v>
      </c>
      <c r="G1430">
        <v>1345.4686279</v>
      </c>
      <c r="H1430">
        <v>1336.7391356999999</v>
      </c>
      <c r="I1430">
        <v>1326.4318848</v>
      </c>
      <c r="J1430">
        <v>1318.0729980000001</v>
      </c>
      <c r="K1430">
        <v>1100</v>
      </c>
      <c r="L1430">
        <v>0</v>
      </c>
      <c r="M1430">
        <v>0</v>
      </c>
      <c r="N1430">
        <v>1100</v>
      </c>
    </row>
    <row r="1431" spans="1:14" x14ac:dyDescent="0.25">
      <c r="A1431">
        <v>1461.0032799999999</v>
      </c>
      <c r="B1431" s="1">
        <f>DATE(2014,5,1) + TIME(0,4,43)</f>
        <v>41760.003275462965</v>
      </c>
      <c r="C1431">
        <v>80</v>
      </c>
      <c r="D1431">
        <v>66.183601378999995</v>
      </c>
      <c r="E1431">
        <v>50</v>
      </c>
      <c r="F1431">
        <v>49.947521209999998</v>
      </c>
      <c r="G1431">
        <v>1350.6374512</v>
      </c>
      <c r="H1431">
        <v>1341.7872314000001</v>
      </c>
      <c r="I1431">
        <v>1321.4875488</v>
      </c>
      <c r="J1431">
        <v>1313.0557861</v>
      </c>
      <c r="K1431">
        <v>1100</v>
      </c>
      <c r="L1431">
        <v>0</v>
      </c>
      <c r="M1431">
        <v>0</v>
      </c>
      <c r="N1431">
        <v>1100</v>
      </c>
    </row>
    <row r="1432" spans="1:14" x14ac:dyDescent="0.25">
      <c r="A1432">
        <v>1461.0098410000001</v>
      </c>
      <c r="B1432" s="1">
        <f>DATE(2014,5,1) + TIME(0,14,10)</f>
        <v>41760.009837962964</v>
      </c>
      <c r="C1432">
        <v>80</v>
      </c>
      <c r="D1432">
        <v>66.249160767000006</v>
      </c>
      <c r="E1432">
        <v>50</v>
      </c>
      <c r="F1432">
        <v>49.946311950999998</v>
      </c>
      <c r="G1432">
        <v>1354.9548339999999</v>
      </c>
      <c r="H1432">
        <v>1346.0270995999999</v>
      </c>
      <c r="I1432">
        <v>1317.2724608999999</v>
      </c>
      <c r="J1432">
        <v>1308.7423096</v>
      </c>
      <c r="K1432">
        <v>1100</v>
      </c>
      <c r="L1432">
        <v>0</v>
      </c>
      <c r="M1432">
        <v>0</v>
      </c>
      <c r="N1432">
        <v>1100</v>
      </c>
    </row>
    <row r="1433" spans="1:14" x14ac:dyDescent="0.25">
      <c r="A1433">
        <v>1461.029524</v>
      </c>
      <c r="B1433" s="1">
        <f>DATE(2014,5,1) + TIME(0,42,30)</f>
        <v>41760.029513888891</v>
      </c>
      <c r="C1433">
        <v>80</v>
      </c>
      <c r="D1433">
        <v>66.442375182999996</v>
      </c>
      <c r="E1433">
        <v>50</v>
      </c>
      <c r="F1433">
        <v>49.943943023999999</v>
      </c>
      <c r="G1433">
        <v>1357.6699219</v>
      </c>
      <c r="H1433">
        <v>1348.7358397999999</v>
      </c>
      <c r="I1433">
        <v>1314.5516356999999</v>
      </c>
      <c r="J1433">
        <v>1305.9639893000001</v>
      </c>
      <c r="K1433">
        <v>1100</v>
      </c>
      <c r="L1433">
        <v>0</v>
      </c>
      <c r="M1433">
        <v>0</v>
      </c>
      <c r="N1433">
        <v>1100</v>
      </c>
    </row>
    <row r="1434" spans="1:14" x14ac:dyDescent="0.25">
      <c r="A1434">
        <v>1461.087871</v>
      </c>
      <c r="B1434" s="1">
        <f>DATE(2014,5,1) + TIME(2,6,32)</f>
        <v>41760.087870370371</v>
      </c>
      <c r="C1434">
        <v>80</v>
      </c>
      <c r="D1434">
        <v>66.990821838000002</v>
      </c>
      <c r="E1434">
        <v>50</v>
      </c>
      <c r="F1434">
        <v>49.937938690000003</v>
      </c>
      <c r="G1434">
        <v>1358.7679443</v>
      </c>
      <c r="H1434">
        <v>1349.9036865</v>
      </c>
      <c r="I1434">
        <v>1313.4801024999999</v>
      </c>
      <c r="J1434">
        <v>1304.8740233999999</v>
      </c>
      <c r="K1434">
        <v>1100</v>
      </c>
      <c r="L1434">
        <v>0</v>
      </c>
      <c r="M1434">
        <v>0</v>
      </c>
      <c r="N1434">
        <v>1100</v>
      </c>
    </row>
    <row r="1435" spans="1:14" x14ac:dyDescent="0.25">
      <c r="A1435">
        <v>1461.1474390000001</v>
      </c>
      <c r="B1435" s="1">
        <f>DATE(2014,5,1) + TIME(3,32,18)</f>
        <v>41760.147430555553</v>
      </c>
      <c r="C1435">
        <v>80</v>
      </c>
      <c r="D1435">
        <v>67.528030396000005</v>
      </c>
      <c r="E1435">
        <v>50</v>
      </c>
      <c r="F1435">
        <v>49.931987761999999</v>
      </c>
      <c r="G1435">
        <v>1358.9500731999999</v>
      </c>
      <c r="H1435">
        <v>1350.1419678</v>
      </c>
      <c r="I1435">
        <v>1313.3215332</v>
      </c>
      <c r="J1435">
        <v>1304.7124022999999</v>
      </c>
      <c r="K1435">
        <v>1100</v>
      </c>
      <c r="L1435">
        <v>0</v>
      </c>
      <c r="M1435">
        <v>0</v>
      </c>
      <c r="N1435">
        <v>1100</v>
      </c>
    </row>
    <row r="1436" spans="1:14" x14ac:dyDescent="0.25">
      <c r="A1436">
        <v>1461.2082660000001</v>
      </c>
      <c r="B1436" s="1">
        <f>DATE(2014,5,1) + TIME(4,59,54)</f>
        <v>41760.20826388889</v>
      </c>
      <c r="C1436">
        <v>80</v>
      </c>
      <c r="D1436">
        <v>68.053947449000006</v>
      </c>
      <c r="E1436">
        <v>50</v>
      </c>
      <c r="F1436">
        <v>49.925987243999998</v>
      </c>
      <c r="G1436">
        <v>1358.9393310999999</v>
      </c>
      <c r="H1436">
        <v>1350.1855469</v>
      </c>
      <c r="I1436">
        <v>1313.3066406</v>
      </c>
      <c r="J1436">
        <v>1304.6966553</v>
      </c>
      <c r="K1436">
        <v>1100</v>
      </c>
      <c r="L1436">
        <v>0</v>
      </c>
      <c r="M1436">
        <v>0</v>
      </c>
      <c r="N1436">
        <v>1100</v>
      </c>
    </row>
    <row r="1437" spans="1:14" x14ac:dyDescent="0.25">
      <c r="A1437">
        <v>1461.270323</v>
      </c>
      <c r="B1437" s="1">
        <f>DATE(2014,5,1) + TIME(6,29,15)</f>
        <v>41760.270312499997</v>
      </c>
      <c r="C1437">
        <v>80</v>
      </c>
      <c r="D1437">
        <v>68.567886353000006</v>
      </c>
      <c r="E1437">
        <v>50</v>
      </c>
      <c r="F1437">
        <v>49.919937134000001</v>
      </c>
      <c r="G1437">
        <v>1358.8824463000001</v>
      </c>
      <c r="H1437">
        <v>1350.1806641000001</v>
      </c>
      <c r="I1437">
        <v>1313.3105469</v>
      </c>
      <c r="J1437">
        <v>1304.7000731999999</v>
      </c>
      <c r="K1437">
        <v>1100</v>
      </c>
      <c r="L1437">
        <v>0</v>
      </c>
      <c r="M1437">
        <v>0</v>
      </c>
      <c r="N1437">
        <v>1100</v>
      </c>
    </row>
    <row r="1438" spans="1:14" x14ac:dyDescent="0.25">
      <c r="A1438">
        <v>1461.33367</v>
      </c>
      <c r="B1438" s="1">
        <f>DATE(2014,5,1) + TIME(8,0,29)</f>
        <v>41760.333668981482</v>
      </c>
      <c r="C1438">
        <v>80</v>
      </c>
      <c r="D1438">
        <v>69.069938660000005</v>
      </c>
      <c r="E1438">
        <v>50</v>
      </c>
      <c r="F1438">
        <v>49.913825989000003</v>
      </c>
      <c r="G1438">
        <v>1358.8146973</v>
      </c>
      <c r="H1438">
        <v>1350.1627197</v>
      </c>
      <c r="I1438">
        <v>1313.3142089999999</v>
      </c>
      <c r="J1438">
        <v>1304.7034911999999</v>
      </c>
      <c r="K1438">
        <v>1100</v>
      </c>
      <c r="L1438">
        <v>0</v>
      </c>
      <c r="M1438">
        <v>0</v>
      </c>
      <c r="N1438">
        <v>1100</v>
      </c>
    </row>
    <row r="1439" spans="1:14" x14ac:dyDescent="0.25">
      <c r="A1439">
        <v>1461.398375</v>
      </c>
      <c r="B1439" s="1">
        <f>DATE(2014,5,1) + TIME(9,33,39)</f>
        <v>41760.398368055554</v>
      </c>
      <c r="C1439">
        <v>80</v>
      </c>
      <c r="D1439">
        <v>69.560211182000003</v>
      </c>
      <c r="E1439">
        <v>50</v>
      </c>
      <c r="F1439">
        <v>49.907646178999997</v>
      </c>
      <c r="G1439">
        <v>1358.7458495999999</v>
      </c>
      <c r="H1439">
        <v>1350.1413574000001</v>
      </c>
      <c r="I1439">
        <v>1313.3161620999999</v>
      </c>
      <c r="J1439">
        <v>1304.7050781</v>
      </c>
      <c r="K1439">
        <v>1100</v>
      </c>
      <c r="L1439">
        <v>0</v>
      </c>
      <c r="M1439">
        <v>0</v>
      </c>
      <c r="N1439">
        <v>1100</v>
      </c>
    </row>
    <row r="1440" spans="1:14" x14ac:dyDescent="0.25">
      <c r="A1440">
        <v>1461.464512</v>
      </c>
      <c r="B1440" s="1">
        <f>DATE(2014,5,1) + TIME(11,8,53)</f>
        <v>41760.464502314811</v>
      </c>
      <c r="C1440">
        <v>80</v>
      </c>
      <c r="D1440">
        <v>70.038780212000006</v>
      </c>
      <c r="E1440">
        <v>50</v>
      </c>
      <c r="F1440">
        <v>49.901397705000001</v>
      </c>
      <c r="G1440">
        <v>1358.6787108999999</v>
      </c>
      <c r="H1440">
        <v>1350.119751</v>
      </c>
      <c r="I1440">
        <v>1313.3171387</v>
      </c>
      <c r="J1440">
        <v>1304.7056885</v>
      </c>
      <c r="K1440">
        <v>1100</v>
      </c>
      <c r="L1440">
        <v>0</v>
      </c>
      <c r="M1440">
        <v>0</v>
      </c>
      <c r="N1440">
        <v>1100</v>
      </c>
    </row>
    <row r="1441" spans="1:14" x14ac:dyDescent="0.25">
      <c r="A1441">
        <v>1461.5321610000001</v>
      </c>
      <c r="B1441" s="1">
        <f>DATE(2014,5,1) + TIME(12,46,18)</f>
        <v>41760.532152777778</v>
      </c>
      <c r="C1441">
        <v>80</v>
      </c>
      <c r="D1441">
        <v>70.505447387999993</v>
      </c>
      <c r="E1441">
        <v>50</v>
      </c>
      <c r="F1441">
        <v>49.895076752000001</v>
      </c>
      <c r="G1441">
        <v>1358.6141356999999</v>
      </c>
      <c r="H1441">
        <v>1350.0987548999999</v>
      </c>
      <c r="I1441">
        <v>1313.3176269999999</v>
      </c>
      <c r="J1441">
        <v>1304.7056885</v>
      </c>
      <c r="K1441">
        <v>1100</v>
      </c>
      <c r="L1441">
        <v>0</v>
      </c>
      <c r="M1441">
        <v>0</v>
      </c>
      <c r="N1441">
        <v>1100</v>
      </c>
    </row>
    <row r="1442" spans="1:14" x14ac:dyDescent="0.25">
      <c r="A1442">
        <v>1461.601404</v>
      </c>
      <c r="B1442" s="1">
        <f>DATE(2014,5,1) + TIME(14,26,1)</f>
        <v>41760.601400462961</v>
      </c>
      <c r="C1442">
        <v>80</v>
      </c>
      <c r="D1442">
        <v>70.960578917999996</v>
      </c>
      <c r="E1442">
        <v>50</v>
      </c>
      <c r="F1442">
        <v>49.888671875</v>
      </c>
      <c r="G1442">
        <v>1358.5523682</v>
      </c>
      <c r="H1442">
        <v>1350.0786132999999</v>
      </c>
      <c r="I1442">
        <v>1313.3179932</v>
      </c>
      <c r="J1442">
        <v>1304.7055664</v>
      </c>
      <c r="K1442">
        <v>1100</v>
      </c>
      <c r="L1442">
        <v>0</v>
      </c>
      <c r="M1442">
        <v>0</v>
      </c>
      <c r="N1442">
        <v>1100</v>
      </c>
    </row>
    <row r="1443" spans="1:14" x14ac:dyDescent="0.25">
      <c r="A1443">
        <v>1461.672333</v>
      </c>
      <c r="B1443" s="1">
        <f>DATE(2014,5,1) + TIME(16,8,9)</f>
        <v>41760.672326388885</v>
      </c>
      <c r="C1443">
        <v>80</v>
      </c>
      <c r="D1443">
        <v>71.404258728000002</v>
      </c>
      <c r="E1443">
        <v>50</v>
      </c>
      <c r="F1443">
        <v>49.882183075</v>
      </c>
      <c r="G1443">
        <v>1358.4934082</v>
      </c>
      <c r="H1443">
        <v>1350.0595702999999</v>
      </c>
      <c r="I1443">
        <v>1313.3181152</v>
      </c>
      <c r="J1443">
        <v>1304.7053223</v>
      </c>
      <c r="K1443">
        <v>1100</v>
      </c>
      <c r="L1443">
        <v>0</v>
      </c>
      <c r="M1443">
        <v>0</v>
      </c>
      <c r="N1443">
        <v>1100</v>
      </c>
    </row>
    <row r="1444" spans="1:14" x14ac:dyDescent="0.25">
      <c r="A1444">
        <v>1461.74503</v>
      </c>
      <c r="B1444" s="1">
        <f>DATE(2014,5,1) + TIME(17,52,50)</f>
        <v>41760.745023148149</v>
      </c>
      <c r="C1444">
        <v>80</v>
      </c>
      <c r="D1444">
        <v>71.836433411000002</v>
      </c>
      <c r="E1444">
        <v>50</v>
      </c>
      <c r="F1444">
        <v>49.875606537000003</v>
      </c>
      <c r="G1444">
        <v>1358.4371338000001</v>
      </c>
      <c r="H1444">
        <v>1350.0413818</v>
      </c>
      <c r="I1444">
        <v>1313.3182373</v>
      </c>
      <c r="J1444">
        <v>1304.7049560999999</v>
      </c>
      <c r="K1444">
        <v>1100</v>
      </c>
      <c r="L1444">
        <v>0</v>
      </c>
      <c r="M1444">
        <v>0</v>
      </c>
      <c r="N1444">
        <v>1100</v>
      </c>
    </row>
    <row r="1445" spans="1:14" x14ac:dyDescent="0.25">
      <c r="A1445">
        <v>1461.8196069999999</v>
      </c>
      <c r="B1445" s="1">
        <f>DATE(2014,5,1) + TIME(19,40,14)</f>
        <v>41760.819606481484</v>
      </c>
      <c r="C1445">
        <v>80</v>
      </c>
      <c r="D1445">
        <v>72.257232665999993</v>
      </c>
      <c r="E1445">
        <v>50</v>
      </c>
      <c r="F1445">
        <v>49.868927002</v>
      </c>
      <c r="G1445">
        <v>1358.3834228999999</v>
      </c>
      <c r="H1445">
        <v>1350.0240478999999</v>
      </c>
      <c r="I1445">
        <v>1313.3182373</v>
      </c>
      <c r="J1445">
        <v>1304.7045897999999</v>
      </c>
      <c r="K1445">
        <v>1100</v>
      </c>
      <c r="L1445">
        <v>0</v>
      </c>
      <c r="M1445">
        <v>0</v>
      </c>
      <c r="N1445">
        <v>1100</v>
      </c>
    </row>
    <row r="1446" spans="1:14" x14ac:dyDescent="0.25">
      <c r="A1446">
        <v>1461.896178</v>
      </c>
      <c r="B1446" s="1">
        <f>DATE(2014,5,1) + TIME(21,30,29)</f>
        <v>41760.896168981482</v>
      </c>
      <c r="C1446">
        <v>80</v>
      </c>
      <c r="D1446">
        <v>72.666687011999997</v>
      </c>
      <c r="E1446">
        <v>50</v>
      </c>
      <c r="F1446">
        <v>49.862144469999997</v>
      </c>
      <c r="G1446">
        <v>1358.3320312000001</v>
      </c>
      <c r="H1446">
        <v>1350.0075684000001</v>
      </c>
      <c r="I1446">
        <v>1313.3182373</v>
      </c>
      <c r="J1446">
        <v>1304.7041016000001</v>
      </c>
      <c r="K1446">
        <v>1100</v>
      </c>
      <c r="L1446">
        <v>0</v>
      </c>
      <c r="M1446">
        <v>0</v>
      </c>
      <c r="N1446">
        <v>1100</v>
      </c>
    </row>
    <row r="1447" spans="1:14" x14ac:dyDescent="0.25">
      <c r="A1447">
        <v>1461.974862</v>
      </c>
      <c r="B1447" s="1">
        <f>DATE(2014,5,1) + TIME(23,23,48)</f>
        <v>41760.974861111114</v>
      </c>
      <c r="C1447">
        <v>80</v>
      </c>
      <c r="D1447">
        <v>73.064819335999999</v>
      </c>
      <c r="E1447">
        <v>50</v>
      </c>
      <c r="F1447">
        <v>49.855251312</v>
      </c>
      <c r="G1447">
        <v>1358.2829589999999</v>
      </c>
      <c r="H1447">
        <v>1349.9919434000001</v>
      </c>
      <c r="I1447">
        <v>1313.3182373</v>
      </c>
      <c r="J1447">
        <v>1304.7036132999999</v>
      </c>
      <c r="K1447">
        <v>1100</v>
      </c>
      <c r="L1447">
        <v>0</v>
      </c>
      <c r="M1447">
        <v>0</v>
      </c>
      <c r="N1447">
        <v>1100</v>
      </c>
    </row>
    <row r="1448" spans="1:14" x14ac:dyDescent="0.25">
      <c r="A1448">
        <v>1462.055789</v>
      </c>
      <c r="B1448" s="1">
        <f>DATE(2014,5,2) + TIME(1,20,20)</f>
        <v>41761.055787037039</v>
      </c>
      <c r="C1448">
        <v>80</v>
      </c>
      <c r="D1448">
        <v>73.451644896999994</v>
      </c>
      <c r="E1448">
        <v>50</v>
      </c>
      <c r="F1448">
        <v>49.848239898999999</v>
      </c>
      <c r="G1448">
        <v>1358.2360839999999</v>
      </c>
      <c r="H1448">
        <v>1349.9769286999999</v>
      </c>
      <c r="I1448">
        <v>1313.3182373</v>
      </c>
      <c r="J1448">
        <v>1304.7030029</v>
      </c>
      <c r="K1448">
        <v>1100</v>
      </c>
      <c r="L1448">
        <v>0</v>
      </c>
      <c r="M1448">
        <v>0</v>
      </c>
      <c r="N1448">
        <v>1100</v>
      </c>
    </row>
    <row r="1449" spans="1:14" x14ac:dyDescent="0.25">
      <c r="A1449">
        <v>1462.1390960000001</v>
      </c>
      <c r="B1449" s="1">
        <f>DATE(2014,5,2) + TIME(3,20,17)</f>
        <v>41761.139085648145</v>
      </c>
      <c r="C1449">
        <v>80</v>
      </c>
      <c r="D1449">
        <v>73.827163696</v>
      </c>
      <c r="E1449">
        <v>50</v>
      </c>
      <c r="F1449">
        <v>49.841098785</v>
      </c>
      <c r="G1449">
        <v>1358.1911620999999</v>
      </c>
      <c r="H1449">
        <v>1349.9625243999999</v>
      </c>
      <c r="I1449">
        <v>1313.3181152</v>
      </c>
      <c r="J1449">
        <v>1304.7025146000001</v>
      </c>
      <c r="K1449">
        <v>1100</v>
      </c>
      <c r="L1449">
        <v>0</v>
      </c>
      <c r="M1449">
        <v>0</v>
      </c>
      <c r="N1449">
        <v>1100</v>
      </c>
    </row>
    <row r="1450" spans="1:14" x14ac:dyDescent="0.25">
      <c r="A1450">
        <v>1462.2249360000001</v>
      </c>
      <c r="B1450" s="1">
        <f>DATE(2014,5,2) + TIME(5,23,54)</f>
        <v>41761.224930555552</v>
      </c>
      <c r="C1450">
        <v>80</v>
      </c>
      <c r="D1450">
        <v>74.191375731999997</v>
      </c>
      <c r="E1450">
        <v>50</v>
      </c>
      <c r="F1450">
        <v>49.833820342999999</v>
      </c>
      <c r="G1450">
        <v>1358.1481934000001</v>
      </c>
      <c r="H1450">
        <v>1349.9486084</v>
      </c>
      <c r="I1450">
        <v>1313.3179932</v>
      </c>
      <c r="J1450">
        <v>1304.7017822</v>
      </c>
      <c r="K1450">
        <v>1100</v>
      </c>
      <c r="L1450">
        <v>0</v>
      </c>
      <c r="M1450">
        <v>0</v>
      </c>
      <c r="N1450">
        <v>1100</v>
      </c>
    </row>
    <row r="1451" spans="1:14" x14ac:dyDescent="0.25">
      <c r="A1451">
        <v>1462.313472</v>
      </c>
      <c r="B1451" s="1">
        <f>DATE(2014,5,2) + TIME(7,31,24)</f>
        <v>41761.313472222224</v>
      </c>
      <c r="C1451">
        <v>80</v>
      </c>
      <c r="D1451">
        <v>74.544265746999997</v>
      </c>
      <c r="E1451">
        <v>50</v>
      </c>
      <c r="F1451">
        <v>49.826400757000002</v>
      </c>
      <c r="G1451">
        <v>1358.1070557</v>
      </c>
      <c r="H1451">
        <v>1349.9353027</v>
      </c>
      <c r="I1451">
        <v>1313.3178711</v>
      </c>
      <c r="J1451">
        <v>1304.7011719</v>
      </c>
      <c r="K1451">
        <v>1100</v>
      </c>
      <c r="L1451">
        <v>0</v>
      </c>
      <c r="M1451">
        <v>0</v>
      </c>
      <c r="N1451">
        <v>1100</v>
      </c>
    </row>
    <row r="1452" spans="1:14" x14ac:dyDescent="0.25">
      <c r="A1452">
        <v>1462.404882</v>
      </c>
      <c r="B1452" s="1">
        <f>DATE(2014,5,2) + TIME(9,43,1)</f>
        <v>41761.404872685183</v>
      </c>
      <c r="C1452">
        <v>80</v>
      </c>
      <c r="D1452">
        <v>74.885818481000001</v>
      </c>
      <c r="E1452">
        <v>50</v>
      </c>
      <c r="F1452">
        <v>49.818820952999999</v>
      </c>
      <c r="G1452">
        <v>1358.0675048999999</v>
      </c>
      <c r="H1452">
        <v>1349.9223632999999</v>
      </c>
      <c r="I1452">
        <v>1313.317749</v>
      </c>
      <c r="J1452">
        <v>1304.7004394999999</v>
      </c>
      <c r="K1452">
        <v>1100</v>
      </c>
      <c r="L1452">
        <v>0</v>
      </c>
      <c r="M1452">
        <v>0</v>
      </c>
      <c r="N1452">
        <v>1100</v>
      </c>
    </row>
    <row r="1453" spans="1:14" x14ac:dyDescent="0.25">
      <c r="A1453">
        <v>1462.4993609999999</v>
      </c>
      <c r="B1453" s="1">
        <f>DATE(2014,5,2) + TIME(11,59,4)</f>
        <v>41761.499351851853</v>
      </c>
      <c r="C1453">
        <v>80</v>
      </c>
      <c r="D1453">
        <v>75.215858459000003</v>
      </c>
      <c r="E1453">
        <v>50</v>
      </c>
      <c r="F1453">
        <v>49.811073303000001</v>
      </c>
      <c r="G1453">
        <v>1358.0294189000001</v>
      </c>
      <c r="H1453">
        <v>1349.9097899999999</v>
      </c>
      <c r="I1453">
        <v>1313.3175048999999</v>
      </c>
      <c r="J1453">
        <v>1304.6995850000001</v>
      </c>
      <c r="K1453">
        <v>1100</v>
      </c>
      <c r="L1453">
        <v>0</v>
      </c>
      <c r="M1453">
        <v>0</v>
      </c>
      <c r="N1453">
        <v>1100</v>
      </c>
    </row>
    <row r="1454" spans="1:14" x14ac:dyDescent="0.25">
      <c r="A1454">
        <v>1462.5971480000001</v>
      </c>
      <c r="B1454" s="1">
        <f>DATE(2014,5,2) + TIME(14,19,53)</f>
        <v>41761.597141203703</v>
      </c>
      <c r="C1454">
        <v>80</v>
      </c>
      <c r="D1454">
        <v>75.534507751000007</v>
      </c>
      <c r="E1454">
        <v>50</v>
      </c>
      <c r="F1454">
        <v>49.803146362</v>
      </c>
      <c r="G1454">
        <v>1357.9929199000001</v>
      </c>
      <c r="H1454">
        <v>1349.8974608999999</v>
      </c>
      <c r="I1454">
        <v>1313.3172606999999</v>
      </c>
      <c r="J1454">
        <v>1304.6988524999999</v>
      </c>
      <c r="K1454">
        <v>1100</v>
      </c>
      <c r="L1454">
        <v>0</v>
      </c>
      <c r="M1454">
        <v>0</v>
      </c>
      <c r="N1454">
        <v>1100</v>
      </c>
    </row>
    <row r="1455" spans="1:14" x14ac:dyDescent="0.25">
      <c r="A1455">
        <v>1462.6984749999999</v>
      </c>
      <c r="B1455" s="1">
        <f>DATE(2014,5,2) + TIME(16,45,48)</f>
        <v>41761.698472222219</v>
      </c>
      <c r="C1455">
        <v>80</v>
      </c>
      <c r="D1455">
        <v>75.841796875</v>
      </c>
      <c r="E1455">
        <v>50</v>
      </c>
      <c r="F1455">
        <v>49.795024871999999</v>
      </c>
      <c r="G1455">
        <v>1357.9576416</v>
      </c>
      <c r="H1455">
        <v>1349.8854980000001</v>
      </c>
      <c r="I1455">
        <v>1313.3170166</v>
      </c>
      <c r="J1455">
        <v>1304.6979980000001</v>
      </c>
      <c r="K1455">
        <v>1100</v>
      </c>
      <c r="L1455">
        <v>0</v>
      </c>
      <c r="M1455">
        <v>0</v>
      </c>
      <c r="N1455">
        <v>1100</v>
      </c>
    </row>
    <row r="1456" spans="1:14" x14ac:dyDescent="0.25">
      <c r="A1456">
        <v>1462.803582</v>
      </c>
      <c r="B1456" s="1">
        <f>DATE(2014,5,2) + TIME(19,17,9)</f>
        <v>41761.803576388891</v>
      </c>
      <c r="C1456">
        <v>80</v>
      </c>
      <c r="D1456">
        <v>76.137641907000003</v>
      </c>
      <c r="E1456">
        <v>50</v>
      </c>
      <c r="F1456">
        <v>49.786697388</v>
      </c>
      <c r="G1456">
        <v>1357.9235839999999</v>
      </c>
      <c r="H1456">
        <v>1349.8736572</v>
      </c>
      <c r="I1456">
        <v>1313.3167725000001</v>
      </c>
      <c r="J1456">
        <v>1304.6970214999999</v>
      </c>
      <c r="K1456">
        <v>1100</v>
      </c>
      <c r="L1456">
        <v>0</v>
      </c>
      <c r="M1456">
        <v>0</v>
      </c>
      <c r="N1456">
        <v>1100</v>
      </c>
    </row>
    <row r="1457" spans="1:14" x14ac:dyDescent="0.25">
      <c r="A1457">
        <v>1462.9127530000001</v>
      </c>
      <c r="B1457" s="1">
        <f>DATE(2014,5,2) + TIME(21,54,21)</f>
        <v>41761.912743055553</v>
      </c>
      <c r="C1457">
        <v>80</v>
      </c>
      <c r="D1457">
        <v>76.422012328999998</v>
      </c>
      <c r="E1457">
        <v>50</v>
      </c>
      <c r="F1457">
        <v>49.778144836000003</v>
      </c>
      <c r="G1457">
        <v>1357.890625</v>
      </c>
      <c r="H1457">
        <v>1349.8618164</v>
      </c>
      <c r="I1457">
        <v>1313.3164062000001</v>
      </c>
      <c r="J1457">
        <v>1304.6960449000001</v>
      </c>
      <c r="K1457">
        <v>1100</v>
      </c>
      <c r="L1457">
        <v>0</v>
      </c>
      <c r="M1457">
        <v>0</v>
      </c>
      <c r="N1457">
        <v>1100</v>
      </c>
    </row>
    <row r="1458" spans="1:14" x14ac:dyDescent="0.25">
      <c r="A1458">
        <v>1463.026306</v>
      </c>
      <c r="B1458" s="1">
        <f>DATE(2014,5,3) + TIME(0,37,52)</f>
        <v>41762.026296296295</v>
      </c>
      <c r="C1458">
        <v>80</v>
      </c>
      <c r="D1458">
        <v>76.694877625000004</v>
      </c>
      <c r="E1458">
        <v>50</v>
      </c>
      <c r="F1458">
        <v>49.769351958999998</v>
      </c>
      <c r="G1458">
        <v>1357.8586425999999</v>
      </c>
      <c r="H1458">
        <v>1349.8502197</v>
      </c>
      <c r="I1458">
        <v>1313.3160399999999</v>
      </c>
      <c r="J1458">
        <v>1304.6950684000001</v>
      </c>
      <c r="K1458">
        <v>1100</v>
      </c>
      <c r="L1458">
        <v>0</v>
      </c>
      <c r="M1458">
        <v>0</v>
      </c>
      <c r="N1458">
        <v>1100</v>
      </c>
    </row>
    <row r="1459" spans="1:14" x14ac:dyDescent="0.25">
      <c r="A1459">
        <v>1463.144591</v>
      </c>
      <c r="B1459" s="1">
        <f>DATE(2014,5,3) + TIME(3,28,12)</f>
        <v>41762.144583333335</v>
      </c>
      <c r="C1459">
        <v>80</v>
      </c>
      <c r="D1459">
        <v>76.956214904999996</v>
      </c>
      <c r="E1459">
        <v>50</v>
      </c>
      <c r="F1459">
        <v>49.760295868</v>
      </c>
      <c r="G1459">
        <v>1357.8276367000001</v>
      </c>
      <c r="H1459">
        <v>1349.838501</v>
      </c>
      <c r="I1459">
        <v>1313.3156738</v>
      </c>
      <c r="J1459">
        <v>1304.6940918</v>
      </c>
      <c r="K1459">
        <v>1100</v>
      </c>
      <c r="L1459">
        <v>0</v>
      </c>
      <c r="M1459">
        <v>0</v>
      </c>
      <c r="N1459">
        <v>1100</v>
      </c>
    </row>
    <row r="1460" spans="1:14" x14ac:dyDescent="0.25">
      <c r="A1460">
        <v>1463.268002</v>
      </c>
      <c r="B1460" s="1">
        <f>DATE(2014,5,3) + TIME(6,25,55)</f>
        <v>41762.267997685187</v>
      </c>
      <c r="C1460">
        <v>80</v>
      </c>
      <c r="D1460">
        <v>77.205993652000004</v>
      </c>
      <c r="E1460">
        <v>50</v>
      </c>
      <c r="F1460">
        <v>49.750961304</v>
      </c>
      <c r="G1460">
        <v>1357.7974853999999</v>
      </c>
      <c r="H1460">
        <v>1349.8266602000001</v>
      </c>
      <c r="I1460">
        <v>1313.3151855000001</v>
      </c>
      <c r="J1460">
        <v>1304.6929932</v>
      </c>
      <c r="K1460">
        <v>1100</v>
      </c>
      <c r="L1460">
        <v>0</v>
      </c>
      <c r="M1460">
        <v>0</v>
      </c>
      <c r="N1460">
        <v>1100</v>
      </c>
    </row>
    <row r="1461" spans="1:14" x14ac:dyDescent="0.25">
      <c r="A1461">
        <v>1463.39698</v>
      </c>
      <c r="B1461" s="1">
        <f>DATE(2014,5,3) + TIME(9,31,39)</f>
        <v>41762.396979166668</v>
      </c>
      <c r="C1461">
        <v>80</v>
      </c>
      <c r="D1461">
        <v>77.444190978999998</v>
      </c>
      <c r="E1461">
        <v>50</v>
      </c>
      <c r="F1461">
        <v>49.741317748999997</v>
      </c>
      <c r="G1461">
        <v>1357.7679443</v>
      </c>
      <c r="H1461">
        <v>1349.8148193</v>
      </c>
      <c r="I1461">
        <v>1313.3148193</v>
      </c>
      <c r="J1461">
        <v>1304.6917725000001</v>
      </c>
      <c r="K1461">
        <v>1100</v>
      </c>
      <c r="L1461">
        <v>0</v>
      </c>
      <c r="M1461">
        <v>0</v>
      </c>
      <c r="N1461">
        <v>1100</v>
      </c>
    </row>
    <row r="1462" spans="1:14" x14ac:dyDescent="0.25">
      <c r="A1462">
        <v>1463.532021</v>
      </c>
      <c r="B1462" s="1">
        <f>DATE(2014,5,3) + TIME(12,46,6)</f>
        <v>41762.532013888886</v>
      </c>
      <c r="C1462">
        <v>80</v>
      </c>
      <c r="D1462">
        <v>77.670806885000005</v>
      </c>
      <c r="E1462">
        <v>50</v>
      </c>
      <c r="F1462">
        <v>49.731346129999999</v>
      </c>
      <c r="G1462">
        <v>1357.7388916</v>
      </c>
      <c r="H1462">
        <v>1349.8026123</v>
      </c>
      <c r="I1462">
        <v>1313.3143310999999</v>
      </c>
      <c r="J1462">
        <v>1304.6906738</v>
      </c>
      <c r="K1462">
        <v>1100</v>
      </c>
      <c r="L1462">
        <v>0</v>
      </c>
      <c r="M1462">
        <v>0</v>
      </c>
      <c r="N1462">
        <v>1100</v>
      </c>
    </row>
    <row r="1463" spans="1:14" x14ac:dyDescent="0.25">
      <c r="A1463">
        <v>1463.6736880000001</v>
      </c>
      <c r="B1463" s="1">
        <f>DATE(2014,5,3) + TIME(16,10,6)</f>
        <v>41762.673680555556</v>
      </c>
      <c r="C1463">
        <v>80</v>
      </c>
      <c r="D1463">
        <v>77.885833739999995</v>
      </c>
      <c r="E1463">
        <v>50</v>
      </c>
      <c r="F1463">
        <v>49.721004485999998</v>
      </c>
      <c r="G1463">
        <v>1357.7104492000001</v>
      </c>
      <c r="H1463">
        <v>1349.7902832</v>
      </c>
      <c r="I1463">
        <v>1313.3137207</v>
      </c>
      <c r="J1463">
        <v>1304.6893310999999</v>
      </c>
      <c r="K1463">
        <v>1100</v>
      </c>
      <c r="L1463">
        <v>0</v>
      </c>
      <c r="M1463">
        <v>0</v>
      </c>
      <c r="N1463">
        <v>1100</v>
      </c>
    </row>
    <row r="1464" spans="1:14" x14ac:dyDescent="0.25">
      <c r="A1464">
        <v>1463.8226360000001</v>
      </c>
      <c r="B1464" s="1">
        <f>DATE(2014,5,3) + TIME(19,44,35)</f>
        <v>41762.822627314818</v>
      </c>
      <c r="C1464">
        <v>80</v>
      </c>
      <c r="D1464">
        <v>78.089279175000001</v>
      </c>
      <c r="E1464">
        <v>50</v>
      </c>
      <c r="F1464">
        <v>49.710269928000002</v>
      </c>
      <c r="G1464">
        <v>1357.6823730000001</v>
      </c>
      <c r="H1464">
        <v>1349.7774658000001</v>
      </c>
      <c r="I1464">
        <v>1313.3132324000001</v>
      </c>
      <c r="J1464">
        <v>1304.6881103999999</v>
      </c>
      <c r="K1464">
        <v>1100</v>
      </c>
      <c r="L1464">
        <v>0</v>
      </c>
      <c r="M1464">
        <v>0</v>
      </c>
      <c r="N1464">
        <v>1100</v>
      </c>
    </row>
    <row r="1465" spans="1:14" x14ac:dyDescent="0.25">
      <c r="A1465">
        <v>1463.9796879999999</v>
      </c>
      <c r="B1465" s="1">
        <f>DATE(2014,5,3) + TIME(23,30,45)</f>
        <v>41762.979687500003</v>
      </c>
      <c r="C1465">
        <v>80</v>
      </c>
      <c r="D1465">
        <v>78.281265258999994</v>
      </c>
      <c r="E1465">
        <v>50</v>
      </c>
      <c r="F1465">
        <v>49.699089049999998</v>
      </c>
      <c r="G1465">
        <v>1357.6544189000001</v>
      </c>
      <c r="H1465">
        <v>1349.7644043</v>
      </c>
      <c r="I1465">
        <v>1313.3126221</v>
      </c>
      <c r="J1465">
        <v>1304.6866454999999</v>
      </c>
      <c r="K1465">
        <v>1100</v>
      </c>
      <c r="L1465">
        <v>0</v>
      </c>
      <c r="M1465">
        <v>0</v>
      </c>
      <c r="N1465">
        <v>1100</v>
      </c>
    </row>
    <row r="1466" spans="1:14" x14ac:dyDescent="0.25">
      <c r="A1466">
        <v>1464.1456049999999</v>
      </c>
      <c r="B1466" s="1">
        <f>DATE(2014,5,4) + TIME(3,29,40)</f>
        <v>41763.145601851851</v>
      </c>
      <c r="C1466">
        <v>80</v>
      </c>
      <c r="D1466">
        <v>78.461692810000002</v>
      </c>
      <c r="E1466">
        <v>50</v>
      </c>
      <c r="F1466">
        <v>49.687423705999997</v>
      </c>
      <c r="G1466">
        <v>1357.6265868999999</v>
      </c>
      <c r="H1466">
        <v>1349.7507324000001</v>
      </c>
      <c r="I1466">
        <v>1313.3118896000001</v>
      </c>
      <c r="J1466">
        <v>1304.6851807</v>
      </c>
      <c r="K1466">
        <v>1100</v>
      </c>
      <c r="L1466">
        <v>0</v>
      </c>
      <c r="M1466">
        <v>0</v>
      </c>
      <c r="N1466">
        <v>1100</v>
      </c>
    </row>
    <row r="1467" spans="1:14" x14ac:dyDescent="0.25">
      <c r="A1467">
        <v>1464.3213740000001</v>
      </c>
      <c r="B1467" s="1">
        <f>DATE(2014,5,4) + TIME(7,42,46)</f>
        <v>41763.32136574074</v>
      </c>
      <c r="C1467">
        <v>80</v>
      </c>
      <c r="D1467">
        <v>78.630607604999994</v>
      </c>
      <c r="E1467">
        <v>50</v>
      </c>
      <c r="F1467">
        <v>49.675224303999997</v>
      </c>
      <c r="G1467">
        <v>1357.5988769999999</v>
      </c>
      <c r="H1467">
        <v>1349.7364502</v>
      </c>
      <c r="I1467">
        <v>1313.3112793</v>
      </c>
      <c r="J1467">
        <v>1304.6837158000001</v>
      </c>
      <c r="K1467">
        <v>1100</v>
      </c>
      <c r="L1467">
        <v>0</v>
      </c>
      <c r="M1467">
        <v>0</v>
      </c>
      <c r="N1467">
        <v>1100</v>
      </c>
    </row>
    <row r="1468" spans="1:14" x14ac:dyDescent="0.25">
      <c r="A1468">
        <v>1464.508145</v>
      </c>
      <c r="B1468" s="1">
        <f>DATE(2014,5,4) + TIME(12,11,43)</f>
        <v>41763.508136574077</v>
      </c>
      <c r="C1468">
        <v>80</v>
      </c>
      <c r="D1468">
        <v>78.788070679</v>
      </c>
      <c r="E1468">
        <v>50</v>
      </c>
      <c r="F1468">
        <v>49.662429809999999</v>
      </c>
      <c r="G1468">
        <v>1357.5709228999999</v>
      </c>
      <c r="H1468">
        <v>1349.7215576000001</v>
      </c>
      <c r="I1468">
        <v>1313.3104248</v>
      </c>
      <c r="J1468">
        <v>1304.6821289</v>
      </c>
      <c r="K1468">
        <v>1100</v>
      </c>
      <c r="L1468">
        <v>0</v>
      </c>
      <c r="M1468">
        <v>0</v>
      </c>
      <c r="N1468">
        <v>1100</v>
      </c>
    </row>
    <row r="1469" spans="1:14" x14ac:dyDescent="0.25">
      <c r="A1469">
        <v>1464.707277</v>
      </c>
      <c r="B1469" s="1">
        <f>DATE(2014,5,4) + TIME(16,58,28)</f>
        <v>41763.707268518519</v>
      </c>
      <c r="C1469">
        <v>80</v>
      </c>
      <c r="D1469">
        <v>78.934165954999997</v>
      </c>
      <c r="E1469">
        <v>50</v>
      </c>
      <c r="F1469">
        <v>49.648967743</v>
      </c>
      <c r="G1469">
        <v>1357.5427245999999</v>
      </c>
      <c r="H1469">
        <v>1349.7059326000001</v>
      </c>
      <c r="I1469">
        <v>1313.3096923999999</v>
      </c>
      <c r="J1469">
        <v>1304.6804199000001</v>
      </c>
      <c r="K1469">
        <v>1100</v>
      </c>
      <c r="L1469">
        <v>0</v>
      </c>
      <c r="M1469">
        <v>0</v>
      </c>
      <c r="N1469">
        <v>1100</v>
      </c>
    </row>
    <row r="1470" spans="1:14" x14ac:dyDescent="0.25">
      <c r="A1470">
        <v>1464.9203419999999</v>
      </c>
      <c r="B1470" s="1">
        <f>DATE(2014,5,4) + TIME(22,5,17)</f>
        <v>41763.920335648145</v>
      </c>
      <c r="C1470">
        <v>80</v>
      </c>
      <c r="D1470">
        <v>79.068962096999996</v>
      </c>
      <c r="E1470">
        <v>50</v>
      </c>
      <c r="F1470">
        <v>49.634761810000001</v>
      </c>
      <c r="G1470">
        <v>1357.5141602000001</v>
      </c>
      <c r="H1470">
        <v>1349.6894531</v>
      </c>
      <c r="I1470">
        <v>1313.3087158000001</v>
      </c>
      <c r="J1470">
        <v>1304.6785889</v>
      </c>
      <c r="K1470">
        <v>1100</v>
      </c>
      <c r="L1470">
        <v>0</v>
      </c>
      <c r="M1470">
        <v>0</v>
      </c>
      <c r="N1470">
        <v>1100</v>
      </c>
    </row>
    <row r="1471" spans="1:14" x14ac:dyDescent="0.25">
      <c r="A1471">
        <v>1465.1493069999999</v>
      </c>
      <c r="B1471" s="1">
        <f>DATE(2014,5,5) + TIME(3,35,0)</f>
        <v>41764.149305555555</v>
      </c>
      <c r="C1471">
        <v>80</v>
      </c>
      <c r="D1471">
        <v>79.192619324000006</v>
      </c>
      <c r="E1471">
        <v>50</v>
      </c>
      <c r="F1471">
        <v>49.619709014999998</v>
      </c>
      <c r="G1471">
        <v>1357.4848632999999</v>
      </c>
      <c r="H1471">
        <v>1349.6719971</v>
      </c>
      <c r="I1471">
        <v>1313.3078613</v>
      </c>
      <c r="J1471">
        <v>1304.6766356999999</v>
      </c>
      <c r="K1471">
        <v>1100</v>
      </c>
      <c r="L1471">
        <v>0</v>
      </c>
      <c r="M1471">
        <v>0</v>
      </c>
      <c r="N1471">
        <v>1100</v>
      </c>
    </row>
    <row r="1472" spans="1:14" x14ac:dyDescent="0.25">
      <c r="A1472">
        <v>1465.3965430000001</v>
      </c>
      <c r="B1472" s="1">
        <f>DATE(2014,5,5) + TIME(9,31,1)</f>
        <v>41764.396539351852</v>
      </c>
      <c r="C1472">
        <v>80</v>
      </c>
      <c r="D1472">
        <v>79.305297851999995</v>
      </c>
      <c r="E1472">
        <v>50</v>
      </c>
      <c r="F1472">
        <v>49.603687286000003</v>
      </c>
      <c r="G1472">
        <v>1357.4548339999999</v>
      </c>
      <c r="H1472">
        <v>1349.6534423999999</v>
      </c>
      <c r="I1472">
        <v>1313.3067627</v>
      </c>
      <c r="J1472">
        <v>1304.6745605000001</v>
      </c>
      <c r="K1472">
        <v>1100</v>
      </c>
      <c r="L1472">
        <v>0</v>
      </c>
      <c r="M1472">
        <v>0</v>
      </c>
      <c r="N1472">
        <v>1100</v>
      </c>
    </row>
    <row r="1473" spans="1:14" x14ac:dyDescent="0.25">
      <c r="A1473">
        <v>1465.6603749999999</v>
      </c>
      <c r="B1473" s="1">
        <f>DATE(2014,5,5) + TIME(15,50,56)</f>
        <v>41764.660370370373</v>
      </c>
      <c r="C1473">
        <v>80</v>
      </c>
      <c r="D1473">
        <v>79.405731200999995</v>
      </c>
      <c r="E1473">
        <v>50</v>
      </c>
      <c r="F1473">
        <v>49.586814879999999</v>
      </c>
      <c r="G1473">
        <v>1357.4244385</v>
      </c>
      <c r="H1473">
        <v>1349.6340332</v>
      </c>
      <c r="I1473">
        <v>1313.3056641000001</v>
      </c>
      <c r="J1473">
        <v>1304.6723632999999</v>
      </c>
      <c r="K1473">
        <v>1100</v>
      </c>
      <c r="L1473">
        <v>0</v>
      </c>
      <c r="M1473">
        <v>0</v>
      </c>
      <c r="N1473">
        <v>1100</v>
      </c>
    </row>
    <row r="1474" spans="1:14" x14ac:dyDescent="0.25">
      <c r="A1474">
        <v>1465.9268770000001</v>
      </c>
      <c r="B1474" s="1">
        <f>DATE(2014,5,5) + TIME(22,14,42)</f>
        <v>41764.926874999997</v>
      </c>
      <c r="C1474">
        <v>80</v>
      </c>
      <c r="D1474">
        <v>79.490356445000003</v>
      </c>
      <c r="E1474">
        <v>50</v>
      </c>
      <c r="F1474">
        <v>49.569869994999998</v>
      </c>
      <c r="G1474">
        <v>1357.3950195</v>
      </c>
      <c r="H1474">
        <v>1349.6145019999999</v>
      </c>
      <c r="I1474">
        <v>1313.3043213000001</v>
      </c>
      <c r="J1474">
        <v>1304.6700439000001</v>
      </c>
      <c r="K1474">
        <v>1100</v>
      </c>
      <c r="L1474">
        <v>0</v>
      </c>
      <c r="M1474">
        <v>0</v>
      </c>
      <c r="N1474">
        <v>1100</v>
      </c>
    </row>
    <row r="1475" spans="1:14" x14ac:dyDescent="0.25">
      <c r="A1475">
        <v>1466.1966689999999</v>
      </c>
      <c r="B1475" s="1">
        <f>DATE(2014,5,6) + TIME(4,43,12)</f>
        <v>41765.196666666663</v>
      </c>
      <c r="C1475">
        <v>80</v>
      </c>
      <c r="D1475">
        <v>79.561691284000005</v>
      </c>
      <c r="E1475">
        <v>50</v>
      </c>
      <c r="F1475">
        <v>49.552822112999998</v>
      </c>
      <c r="G1475">
        <v>1357.3660889</v>
      </c>
      <c r="H1475">
        <v>1349.5948486</v>
      </c>
      <c r="I1475">
        <v>1313.3029785000001</v>
      </c>
      <c r="J1475">
        <v>1304.6676024999999</v>
      </c>
      <c r="K1475">
        <v>1100</v>
      </c>
      <c r="L1475">
        <v>0</v>
      </c>
      <c r="M1475">
        <v>0</v>
      </c>
      <c r="N1475">
        <v>1100</v>
      </c>
    </row>
    <row r="1476" spans="1:14" x14ac:dyDescent="0.25">
      <c r="A1476">
        <v>1466.4693540000001</v>
      </c>
      <c r="B1476" s="1">
        <f>DATE(2014,5,6) + TIME(11,15,52)</f>
        <v>41765.469351851854</v>
      </c>
      <c r="C1476">
        <v>80</v>
      </c>
      <c r="D1476">
        <v>79.621643066000004</v>
      </c>
      <c r="E1476">
        <v>50</v>
      </c>
      <c r="F1476">
        <v>49.535686493</v>
      </c>
      <c r="G1476">
        <v>1357.3377685999999</v>
      </c>
      <c r="H1476">
        <v>1349.5751952999999</v>
      </c>
      <c r="I1476">
        <v>1313.3016356999999</v>
      </c>
      <c r="J1476">
        <v>1304.6652832</v>
      </c>
      <c r="K1476">
        <v>1100</v>
      </c>
      <c r="L1476">
        <v>0</v>
      </c>
      <c r="M1476">
        <v>0</v>
      </c>
      <c r="N1476">
        <v>1100</v>
      </c>
    </row>
    <row r="1477" spans="1:14" x14ac:dyDescent="0.25">
      <c r="A1477">
        <v>1466.745588</v>
      </c>
      <c r="B1477" s="1">
        <f>DATE(2014,5,6) + TIME(17,53,38)</f>
        <v>41765.745578703703</v>
      </c>
      <c r="C1477">
        <v>80</v>
      </c>
      <c r="D1477">
        <v>79.672050475999995</v>
      </c>
      <c r="E1477">
        <v>50</v>
      </c>
      <c r="F1477">
        <v>49.518436432000001</v>
      </c>
      <c r="G1477">
        <v>1357.3096923999999</v>
      </c>
      <c r="H1477">
        <v>1349.5555420000001</v>
      </c>
      <c r="I1477">
        <v>1313.300293</v>
      </c>
      <c r="J1477">
        <v>1304.6628418</v>
      </c>
      <c r="K1477">
        <v>1100</v>
      </c>
      <c r="L1477">
        <v>0</v>
      </c>
      <c r="M1477">
        <v>0</v>
      </c>
      <c r="N1477">
        <v>1100</v>
      </c>
    </row>
    <row r="1478" spans="1:14" x14ac:dyDescent="0.25">
      <c r="A1478">
        <v>1467.025981</v>
      </c>
      <c r="B1478" s="1">
        <f>DATE(2014,5,7) + TIME(0,37,24)</f>
        <v>41766.025972222225</v>
      </c>
      <c r="C1478">
        <v>80</v>
      </c>
      <c r="D1478">
        <v>79.714431762999993</v>
      </c>
      <c r="E1478">
        <v>50</v>
      </c>
      <c r="F1478">
        <v>49.501037598000003</v>
      </c>
      <c r="G1478">
        <v>1357.2819824000001</v>
      </c>
      <c r="H1478">
        <v>1349.5358887</v>
      </c>
      <c r="I1478">
        <v>1313.2988281</v>
      </c>
      <c r="J1478">
        <v>1304.6602783000001</v>
      </c>
      <c r="K1478">
        <v>1100</v>
      </c>
      <c r="L1478">
        <v>0</v>
      </c>
      <c r="M1478">
        <v>0</v>
      </c>
      <c r="N1478">
        <v>1100</v>
      </c>
    </row>
    <row r="1479" spans="1:14" x14ac:dyDescent="0.25">
      <c r="A1479">
        <v>1467.3111489999999</v>
      </c>
      <c r="B1479" s="1">
        <f>DATE(2014,5,7) + TIME(7,28,3)</f>
        <v>41766.311145833337</v>
      </c>
      <c r="C1479">
        <v>80</v>
      </c>
      <c r="D1479">
        <v>79.750053406000006</v>
      </c>
      <c r="E1479">
        <v>50</v>
      </c>
      <c r="F1479">
        <v>49.483455657999997</v>
      </c>
      <c r="G1479">
        <v>1357.2545166</v>
      </c>
      <c r="H1479">
        <v>1349.5162353999999</v>
      </c>
      <c r="I1479">
        <v>1313.2973632999999</v>
      </c>
      <c r="J1479">
        <v>1304.6578368999999</v>
      </c>
      <c r="K1479">
        <v>1100</v>
      </c>
      <c r="L1479">
        <v>0</v>
      </c>
      <c r="M1479">
        <v>0</v>
      </c>
      <c r="N1479">
        <v>1100</v>
      </c>
    </row>
    <row r="1480" spans="1:14" x14ac:dyDescent="0.25">
      <c r="A1480">
        <v>1467.6018489999999</v>
      </c>
      <c r="B1480" s="1">
        <f>DATE(2014,5,7) + TIME(14,26,39)</f>
        <v>41766.601840277777</v>
      </c>
      <c r="C1480">
        <v>80</v>
      </c>
      <c r="D1480">
        <v>79.779983521000005</v>
      </c>
      <c r="E1480">
        <v>50</v>
      </c>
      <c r="F1480">
        <v>49.465652466000002</v>
      </c>
      <c r="G1480">
        <v>1357.2271728999999</v>
      </c>
      <c r="H1480">
        <v>1349.4964600000001</v>
      </c>
      <c r="I1480">
        <v>1313.2958983999999</v>
      </c>
      <c r="J1480">
        <v>1304.6551514</v>
      </c>
      <c r="K1480">
        <v>1100</v>
      </c>
      <c r="L1480">
        <v>0</v>
      </c>
      <c r="M1480">
        <v>0</v>
      </c>
      <c r="N1480">
        <v>1100</v>
      </c>
    </row>
    <row r="1481" spans="1:14" x14ac:dyDescent="0.25">
      <c r="A1481">
        <v>1467.8986379999999</v>
      </c>
      <c r="B1481" s="1">
        <f>DATE(2014,5,7) + TIME(21,34,2)</f>
        <v>41766.898634259262</v>
      </c>
      <c r="C1481">
        <v>80</v>
      </c>
      <c r="D1481">
        <v>79.805099487000007</v>
      </c>
      <c r="E1481">
        <v>50</v>
      </c>
      <c r="F1481">
        <v>49.447601317999997</v>
      </c>
      <c r="G1481">
        <v>1357.2000731999999</v>
      </c>
      <c r="H1481">
        <v>1349.4766846</v>
      </c>
      <c r="I1481">
        <v>1313.2944336</v>
      </c>
      <c r="J1481">
        <v>1304.6525879000001</v>
      </c>
      <c r="K1481">
        <v>1100</v>
      </c>
      <c r="L1481">
        <v>0</v>
      </c>
      <c r="M1481">
        <v>0</v>
      </c>
      <c r="N1481">
        <v>1100</v>
      </c>
    </row>
    <row r="1482" spans="1:14" x14ac:dyDescent="0.25">
      <c r="A1482">
        <v>1468.202211</v>
      </c>
      <c r="B1482" s="1">
        <f>DATE(2014,5,8) + TIME(4,51,11)</f>
        <v>41767.202210648145</v>
      </c>
      <c r="C1482">
        <v>80</v>
      </c>
      <c r="D1482">
        <v>79.826148986999996</v>
      </c>
      <c r="E1482">
        <v>50</v>
      </c>
      <c r="F1482">
        <v>49.429267883000001</v>
      </c>
      <c r="G1482">
        <v>1357.1729736</v>
      </c>
      <c r="H1482">
        <v>1349.4569091999999</v>
      </c>
      <c r="I1482">
        <v>1313.2928466999999</v>
      </c>
      <c r="J1482">
        <v>1304.6499022999999</v>
      </c>
      <c r="K1482">
        <v>1100</v>
      </c>
      <c r="L1482">
        <v>0</v>
      </c>
      <c r="M1482">
        <v>0</v>
      </c>
      <c r="N1482">
        <v>1100</v>
      </c>
    </row>
    <row r="1483" spans="1:14" x14ac:dyDescent="0.25">
      <c r="A1483">
        <v>1468.513316</v>
      </c>
      <c r="B1483" s="1">
        <f>DATE(2014,5,8) + TIME(12,19,10)</f>
        <v>41767.513310185182</v>
      </c>
      <c r="C1483">
        <v>80</v>
      </c>
      <c r="D1483">
        <v>79.843765258999994</v>
      </c>
      <c r="E1483">
        <v>50</v>
      </c>
      <c r="F1483">
        <v>49.410614013999997</v>
      </c>
      <c r="G1483">
        <v>1357.145874</v>
      </c>
      <c r="H1483">
        <v>1349.4371338000001</v>
      </c>
      <c r="I1483">
        <v>1313.2911377</v>
      </c>
      <c r="J1483">
        <v>1304.6470947</v>
      </c>
      <c r="K1483">
        <v>1100</v>
      </c>
      <c r="L1483">
        <v>0</v>
      </c>
      <c r="M1483">
        <v>0</v>
      </c>
      <c r="N1483">
        <v>1100</v>
      </c>
    </row>
    <row r="1484" spans="1:14" x14ac:dyDescent="0.25">
      <c r="A1484">
        <v>1468.8327569999999</v>
      </c>
      <c r="B1484" s="1">
        <f>DATE(2014,5,8) + TIME(19,59,10)</f>
        <v>41767.832754629628</v>
      </c>
      <c r="C1484">
        <v>80</v>
      </c>
      <c r="D1484">
        <v>79.858482361</v>
      </c>
      <c r="E1484">
        <v>50</v>
      </c>
      <c r="F1484">
        <v>49.391597748000002</v>
      </c>
      <c r="G1484">
        <v>1357.1188964999999</v>
      </c>
      <c r="H1484">
        <v>1349.4172363</v>
      </c>
      <c r="I1484">
        <v>1313.2895507999999</v>
      </c>
      <c r="J1484">
        <v>1304.6441649999999</v>
      </c>
      <c r="K1484">
        <v>1100</v>
      </c>
      <c r="L1484">
        <v>0</v>
      </c>
      <c r="M1484">
        <v>0</v>
      </c>
      <c r="N1484">
        <v>1100</v>
      </c>
    </row>
    <row r="1485" spans="1:14" x14ac:dyDescent="0.25">
      <c r="A1485">
        <v>1469.161413</v>
      </c>
      <c r="B1485" s="1">
        <f>DATE(2014,5,9) + TIME(3,52,26)</f>
        <v>41768.161412037036</v>
      </c>
      <c r="C1485">
        <v>80</v>
      </c>
      <c r="D1485">
        <v>79.870758057000003</v>
      </c>
      <c r="E1485">
        <v>50</v>
      </c>
      <c r="F1485">
        <v>49.372180939000003</v>
      </c>
      <c r="G1485">
        <v>1357.0917969</v>
      </c>
      <c r="H1485">
        <v>1349.3972168</v>
      </c>
      <c r="I1485">
        <v>1313.2877197</v>
      </c>
      <c r="J1485">
        <v>1304.6412353999999</v>
      </c>
      <c r="K1485">
        <v>1100</v>
      </c>
      <c r="L1485">
        <v>0</v>
      </c>
      <c r="M1485">
        <v>0</v>
      </c>
      <c r="N1485">
        <v>1100</v>
      </c>
    </row>
    <row r="1486" spans="1:14" x14ac:dyDescent="0.25">
      <c r="A1486">
        <v>1469.5002440000001</v>
      </c>
      <c r="B1486" s="1">
        <f>DATE(2014,5,9) + TIME(12,0,21)</f>
        <v>41768.500243055554</v>
      </c>
      <c r="C1486">
        <v>80</v>
      </c>
      <c r="D1486">
        <v>79.880973815999994</v>
      </c>
      <c r="E1486">
        <v>50</v>
      </c>
      <c r="F1486">
        <v>49.352313995000003</v>
      </c>
      <c r="G1486">
        <v>1357.0645752</v>
      </c>
      <c r="H1486">
        <v>1349.3771973</v>
      </c>
      <c r="I1486">
        <v>1313.2860106999999</v>
      </c>
      <c r="J1486">
        <v>1304.6381836</v>
      </c>
      <c r="K1486">
        <v>1100</v>
      </c>
      <c r="L1486">
        <v>0</v>
      </c>
      <c r="M1486">
        <v>0</v>
      </c>
      <c r="N1486">
        <v>1100</v>
      </c>
    </row>
    <row r="1487" spans="1:14" x14ac:dyDescent="0.25">
      <c r="A1487">
        <v>1469.850308</v>
      </c>
      <c r="B1487" s="1">
        <f>DATE(2014,5,9) + TIME(20,24,26)</f>
        <v>41768.850300925929</v>
      </c>
      <c r="C1487">
        <v>80</v>
      </c>
      <c r="D1487">
        <v>79.889457703000005</v>
      </c>
      <c r="E1487">
        <v>50</v>
      </c>
      <c r="F1487">
        <v>49.331951140999998</v>
      </c>
      <c r="G1487">
        <v>1357.0372314000001</v>
      </c>
      <c r="H1487">
        <v>1349.3570557</v>
      </c>
      <c r="I1487">
        <v>1313.2840576000001</v>
      </c>
      <c r="J1487">
        <v>1304.6350098</v>
      </c>
      <c r="K1487">
        <v>1100</v>
      </c>
      <c r="L1487">
        <v>0</v>
      </c>
      <c r="M1487">
        <v>0</v>
      </c>
      <c r="N1487">
        <v>1100</v>
      </c>
    </row>
    <row r="1488" spans="1:14" x14ac:dyDescent="0.25">
      <c r="A1488">
        <v>1470.2121500000001</v>
      </c>
      <c r="B1488" s="1">
        <f>DATE(2014,5,10) + TIME(5,5,29)</f>
        <v>41769.212141203701</v>
      </c>
      <c r="C1488">
        <v>80</v>
      </c>
      <c r="D1488">
        <v>79.896469116000006</v>
      </c>
      <c r="E1488">
        <v>50</v>
      </c>
      <c r="F1488">
        <v>49.311065673999998</v>
      </c>
      <c r="G1488">
        <v>1357.0096435999999</v>
      </c>
      <c r="H1488">
        <v>1349.3366699000001</v>
      </c>
      <c r="I1488">
        <v>1313.2821045000001</v>
      </c>
      <c r="J1488">
        <v>1304.6317139</v>
      </c>
      <c r="K1488">
        <v>1100</v>
      </c>
      <c r="L1488">
        <v>0</v>
      </c>
      <c r="M1488">
        <v>0</v>
      </c>
      <c r="N1488">
        <v>1100</v>
      </c>
    </row>
    <row r="1489" spans="1:14" x14ac:dyDescent="0.25">
      <c r="A1489">
        <v>1470.5846550000001</v>
      </c>
      <c r="B1489" s="1">
        <f>DATE(2014,5,10) + TIME(14,1,54)</f>
        <v>41769.584652777776</v>
      </c>
      <c r="C1489">
        <v>80</v>
      </c>
      <c r="D1489">
        <v>79.902236938000001</v>
      </c>
      <c r="E1489">
        <v>50</v>
      </c>
      <c r="F1489">
        <v>49.289714813000003</v>
      </c>
      <c r="G1489">
        <v>1356.9819336</v>
      </c>
      <c r="H1489">
        <v>1349.3162841999999</v>
      </c>
      <c r="I1489">
        <v>1313.2801514</v>
      </c>
      <c r="J1489">
        <v>1304.6282959</v>
      </c>
      <c r="K1489">
        <v>1100</v>
      </c>
      <c r="L1489">
        <v>0</v>
      </c>
      <c r="M1489">
        <v>0</v>
      </c>
      <c r="N1489">
        <v>1100</v>
      </c>
    </row>
    <row r="1490" spans="1:14" x14ac:dyDescent="0.25">
      <c r="A1490">
        <v>1470.9689350000001</v>
      </c>
      <c r="B1490" s="1">
        <f>DATE(2014,5,10) + TIME(23,15,15)</f>
        <v>41769.968923611108</v>
      </c>
      <c r="C1490">
        <v>80</v>
      </c>
      <c r="D1490">
        <v>79.906967163000004</v>
      </c>
      <c r="E1490">
        <v>50</v>
      </c>
      <c r="F1490">
        <v>49.267845154</v>
      </c>
      <c r="G1490">
        <v>1356.9542236</v>
      </c>
      <c r="H1490">
        <v>1349.2957764</v>
      </c>
      <c r="I1490">
        <v>1313.2779541</v>
      </c>
      <c r="J1490">
        <v>1304.6247559000001</v>
      </c>
      <c r="K1490">
        <v>1100</v>
      </c>
      <c r="L1490">
        <v>0</v>
      </c>
      <c r="M1490">
        <v>0</v>
      </c>
      <c r="N1490">
        <v>1100</v>
      </c>
    </row>
    <row r="1491" spans="1:14" x14ac:dyDescent="0.25">
      <c r="A1491">
        <v>1471.366121</v>
      </c>
      <c r="B1491" s="1">
        <f>DATE(2014,5,11) + TIME(8,47,12)</f>
        <v>41770.366111111114</v>
      </c>
      <c r="C1491">
        <v>80</v>
      </c>
      <c r="D1491">
        <v>79.910842896000005</v>
      </c>
      <c r="E1491">
        <v>50</v>
      </c>
      <c r="F1491">
        <v>49.245414734000001</v>
      </c>
      <c r="G1491">
        <v>1356.9262695</v>
      </c>
      <c r="H1491">
        <v>1349.2751464999999</v>
      </c>
      <c r="I1491">
        <v>1313.2757568</v>
      </c>
      <c r="J1491">
        <v>1304.6210937999999</v>
      </c>
      <c r="K1491">
        <v>1100</v>
      </c>
      <c r="L1491">
        <v>0</v>
      </c>
      <c r="M1491">
        <v>0</v>
      </c>
      <c r="N1491">
        <v>1100</v>
      </c>
    </row>
    <row r="1492" spans="1:14" x14ac:dyDescent="0.25">
      <c r="A1492">
        <v>1471.7774810000001</v>
      </c>
      <c r="B1492" s="1">
        <f>DATE(2014,5,11) + TIME(18,39,34)</f>
        <v>41770.77747685185</v>
      </c>
      <c r="C1492">
        <v>80</v>
      </c>
      <c r="D1492">
        <v>79.914016724000007</v>
      </c>
      <c r="E1492">
        <v>50</v>
      </c>
      <c r="F1492">
        <v>49.222358704000001</v>
      </c>
      <c r="G1492">
        <v>1356.8981934000001</v>
      </c>
      <c r="H1492">
        <v>1349.2545166</v>
      </c>
      <c r="I1492">
        <v>1313.2735596</v>
      </c>
      <c r="J1492">
        <v>1304.6173096</v>
      </c>
      <c r="K1492">
        <v>1100</v>
      </c>
      <c r="L1492">
        <v>0</v>
      </c>
      <c r="M1492">
        <v>0</v>
      </c>
      <c r="N1492">
        <v>1100</v>
      </c>
    </row>
    <row r="1493" spans="1:14" x14ac:dyDescent="0.25">
      <c r="A1493">
        <v>1472.204442</v>
      </c>
      <c r="B1493" s="1">
        <f>DATE(2014,5,12) + TIME(4,54,23)</f>
        <v>41771.204432870371</v>
      </c>
      <c r="C1493">
        <v>80</v>
      </c>
      <c r="D1493">
        <v>79.916610718000001</v>
      </c>
      <c r="E1493">
        <v>50</v>
      </c>
      <c r="F1493">
        <v>49.198619843000003</v>
      </c>
      <c r="G1493">
        <v>1356.8698730000001</v>
      </c>
      <c r="H1493">
        <v>1349.2336425999999</v>
      </c>
      <c r="I1493">
        <v>1313.2711182</v>
      </c>
      <c r="J1493">
        <v>1304.6132812000001</v>
      </c>
      <c r="K1493">
        <v>1100</v>
      </c>
      <c r="L1493">
        <v>0</v>
      </c>
      <c r="M1493">
        <v>0</v>
      </c>
      <c r="N1493">
        <v>1100</v>
      </c>
    </row>
    <row r="1494" spans="1:14" x14ac:dyDescent="0.25">
      <c r="A1494">
        <v>1472.648623</v>
      </c>
      <c r="B1494" s="1">
        <f>DATE(2014,5,12) + TIME(15,34,0)</f>
        <v>41771.648611111108</v>
      </c>
      <c r="C1494">
        <v>80</v>
      </c>
      <c r="D1494">
        <v>79.918739318999997</v>
      </c>
      <c r="E1494">
        <v>50</v>
      </c>
      <c r="F1494">
        <v>49.174129485999998</v>
      </c>
      <c r="G1494">
        <v>1356.8413086</v>
      </c>
      <c r="H1494">
        <v>1349.2127685999999</v>
      </c>
      <c r="I1494">
        <v>1313.2685547000001</v>
      </c>
      <c r="J1494">
        <v>1304.6091309000001</v>
      </c>
      <c r="K1494">
        <v>1100</v>
      </c>
      <c r="L1494">
        <v>0</v>
      </c>
      <c r="M1494">
        <v>0</v>
      </c>
      <c r="N1494">
        <v>1100</v>
      </c>
    </row>
    <row r="1495" spans="1:14" x14ac:dyDescent="0.25">
      <c r="A1495">
        <v>1473.1120940000001</v>
      </c>
      <c r="B1495" s="1">
        <f>DATE(2014,5,13) + TIME(2,41,24)</f>
        <v>41772.112083333333</v>
      </c>
      <c r="C1495">
        <v>80</v>
      </c>
      <c r="D1495">
        <v>79.920471191000004</v>
      </c>
      <c r="E1495">
        <v>50</v>
      </c>
      <c r="F1495">
        <v>49.148799896</v>
      </c>
      <c r="G1495">
        <v>1356.8123779</v>
      </c>
      <c r="H1495">
        <v>1349.1915283000001</v>
      </c>
      <c r="I1495">
        <v>1313.2659911999999</v>
      </c>
      <c r="J1495">
        <v>1304.6047363</v>
      </c>
      <c r="K1495">
        <v>1100</v>
      </c>
      <c r="L1495">
        <v>0</v>
      </c>
      <c r="M1495">
        <v>0</v>
      </c>
      <c r="N1495">
        <v>1100</v>
      </c>
    </row>
    <row r="1496" spans="1:14" x14ac:dyDescent="0.25">
      <c r="A1496">
        <v>1473.5943500000001</v>
      </c>
      <c r="B1496" s="1">
        <f>DATE(2014,5,13) + TIME(14,15,51)</f>
        <v>41772.594340277778</v>
      </c>
      <c r="C1496">
        <v>80</v>
      </c>
      <c r="D1496">
        <v>79.921882628999995</v>
      </c>
      <c r="E1496">
        <v>50</v>
      </c>
      <c r="F1496">
        <v>49.122650145999998</v>
      </c>
      <c r="G1496">
        <v>1356.7829589999999</v>
      </c>
      <c r="H1496">
        <v>1349.1700439000001</v>
      </c>
      <c r="I1496">
        <v>1313.2631836</v>
      </c>
      <c r="J1496">
        <v>1304.6000977000001</v>
      </c>
      <c r="K1496">
        <v>1100</v>
      </c>
      <c r="L1496">
        <v>0</v>
      </c>
      <c r="M1496">
        <v>0</v>
      </c>
      <c r="N1496">
        <v>1100</v>
      </c>
    </row>
    <row r="1497" spans="1:14" x14ac:dyDescent="0.25">
      <c r="A1497">
        <v>1474.095478</v>
      </c>
      <c r="B1497" s="1">
        <f>DATE(2014,5,14) + TIME(2,17,29)</f>
        <v>41773.09547453704</v>
      </c>
      <c r="C1497">
        <v>80</v>
      </c>
      <c r="D1497">
        <v>79.923027039000004</v>
      </c>
      <c r="E1497">
        <v>50</v>
      </c>
      <c r="F1497">
        <v>49.095680237000003</v>
      </c>
      <c r="G1497">
        <v>1356.7532959</v>
      </c>
      <c r="H1497">
        <v>1349.1484375</v>
      </c>
      <c r="I1497">
        <v>1313.2602539</v>
      </c>
      <c r="J1497">
        <v>1304.5952147999999</v>
      </c>
      <c r="K1497">
        <v>1100</v>
      </c>
      <c r="L1497">
        <v>0</v>
      </c>
      <c r="M1497">
        <v>0</v>
      </c>
      <c r="N1497">
        <v>1100</v>
      </c>
    </row>
    <row r="1498" spans="1:14" x14ac:dyDescent="0.25">
      <c r="A1498">
        <v>1474.617238</v>
      </c>
      <c r="B1498" s="1">
        <f>DATE(2014,5,14) + TIME(14,48,49)</f>
        <v>41773.6172337963</v>
      </c>
      <c r="C1498">
        <v>80</v>
      </c>
      <c r="D1498">
        <v>79.923957825000002</v>
      </c>
      <c r="E1498">
        <v>50</v>
      </c>
      <c r="F1498">
        <v>49.067825317</v>
      </c>
      <c r="G1498">
        <v>1356.7233887</v>
      </c>
      <c r="H1498">
        <v>1349.1265868999999</v>
      </c>
      <c r="I1498">
        <v>1313.2572021000001</v>
      </c>
      <c r="J1498">
        <v>1304.5900879000001</v>
      </c>
      <c r="K1498">
        <v>1100</v>
      </c>
      <c r="L1498">
        <v>0</v>
      </c>
      <c r="M1498">
        <v>0</v>
      </c>
      <c r="N1498">
        <v>1100</v>
      </c>
    </row>
    <row r="1499" spans="1:14" x14ac:dyDescent="0.25">
      <c r="A1499">
        <v>1475.1496099999999</v>
      </c>
      <c r="B1499" s="1">
        <f>DATE(2014,5,15) + TIME(3,35,26)</f>
        <v>41774.149606481478</v>
      </c>
      <c r="C1499">
        <v>80</v>
      </c>
      <c r="D1499">
        <v>79.924705505000006</v>
      </c>
      <c r="E1499">
        <v>50</v>
      </c>
      <c r="F1499">
        <v>49.039501190000003</v>
      </c>
      <c r="G1499">
        <v>1356.6929932</v>
      </c>
      <c r="H1499">
        <v>1349.1046143000001</v>
      </c>
      <c r="I1499">
        <v>1313.2539062000001</v>
      </c>
      <c r="J1499">
        <v>1304.5847168</v>
      </c>
      <c r="K1499">
        <v>1100</v>
      </c>
      <c r="L1499">
        <v>0</v>
      </c>
      <c r="M1499">
        <v>0</v>
      </c>
      <c r="N1499">
        <v>1100</v>
      </c>
    </row>
    <row r="1500" spans="1:14" x14ac:dyDescent="0.25">
      <c r="A1500">
        <v>1475.6864579999999</v>
      </c>
      <c r="B1500" s="1">
        <f>DATE(2014,5,15) + TIME(16,28,29)</f>
        <v>41774.68644675926</v>
      </c>
      <c r="C1500">
        <v>80</v>
      </c>
      <c r="D1500">
        <v>79.925292968999997</v>
      </c>
      <c r="E1500">
        <v>50</v>
      </c>
      <c r="F1500">
        <v>49.010978698999999</v>
      </c>
      <c r="G1500">
        <v>1356.6629639</v>
      </c>
      <c r="H1500">
        <v>1349.0827637</v>
      </c>
      <c r="I1500">
        <v>1313.2506103999999</v>
      </c>
      <c r="J1500">
        <v>1304.5792236</v>
      </c>
      <c r="K1500">
        <v>1100</v>
      </c>
      <c r="L1500">
        <v>0</v>
      </c>
      <c r="M1500">
        <v>0</v>
      </c>
      <c r="N1500">
        <v>1100</v>
      </c>
    </row>
    <row r="1501" spans="1:14" x14ac:dyDescent="0.25">
      <c r="A1501">
        <v>1476.2293560000001</v>
      </c>
      <c r="B1501" s="1">
        <f>DATE(2014,5,16) + TIME(5,30,16)</f>
        <v>41775.229351851849</v>
      </c>
      <c r="C1501">
        <v>80</v>
      </c>
      <c r="D1501">
        <v>79.925765991000006</v>
      </c>
      <c r="E1501">
        <v>50</v>
      </c>
      <c r="F1501">
        <v>48.982231140000003</v>
      </c>
      <c r="G1501">
        <v>1356.6335449000001</v>
      </c>
      <c r="H1501">
        <v>1349.0615233999999</v>
      </c>
      <c r="I1501">
        <v>1313.2471923999999</v>
      </c>
      <c r="J1501">
        <v>1304.5736084</v>
      </c>
      <c r="K1501">
        <v>1100</v>
      </c>
      <c r="L1501">
        <v>0</v>
      </c>
      <c r="M1501">
        <v>0</v>
      </c>
      <c r="N1501">
        <v>1100</v>
      </c>
    </row>
    <row r="1502" spans="1:14" x14ac:dyDescent="0.25">
      <c r="A1502">
        <v>1476.779822</v>
      </c>
      <c r="B1502" s="1">
        <f>DATE(2014,5,16) + TIME(18,42,56)</f>
        <v>41775.779814814814</v>
      </c>
      <c r="C1502">
        <v>80</v>
      </c>
      <c r="D1502">
        <v>79.926147460999999</v>
      </c>
      <c r="E1502">
        <v>50</v>
      </c>
      <c r="F1502">
        <v>48.953220367</v>
      </c>
      <c r="G1502">
        <v>1356.6044922000001</v>
      </c>
      <c r="H1502">
        <v>1349.0406493999999</v>
      </c>
      <c r="I1502">
        <v>1313.2436522999999</v>
      </c>
      <c r="J1502">
        <v>1304.5678711</v>
      </c>
      <c r="K1502">
        <v>1100</v>
      </c>
      <c r="L1502">
        <v>0</v>
      </c>
      <c r="M1502">
        <v>0</v>
      </c>
      <c r="N1502">
        <v>1100</v>
      </c>
    </row>
    <row r="1503" spans="1:14" x14ac:dyDescent="0.25">
      <c r="A1503">
        <v>1477.3393960000001</v>
      </c>
      <c r="B1503" s="1">
        <f>DATE(2014,5,17) + TIME(8,8,43)</f>
        <v>41776.339386574073</v>
      </c>
      <c r="C1503">
        <v>80</v>
      </c>
      <c r="D1503">
        <v>79.926460266000007</v>
      </c>
      <c r="E1503">
        <v>50</v>
      </c>
      <c r="F1503">
        <v>48.923892975000001</v>
      </c>
      <c r="G1503">
        <v>1356.5759277</v>
      </c>
      <c r="H1503">
        <v>1349.0200195</v>
      </c>
      <c r="I1503">
        <v>1313.2401123</v>
      </c>
      <c r="J1503">
        <v>1304.5620117000001</v>
      </c>
      <c r="K1503">
        <v>1100</v>
      </c>
      <c r="L1503">
        <v>0</v>
      </c>
      <c r="M1503">
        <v>0</v>
      </c>
      <c r="N1503">
        <v>1100</v>
      </c>
    </row>
    <row r="1504" spans="1:14" x14ac:dyDescent="0.25">
      <c r="A1504">
        <v>1477.90967</v>
      </c>
      <c r="B1504" s="1">
        <f>DATE(2014,5,17) + TIME(21,49,55)</f>
        <v>41776.90966435185</v>
      </c>
      <c r="C1504">
        <v>80</v>
      </c>
      <c r="D1504">
        <v>79.926712035999998</v>
      </c>
      <c r="E1504">
        <v>50</v>
      </c>
      <c r="F1504">
        <v>48.894203185999999</v>
      </c>
      <c r="G1504">
        <v>1356.5474853999999</v>
      </c>
      <c r="H1504">
        <v>1348.9996338000001</v>
      </c>
      <c r="I1504">
        <v>1313.2364502</v>
      </c>
      <c r="J1504">
        <v>1304.5559082</v>
      </c>
      <c r="K1504">
        <v>1100</v>
      </c>
      <c r="L1504">
        <v>0</v>
      </c>
      <c r="M1504">
        <v>0</v>
      </c>
      <c r="N1504">
        <v>1100</v>
      </c>
    </row>
    <row r="1505" spans="1:14" x14ac:dyDescent="0.25">
      <c r="A1505">
        <v>1478.4923229999999</v>
      </c>
      <c r="B1505" s="1">
        <f>DATE(2014,5,18) + TIME(11,48,56)</f>
        <v>41777.492314814815</v>
      </c>
      <c r="C1505">
        <v>80</v>
      </c>
      <c r="D1505">
        <v>79.926910399999997</v>
      </c>
      <c r="E1505">
        <v>50</v>
      </c>
      <c r="F1505">
        <v>48.864082336000003</v>
      </c>
      <c r="G1505">
        <v>1356.5194091999999</v>
      </c>
      <c r="H1505">
        <v>1348.9794922000001</v>
      </c>
      <c r="I1505">
        <v>1313.2326660000001</v>
      </c>
      <c r="J1505">
        <v>1304.5495605000001</v>
      </c>
      <c r="K1505">
        <v>1100</v>
      </c>
      <c r="L1505">
        <v>0</v>
      </c>
      <c r="M1505">
        <v>0</v>
      </c>
      <c r="N1505">
        <v>1100</v>
      </c>
    </row>
    <row r="1506" spans="1:14" x14ac:dyDescent="0.25">
      <c r="A1506">
        <v>1479.089142</v>
      </c>
      <c r="B1506" s="1">
        <f>DATE(2014,5,19) + TIME(2,8,21)</f>
        <v>41778.089131944442</v>
      </c>
      <c r="C1506">
        <v>80</v>
      </c>
      <c r="D1506">
        <v>79.927078246999997</v>
      </c>
      <c r="E1506">
        <v>50</v>
      </c>
      <c r="F1506">
        <v>48.833465576000002</v>
      </c>
      <c r="G1506">
        <v>1356.4913329999999</v>
      </c>
      <c r="H1506">
        <v>1348.9594727000001</v>
      </c>
      <c r="I1506">
        <v>1313.2287598</v>
      </c>
      <c r="J1506">
        <v>1304.5430908000001</v>
      </c>
      <c r="K1506">
        <v>1100</v>
      </c>
      <c r="L1506">
        <v>0</v>
      </c>
      <c r="M1506">
        <v>0</v>
      </c>
      <c r="N1506">
        <v>1100</v>
      </c>
    </row>
    <row r="1507" spans="1:14" x14ac:dyDescent="0.25">
      <c r="A1507">
        <v>1479.7020669999999</v>
      </c>
      <c r="B1507" s="1">
        <f>DATE(2014,5,19) + TIME(16,50,58)</f>
        <v>41778.702060185184</v>
      </c>
      <c r="C1507">
        <v>80</v>
      </c>
      <c r="D1507">
        <v>79.927215575999995</v>
      </c>
      <c r="E1507">
        <v>50</v>
      </c>
      <c r="F1507">
        <v>48.802280426000003</v>
      </c>
      <c r="G1507">
        <v>1356.4633789</v>
      </c>
      <c r="H1507">
        <v>1348.9394531</v>
      </c>
      <c r="I1507">
        <v>1313.2247314000001</v>
      </c>
      <c r="J1507">
        <v>1304.5363769999999</v>
      </c>
      <c r="K1507">
        <v>1100</v>
      </c>
      <c r="L1507">
        <v>0</v>
      </c>
      <c r="M1507">
        <v>0</v>
      </c>
      <c r="N1507">
        <v>1100</v>
      </c>
    </row>
    <row r="1508" spans="1:14" x14ac:dyDescent="0.25">
      <c r="A1508">
        <v>1480.329052</v>
      </c>
      <c r="B1508" s="1">
        <f>DATE(2014,5,20) + TIME(7,53,50)</f>
        <v>41779.329050925924</v>
      </c>
      <c r="C1508">
        <v>80</v>
      </c>
      <c r="D1508">
        <v>79.927322387999993</v>
      </c>
      <c r="E1508">
        <v>50</v>
      </c>
      <c r="F1508">
        <v>48.770599365000002</v>
      </c>
      <c r="G1508">
        <v>1356.4353027</v>
      </c>
      <c r="H1508">
        <v>1348.9195557</v>
      </c>
      <c r="I1508">
        <v>1313.2204589999999</v>
      </c>
      <c r="J1508">
        <v>1304.5292969</v>
      </c>
      <c r="K1508">
        <v>1100</v>
      </c>
      <c r="L1508">
        <v>0</v>
      </c>
      <c r="M1508">
        <v>0</v>
      </c>
      <c r="N1508">
        <v>1100</v>
      </c>
    </row>
    <row r="1509" spans="1:14" x14ac:dyDescent="0.25">
      <c r="A1509">
        <v>1480.9686349999999</v>
      </c>
      <c r="B1509" s="1">
        <f>DATE(2014,5,20) + TIME(23,14,50)</f>
        <v>41779.968634259261</v>
      </c>
      <c r="C1509">
        <v>80</v>
      </c>
      <c r="D1509">
        <v>79.927406310999999</v>
      </c>
      <c r="E1509">
        <v>50</v>
      </c>
      <c r="F1509">
        <v>48.738483428999999</v>
      </c>
      <c r="G1509">
        <v>1356.4073486</v>
      </c>
      <c r="H1509">
        <v>1348.8996582</v>
      </c>
      <c r="I1509">
        <v>1313.2160644999999</v>
      </c>
      <c r="J1509">
        <v>1304.5220947</v>
      </c>
      <c r="K1509">
        <v>1100</v>
      </c>
      <c r="L1509">
        <v>0</v>
      </c>
      <c r="M1509">
        <v>0</v>
      </c>
      <c r="N1509">
        <v>1100</v>
      </c>
    </row>
    <row r="1510" spans="1:14" x14ac:dyDescent="0.25">
      <c r="A1510">
        <v>1481.6225939999999</v>
      </c>
      <c r="B1510" s="1">
        <f>DATE(2014,5,21) + TIME(14,56,32)</f>
        <v>41780.62259259259</v>
      </c>
      <c r="C1510">
        <v>80</v>
      </c>
      <c r="D1510">
        <v>79.927467346</v>
      </c>
      <c r="E1510">
        <v>50</v>
      </c>
      <c r="F1510">
        <v>48.705875397</v>
      </c>
      <c r="G1510">
        <v>1356.3795166</v>
      </c>
      <c r="H1510">
        <v>1348.8798827999999</v>
      </c>
      <c r="I1510">
        <v>1313.2115478999999</v>
      </c>
      <c r="J1510">
        <v>1304.5145264</v>
      </c>
      <c r="K1510">
        <v>1100</v>
      </c>
      <c r="L1510">
        <v>0</v>
      </c>
      <c r="M1510">
        <v>0</v>
      </c>
      <c r="N1510">
        <v>1100</v>
      </c>
    </row>
    <row r="1511" spans="1:14" x14ac:dyDescent="0.25">
      <c r="A1511">
        <v>1482.2927910000001</v>
      </c>
      <c r="B1511" s="1">
        <f>DATE(2014,5,22) + TIME(7,1,37)</f>
        <v>41781.29278935185</v>
      </c>
      <c r="C1511">
        <v>80</v>
      </c>
      <c r="D1511">
        <v>79.927520752000007</v>
      </c>
      <c r="E1511">
        <v>50</v>
      </c>
      <c r="F1511">
        <v>48.672710418999998</v>
      </c>
      <c r="G1511">
        <v>1356.3518065999999</v>
      </c>
      <c r="H1511">
        <v>1348.8602295000001</v>
      </c>
      <c r="I1511">
        <v>1313.2069091999999</v>
      </c>
      <c r="J1511">
        <v>1304.5067139</v>
      </c>
      <c r="K1511">
        <v>1100</v>
      </c>
      <c r="L1511">
        <v>0</v>
      </c>
      <c r="M1511">
        <v>0</v>
      </c>
      <c r="N1511">
        <v>1100</v>
      </c>
    </row>
    <row r="1512" spans="1:14" x14ac:dyDescent="0.25">
      <c r="A1512">
        <v>1482.98128</v>
      </c>
      <c r="B1512" s="1">
        <f>DATE(2014,5,22) + TIME(23,33,2)</f>
        <v>41781.981273148151</v>
      </c>
      <c r="C1512">
        <v>80</v>
      </c>
      <c r="D1512">
        <v>79.927558899000005</v>
      </c>
      <c r="E1512">
        <v>50</v>
      </c>
      <c r="F1512">
        <v>48.638912200999997</v>
      </c>
      <c r="G1512">
        <v>1356.3239745999999</v>
      </c>
      <c r="H1512">
        <v>1348.8405762</v>
      </c>
      <c r="I1512">
        <v>1313.2020264</v>
      </c>
      <c r="J1512">
        <v>1304.4986572</v>
      </c>
      <c r="K1512">
        <v>1100</v>
      </c>
      <c r="L1512">
        <v>0</v>
      </c>
      <c r="M1512">
        <v>0</v>
      </c>
      <c r="N1512">
        <v>1100</v>
      </c>
    </row>
    <row r="1513" spans="1:14" x14ac:dyDescent="0.25">
      <c r="A1513">
        <v>1483.690321</v>
      </c>
      <c r="B1513" s="1">
        <f>DATE(2014,5,23) + TIME(16,34,3)</f>
        <v>41782.690312500003</v>
      </c>
      <c r="C1513">
        <v>80</v>
      </c>
      <c r="D1513">
        <v>79.927581786999994</v>
      </c>
      <c r="E1513">
        <v>50</v>
      </c>
      <c r="F1513">
        <v>48.604404449</v>
      </c>
      <c r="G1513">
        <v>1356.2961425999999</v>
      </c>
      <c r="H1513">
        <v>1348.8209228999999</v>
      </c>
      <c r="I1513">
        <v>1313.1968993999999</v>
      </c>
      <c r="J1513">
        <v>1304.4902344</v>
      </c>
      <c r="K1513">
        <v>1100</v>
      </c>
      <c r="L1513">
        <v>0</v>
      </c>
      <c r="M1513">
        <v>0</v>
      </c>
      <c r="N1513">
        <v>1100</v>
      </c>
    </row>
    <row r="1514" spans="1:14" x14ac:dyDescent="0.25">
      <c r="A1514">
        <v>1484.4224489999999</v>
      </c>
      <c r="B1514" s="1">
        <f>DATE(2014,5,24) + TIME(10,8,19)</f>
        <v>41783.422442129631</v>
      </c>
      <c r="C1514">
        <v>80</v>
      </c>
      <c r="D1514">
        <v>79.927597046000002</v>
      </c>
      <c r="E1514">
        <v>50</v>
      </c>
      <c r="F1514">
        <v>48.569091796999999</v>
      </c>
      <c r="G1514">
        <v>1356.2681885</v>
      </c>
      <c r="H1514">
        <v>1348.8011475000001</v>
      </c>
      <c r="I1514">
        <v>1313.1916504000001</v>
      </c>
      <c r="J1514">
        <v>1304.4813231999999</v>
      </c>
      <c r="K1514">
        <v>1100</v>
      </c>
      <c r="L1514">
        <v>0</v>
      </c>
      <c r="M1514">
        <v>0</v>
      </c>
      <c r="N1514">
        <v>1100</v>
      </c>
    </row>
    <row r="1515" spans="1:14" x14ac:dyDescent="0.25">
      <c r="A1515">
        <v>1485.181057</v>
      </c>
      <c r="B1515" s="1">
        <f>DATE(2014,5,25) + TIME(4,20,43)</f>
        <v>41784.18105324074</v>
      </c>
      <c r="C1515">
        <v>80</v>
      </c>
      <c r="D1515">
        <v>79.927604674999998</v>
      </c>
      <c r="E1515">
        <v>50</v>
      </c>
      <c r="F1515">
        <v>48.532852173000002</v>
      </c>
      <c r="G1515">
        <v>1356.2398682</v>
      </c>
      <c r="H1515">
        <v>1348.78125</v>
      </c>
      <c r="I1515">
        <v>1313.1861572</v>
      </c>
      <c r="J1515">
        <v>1304.4720459</v>
      </c>
      <c r="K1515">
        <v>1100</v>
      </c>
      <c r="L1515">
        <v>0</v>
      </c>
      <c r="M1515">
        <v>0</v>
      </c>
      <c r="N1515">
        <v>1100</v>
      </c>
    </row>
    <row r="1516" spans="1:14" x14ac:dyDescent="0.25">
      <c r="A1516">
        <v>1485.9606490000001</v>
      </c>
      <c r="B1516" s="1">
        <f>DATE(2014,5,25) + TIME(23,3,20)</f>
        <v>41784.960648148146</v>
      </c>
      <c r="C1516">
        <v>80</v>
      </c>
      <c r="D1516">
        <v>79.927597046000002</v>
      </c>
      <c r="E1516">
        <v>50</v>
      </c>
      <c r="F1516">
        <v>48.495853424000003</v>
      </c>
      <c r="G1516">
        <v>1356.2113036999999</v>
      </c>
      <c r="H1516">
        <v>1348.7612305</v>
      </c>
      <c r="I1516">
        <v>1313.1802978999999</v>
      </c>
      <c r="J1516">
        <v>1304.4624022999999</v>
      </c>
      <c r="K1516">
        <v>1100</v>
      </c>
      <c r="L1516">
        <v>0</v>
      </c>
      <c r="M1516">
        <v>0</v>
      </c>
      <c r="N1516">
        <v>1100</v>
      </c>
    </row>
    <row r="1517" spans="1:14" x14ac:dyDescent="0.25">
      <c r="A1517">
        <v>1486.75801</v>
      </c>
      <c r="B1517" s="1">
        <f>DATE(2014,5,26) + TIME(18,11,32)</f>
        <v>41785.758009259262</v>
      </c>
      <c r="C1517">
        <v>80</v>
      </c>
      <c r="D1517">
        <v>79.927589416999993</v>
      </c>
      <c r="E1517">
        <v>50</v>
      </c>
      <c r="F1517">
        <v>48.458217621000003</v>
      </c>
      <c r="G1517">
        <v>1356.1827393000001</v>
      </c>
      <c r="H1517">
        <v>1348.7410889</v>
      </c>
      <c r="I1517">
        <v>1313.1741943</v>
      </c>
      <c r="J1517">
        <v>1304.4522704999999</v>
      </c>
      <c r="K1517">
        <v>1100</v>
      </c>
      <c r="L1517">
        <v>0</v>
      </c>
      <c r="M1517">
        <v>0</v>
      </c>
      <c r="N1517">
        <v>1100</v>
      </c>
    </row>
    <row r="1518" spans="1:14" x14ac:dyDescent="0.25">
      <c r="A1518">
        <v>1487.5752709999999</v>
      </c>
      <c r="B1518" s="1">
        <f>DATE(2014,5,27) + TIME(13,48,23)</f>
        <v>41786.575266203705</v>
      </c>
      <c r="C1518">
        <v>80</v>
      </c>
      <c r="D1518">
        <v>79.927574157999999</v>
      </c>
      <c r="E1518">
        <v>50</v>
      </c>
      <c r="F1518">
        <v>48.419902802000003</v>
      </c>
      <c r="G1518">
        <v>1356.1540527</v>
      </c>
      <c r="H1518">
        <v>1348.7209473</v>
      </c>
      <c r="I1518">
        <v>1313.1679687999999</v>
      </c>
      <c r="J1518">
        <v>1304.4416504000001</v>
      </c>
      <c r="K1518">
        <v>1100</v>
      </c>
      <c r="L1518">
        <v>0</v>
      </c>
      <c r="M1518">
        <v>0</v>
      </c>
      <c r="N1518">
        <v>1100</v>
      </c>
    </row>
    <row r="1519" spans="1:14" x14ac:dyDescent="0.25">
      <c r="A1519">
        <v>1488.407375</v>
      </c>
      <c r="B1519" s="1">
        <f>DATE(2014,5,28) + TIME(9,46,37)</f>
        <v>41787.407372685186</v>
      </c>
      <c r="C1519">
        <v>80</v>
      </c>
      <c r="D1519">
        <v>79.927558899000005</v>
      </c>
      <c r="E1519">
        <v>50</v>
      </c>
      <c r="F1519">
        <v>48.381084442000002</v>
      </c>
      <c r="G1519">
        <v>1356.1253661999999</v>
      </c>
      <c r="H1519">
        <v>1348.7009277</v>
      </c>
      <c r="I1519">
        <v>1313.1613769999999</v>
      </c>
      <c r="J1519">
        <v>1304.4306641000001</v>
      </c>
      <c r="K1519">
        <v>1100</v>
      </c>
      <c r="L1519">
        <v>0</v>
      </c>
      <c r="M1519">
        <v>0</v>
      </c>
      <c r="N1519">
        <v>1100</v>
      </c>
    </row>
    <row r="1520" spans="1:14" x14ac:dyDescent="0.25">
      <c r="A1520">
        <v>1489.2514570000001</v>
      </c>
      <c r="B1520" s="1">
        <f>DATE(2014,5,29) + TIME(6,2,5)</f>
        <v>41788.251446759263</v>
      </c>
      <c r="C1520">
        <v>80</v>
      </c>
      <c r="D1520">
        <v>79.927536011000001</v>
      </c>
      <c r="E1520">
        <v>50</v>
      </c>
      <c r="F1520">
        <v>48.341884612999998</v>
      </c>
      <c r="G1520">
        <v>1356.0969238</v>
      </c>
      <c r="H1520">
        <v>1348.6809082</v>
      </c>
      <c r="I1520">
        <v>1313.1545410000001</v>
      </c>
      <c r="J1520">
        <v>1304.4193115</v>
      </c>
      <c r="K1520">
        <v>1100</v>
      </c>
      <c r="L1520">
        <v>0</v>
      </c>
      <c r="M1520">
        <v>0</v>
      </c>
      <c r="N1520">
        <v>1100</v>
      </c>
    </row>
    <row r="1521" spans="1:14" x14ac:dyDescent="0.25">
      <c r="A1521">
        <v>1490.1076250000001</v>
      </c>
      <c r="B1521" s="1">
        <f>DATE(2014,5,30) + TIME(2,34,58)</f>
        <v>41789.107615740744</v>
      </c>
      <c r="C1521">
        <v>80</v>
      </c>
      <c r="D1521">
        <v>79.927505492999998</v>
      </c>
      <c r="E1521">
        <v>50</v>
      </c>
      <c r="F1521">
        <v>48.302341460999997</v>
      </c>
      <c r="G1521">
        <v>1356.0686035000001</v>
      </c>
      <c r="H1521">
        <v>1348.6612548999999</v>
      </c>
      <c r="I1521">
        <v>1313.1475829999999</v>
      </c>
      <c r="J1521">
        <v>1304.4075928</v>
      </c>
      <c r="K1521">
        <v>1100</v>
      </c>
      <c r="L1521">
        <v>0</v>
      </c>
      <c r="M1521">
        <v>0</v>
      </c>
      <c r="N1521">
        <v>1100</v>
      </c>
    </row>
    <row r="1522" spans="1:14" x14ac:dyDescent="0.25">
      <c r="A1522">
        <v>1490.9754579999999</v>
      </c>
      <c r="B1522" s="1">
        <f>DATE(2014,5,30) + TIME(23,24,39)</f>
        <v>41789.975451388891</v>
      </c>
      <c r="C1522">
        <v>80</v>
      </c>
      <c r="D1522">
        <v>79.927482604999994</v>
      </c>
      <c r="E1522">
        <v>50</v>
      </c>
      <c r="F1522">
        <v>48.262496947999999</v>
      </c>
      <c r="G1522">
        <v>1356.0406493999999</v>
      </c>
      <c r="H1522">
        <v>1348.6416016000001</v>
      </c>
      <c r="I1522">
        <v>1313.1403809000001</v>
      </c>
      <c r="J1522">
        <v>1304.3955077999999</v>
      </c>
      <c r="K1522">
        <v>1100</v>
      </c>
      <c r="L1522">
        <v>0</v>
      </c>
      <c r="M1522">
        <v>0</v>
      </c>
      <c r="N1522">
        <v>1100</v>
      </c>
    </row>
    <row r="1523" spans="1:14" x14ac:dyDescent="0.25">
      <c r="A1523">
        <v>1491.857403</v>
      </c>
      <c r="B1523" s="1">
        <f>DATE(2014,5,31) + TIME(20,34,39)</f>
        <v>41790.857395833336</v>
      </c>
      <c r="C1523">
        <v>80</v>
      </c>
      <c r="D1523">
        <v>79.927452087000006</v>
      </c>
      <c r="E1523">
        <v>50</v>
      </c>
      <c r="F1523">
        <v>48.222293854</v>
      </c>
      <c r="G1523">
        <v>1356.0128173999999</v>
      </c>
      <c r="H1523">
        <v>1348.6223144999999</v>
      </c>
      <c r="I1523">
        <v>1313.1330565999999</v>
      </c>
      <c r="J1523">
        <v>1304.3830565999999</v>
      </c>
      <c r="K1523">
        <v>1100</v>
      </c>
      <c r="L1523">
        <v>0</v>
      </c>
      <c r="M1523">
        <v>0</v>
      </c>
      <c r="N1523">
        <v>1100</v>
      </c>
    </row>
    <row r="1524" spans="1:14" x14ac:dyDescent="0.25">
      <c r="A1524">
        <v>1492</v>
      </c>
      <c r="B1524" s="1">
        <f>DATE(2014,6,1) + TIME(0,0,0)</f>
        <v>41791</v>
      </c>
      <c r="C1524">
        <v>80</v>
      </c>
      <c r="D1524">
        <v>79.927436829000001</v>
      </c>
      <c r="E1524">
        <v>50</v>
      </c>
      <c r="F1524">
        <v>48.213436127000001</v>
      </c>
      <c r="G1524">
        <v>1355.9854736</v>
      </c>
      <c r="H1524">
        <v>1348.6031493999999</v>
      </c>
      <c r="I1524">
        <v>1313.1247559000001</v>
      </c>
      <c r="J1524">
        <v>1304.3730469</v>
      </c>
      <c r="K1524">
        <v>1100</v>
      </c>
      <c r="L1524">
        <v>0</v>
      </c>
      <c r="M1524">
        <v>0</v>
      </c>
      <c r="N1524">
        <v>1100</v>
      </c>
    </row>
    <row r="1525" spans="1:14" x14ac:dyDescent="0.25">
      <c r="A1525">
        <v>1492.8985680000001</v>
      </c>
      <c r="B1525" s="1">
        <f>DATE(2014,6,1) + TIME(21,33,56)</f>
        <v>41791.898564814815</v>
      </c>
      <c r="C1525">
        <v>80</v>
      </c>
      <c r="D1525">
        <v>79.927406310999999</v>
      </c>
      <c r="E1525">
        <v>50</v>
      </c>
      <c r="F1525">
        <v>48.173599242999998</v>
      </c>
      <c r="G1525">
        <v>1355.9808350000001</v>
      </c>
      <c r="H1525">
        <v>1348.5998535000001</v>
      </c>
      <c r="I1525">
        <v>1313.1241454999999</v>
      </c>
      <c r="J1525">
        <v>1304.3677978999999</v>
      </c>
      <c r="K1525">
        <v>1100</v>
      </c>
      <c r="L1525">
        <v>0</v>
      </c>
      <c r="M1525">
        <v>0</v>
      </c>
      <c r="N1525">
        <v>1100</v>
      </c>
    </row>
    <row r="1526" spans="1:14" x14ac:dyDescent="0.25">
      <c r="A1526">
        <v>1493.8198480000001</v>
      </c>
      <c r="B1526" s="1">
        <f>DATE(2014,6,2) + TIME(19,40,34)</f>
        <v>41792.819837962961</v>
      </c>
      <c r="C1526">
        <v>80</v>
      </c>
      <c r="D1526">
        <v>79.927375792999996</v>
      </c>
      <c r="E1526">
        <v>50</v>
      </c>
      <c r="F1526">
        <v>48.132926941000001</v>
      </c>
      <c r="G1526">
        <v>1355.9534911999999</v>
      </c>
      <c r="H1526">
        <v>1348.5808105000001</v>
      </c>
      <c r="I1526">
        <v>1313.1162108999999</v>
      </c>
      <c r="J1526">
        <v>1304.3544922000001</v>
      </c>
      <c r="K1526">
        <v>1100</v>
      </c>
      <c r="L1526">
        <v>0</v>
      </c>
      <c r="M1526">
        <v>0</v>
      </c>
      <c r="N1526">
        <v>1100</v>
      </c>
    </row>
    <row r="1527" spans="1:14" x14ac:dyDescent="0.25">
      <c r="A1527">
        <v>1494.7636649999999</v>
      </c>
      <c r="B1527" s="1">
        <f>DATE(2014,6,3) + TIME(18,19,40)</f>
        <v>41793.763657407406</v>
      </c>
      <c r="C1527">
        <v>80</v>
      </c>
      <c r="D1527">
        <v>79.927345275999997</v>
      </c>
      <c r="E1527">
        <v>50</v>
      </c>
      <c r="F1527">
        <v>48.091468810999999</v>
      </c>
      <c r="G1527">
        <v>1355.9259033000001</v>
      </c>
      <c r="H1527">
        <v>1348.5616454999999</v>
      </c>
      <c r="I1527">
        <v>1313.1080322</v>
      </c>
      <c r="J1527">
        <v>1304.3405762</v>
      </c>
      <c r="K1527">
        <v>1100</v>
      </c>
      <c r="L1527">
        <v>0</v>
      </c>
      <c r="M1527">
        <v>0</v>
      </c>
      <c r="N1527">
        <v>1100</v>
      </c>
    </row>
    <row r="1528" spans="1:14" x14ac:dyDescent="0.25">
      <c r="A1528">
        <v>1495.7332369999999</v>
      </c>
      <c r="B1528" s="1">
        <f>DATE(2014,6,4) + TIME(17,35,51)</f>
        <v>41794.733229166668</v>
      </c>
      <c r="C1528">
        <v>80</v>
      </c>
      <c r="D1528">
        <v>79.927314757999994</v>
      </c>
      <c r="E1528">
        <v>50</v>
      </c>
      <c r="F1528">
        <v>48.049182891999997</v>
      </c>
      <c r="G1528">
        <v>1355.8983154</v>
      </c>
      <c r="H1528">
        <v>1348.5424805</v>
      </c>
      <c r="I1528">
        <v>1313.0994873</v>
      </c>
      <c r="J1528">
        <v>1304.3260498</v>
      </c>
      <c r="K1528">
        <v>1100</v>
      </c>
      <c r="L1528">
        <v>0</v>
      </c>
      <c r="M1528">
        <v>0</v>
      </c>
      <c r="N1528">
        <v>1100</v>
      </c>
    </row>
    <row r="1529" spans="1:14" x14ac:dyDescent="0.25">
      <c r="A1529">
        <v>1496.732041</v>
      </c>
      <c r="B1529" s="1">
        <f>DATE(2014,6,5) + TIME(17,34,8)</f>
        <v>41795.732037037036</v>
      </c>
      <c r="C1529">
        <v>80</v>
      </c>
      <c r="D1529">
        <v>79.927276610999996</v>
      </c>
      <c r="E1529">
        <v>50</v>
      </c>
      <c r="F1529">
        <v>48.005985260000003</v>
      </c>
      <c r="G1529">
        <v>1355.8704834</v>
      </c>
      <c r="H1529">
        <v>1348.5230713000001</v>
      </c>
      <c r="I1529">
        <v>1313.0905762</v>
      </c>
      <c r="J1529">
        <v>1304.3107910000001</v>
      </c>
      <c r="K1529">
        <v>1100</v>
      </c>
      <c r="L1529">
        <v>0</v>
      </c>
      <c r="M1529">
        <v>0</v>
      </c>
      <c r="N1529">
        <v>1100</v>
      </c>
    </row>
    <row r="1530" spans="1:14" x14ac:dyDescent="0.25">
      <c r="A1530">
        <v>1497.756942</v>
      </c>
      <c r="B1530" s="1">
        <f>DATE(2014,6,6) + TIME(18,9,59)</f>
        <v>41796.756932870368</v>
      </c>
      <c r="C1530">
        <v>80</v>
      </c>
      <c r="D1530">
        <v>79.927246093999997</v>
      </c>
      <c r="E1530">
        <v>50</v>
      </c>
      <c r="F1530">
        <v>47.961978911999999</v>
      </c>
      <c r="G1530">
        <v>1355.8425293</v>
      </c>
      <c r="H1530">
        <v>1348.5036620999999</v>
      </c>
      <c r="I1530">
        <v>1313.0812988</v>
      </c>
      <c r="J1530">
        <v>1304.2949219</v>
      </c>
      <c r="K1530">
        <v>1100</v>
      </c>
      <c r="L1530">
        <v>0</v>
      </c>
      <c r="M1530">
        <v>0</v>
      </c>
      <c r="N1530">
        <v>1100</v>
      </c>
    </row>
    <row r="1531" spans="1:14" x14ac:dyDescent="0.25">
      <c r="A1531">
        <v>1498.8109930000001</v>
      </c>
      <c r="B1531" s="1">
        <f>DATE(2014,6,7) + TIME(19,27,49)</f>
        <v>41797.810983796298</v>
      </c>
      <c r="C1531">
        <v>80</v>
      </c>
      <c r="D1531">
        <v>79.927207946999999</v>
      </c>
      <c r="E1531">
        <v>50</v>
      </c>
      <c r="F1531">
        <v>47.917106627999999</v>
      </c>
      <c r="G1531">
        <v>1355.8143310999999</v>
      </c>
      <c r="H1531">
        <v>1348.4841309000001</v>
      </c>
      <c r="I1531">
        <v>1313.0716553</v>
      </c>
      <c r="J1531">
        <v>1304.2783202999999</v>
      </c>
      <c r="K1531">
        <v>1100</v>
      </c>
      <c r="L1531">
        <v>0</v>
      </c>
      <c r="M1531">
        <v>0</v>
      </c>
      <c r="N1531">
        <v>1100</v>
      </c>
    </row>
    <row r="1532" spans="1:14" x14ac:dyDescent="0.25">
      <c r="A1532">
        <v>1499.898584</v>
      </c>
      <c r="B1532" s="1">
        <f>DATE(2014,6,8) + TIME(21,33,57)</f>
        <v>41798.898576388892</v>
      </c>
      <c r="C1532">
        <v>80</v>
      </c>
      <c r="D1532">
        <v>79.927177428999997</v>
      </c>
      <c r="E1532">
        <v>50</v>
      </c>
      <c r="F1532">
        <v>47.871269226000003</v>
      </c>
      <c r="G1532">
        <v>1355.7860106999999</v>
      </c>
      <c r="H1532">
        <v>1348.4643555</v>
      </c>
      <c r="I1532">
        <v>1313.0615233999999</v>
      </c>
      <c r="J1532">
        <v>1304.2609863</v>
      </c>
      <c r="K1532">
        <v>1100</v>
      </c>
      <c r="L1532">
        <v>0</v>
      </c>
      <c r="M1532">
        <v>0</v>
      </c>
      <c r="N1532">
        <v>1100</v>
      </c>
    </row>
    <row r="1533" spans="1:14" x14ac:dyDescent="0.25">
      <c r="A1533">
        <v>1500.9968799999999</v>
      </c>
      <c r="B1533" s="1">
        <f>DATE(2014,6,9) + TIME(23,55,30)</f>
        <v>41799.996874999997</v>
      </c>
      <c r="C1533">
        <v>80</v>
      </c>
      <c r="D1533">
        <v>79.927139281999999</v>
      </c>
      <c r="E1533">
        <v>50</v>
      </c>
      <c r="F1533">
        <v>47.825065613</v>
      </c>
      <c r="G1533">
        <v>1355.7573242000001</v>
      </c>
      <c r="H1533">
        <v>1348.4444579999999</v>
      </c>
      <c r="I1533">
        <v>1313.0509033000001</v>
      </c>
      <c r="J1533">
        <v>1304.2427978999999</v>
      </c>
      <c r="K1533">
        <v>1100</v>
      </c>
      <c r="L1533">
        <v>0</v>
      </c>
      <c r="M1533">
        <v>0</v>
      </c>
      <c r="N1533">
        <v>1100</v>
      </c>
    </row>
    <row r="1534" spans="1:14" x14ac:dyDescent="0.25">
      <c r="A1534">
        <v>1502.1001389999999</v>
      </c>
      <c r="B1534" s="1">
        <f>DATE(2014,6,11) + TIME(2,24,11)</f>
        <v>41801.100127314814</v>
      </c>
      <c r="C1534">
        <v>80</v>
      </c>
      <c r="D1534">
        <v>79.927101135000001</v>
      </c>
      <c r="E1534">
        <v>50</v>
      </c>
      <c r="F1534">
        <v>47.778778076000002</v>
      </c>
      <c r="G1534">
        <v>1355.7290039</v>
      </c>
      <c r="H1534">
        <v>1348.4248047000001</v>
      </c>
      <c r="I1534">
        <v>1313.0400391000001</v>
      </c>
      <c r="J1534">
        <v>1304.2242432</v>
      </c>
      <c r="K1534">
        <v>1100</v>
      </c>
      <c r="L1534">
        <v>0</v>
      </c>
      <c r="M1534">
        <v>0</v>
      </c>
      <c r="N1534">
        <v>1100</v>
      </c>
    </row>
    <row r="1535" spans="1:14" x14ac:dyDescent="0.25">
      <c r="A1535">
        <v>1503.2111749999999</v>
      </c>
      <c r="B1535" s="1">
        <f>DATE(2014,6,12) + TIME(5,4,5)</f>
        <v>41802.211168981485</v>
      </c>
      <c r="C1535">
        <v>80</v>
      </c>
      <c r="D1535">
        <v>79.927070618000002</v>
      </c>
      <c r="E1535">
        <v>50</v>
      </c>
      <c r="F1535">
        <v>47.732456206999998</v>
      </c>
      <c r="G1535">
        <v>1355.7010498</v>
      </c>
      <c r="H1535">
        <v>1348.4053954999999</v>
      </c>
      <c r="I1535">
        <v>1313.0289307</v>
      </c>
      <c r="J1535">
        <v>1304.2050781</v>
      </c>
      <c r="K1535">
        <v>1100</v>
      </c>
      <c r="L1535">
        <v>0</v>
      </c>
      <c r="M1535">
        <v>0</v>
      </c>
      <c r="N1535">
        <v>1100</v>
      </c>
    </row>
    <row r="1536" spans="1:14" x14ac:dyDescent="0.25">
      <c r="A1536">
        <v>1504.3331949999999</v>
      </c>
      <c r="B1536" s="1">
        <f>DATE(2014,6,13) + TIME(7,59,48)</f>
        <v>41803.333194444444</v>
      </c>
      <c r="C1536">
        <v>80</v>
      </c>
      <c r="D1536">
        <v>79.927040099999999</v>
      </c>
      <c r="E1536">
        <v>50</v>
      </c>
      <c r="F1536">
        <v>47.686069488999998</v>
      </c>
      <c r="G1536">
        <v>1355.6735839999999</v>
      </c>
      <c r="H1536">
        <v>1348.3862305</v>
      </c>
      <c r="I1536">
        <v>1313.0175781</v>
      </c>
      <c r="J1536">
        <v>1304.1855469</v>
      </c>
      <c r="K1536">
        <v>1100</v>
      </c>
      <c r="L1536">
        <v>0</v>
      </c>
      <c r="M1536">
        <v>0</v>
      </c>
      <c r="N1536">
        <v>1100</v>
      </c>
    </row>
    <row r="1537" spans="1:14" x14ac:dyDescent="0.25">
      <c r="A1537">
        <v>1505.469423</v>
      </c>
      <c r="B1537" s="1">
        <f>DATE(2014,6,14) + TIME(11,15,58)</f>
        <v>41804.469421296293</v>
      </c>
      <c r="C1537">
        <v>80</v>
      </c>
      <c r="D1537">
        <v>79.927009583</v>
      </c>
      <c r="E1537">
        <v>50</v>
      </c>
      <c r="F1537">
        <v>47.639572143999999</v>
      </c>
      <c r="G1537">
        <v>1355.6462402</v>
      </c>
      <c r="H1537">
        <v>1348.3673096</v>
      </c>
      <c r="I1537">
        <v>1313.0059814000001</v>
      </c>
      <c r="J1537">
        <v>1304.1654053</v>
      </c>
      <c r="K1537">
        <v>1100</v>
      </c>
      <c r="L1537">
        <v>0</v>
      </c>
      <c r="M1537">
        <v>0</v>
      </c>
      <c r="N1537">
        <v>1100</v>
      </c>
    </row>
    <row r="1538" spans="1:14" x14ac:dyDescent="0.25">
      <c r="A1538">
        <v>1506.623145</v>
      </c>
      <c r="B1538" s="1">
        <f>DATE(2014,6,15) + TIME(14,57,19)</f>
        <v>41805.623136574075</v>
      </c>
      <c r="C1538">
        <v>80</v>
      </c>
      <c r="D1538">
        <v>79.926979064999998</v>
      </c>
      <c r="E1538">
        <v>50</v>
      </c>
      <c r="F1538">
        <v>47.592891692999999</v>
      </c>
      <c r="G1538">
        <v>1355.6191406</v>
      </c>
      <c r="H1538">
        <v>1348.3483887</v>
      </c>
      <c r="I1538">
        <v>1312.9941406</v>
      </c>
      <c r="J1538">
        <v>1304.1446533000001</v>
      </c>
      <c r="K1538">
        <v>1100</v>
      </c>
      <c r="L1538">
        <v>0</v>
      </c>
      <c r="M1538">
        <v>0</v>
      </c>
      <c r="N1538">
        <v>1100</v>
      </c>
    </row>
    <row r="1539" spans="1:14" x14ac:dyDescent="0.25">
      <c r="A1539">
        <v>1507.797806</v>
      </c>
      <c r="B1539" s="1">
        <f>DATE(2014,6,16) + TIME(19,8,50)</f>
        <v>41806.797800925924</v>
      </c>
      <c r="C1539">
        <v>80</v>
      </c>
      <c r="D1539">
        <v>79.926948546999995</v>
      </c>
      <c r="E1539">
        <v>50</v>
      </c>
      <c r="F1539">
        <v>47.545936584000003</v>
      </c>
      <c r="G1539">
        <v>1355.5921631000001</v>
      </c>
      <c r="H1539">
        <v>1348.3295897999999</v>
      </c>
      <c r="I1539">
        <v>1312.9818115</v>
      </c>
      <c r="J1539">
        <v>1304.1232910000001</v>
      </c>
      <c r="K1539">
        <v>1100</v>
      </c>
      <c r="L1539">
        <v>0</v>
      </c>
      <c r="M1539">
        <v>0</v>
      </c>
      <c r="N1539">
        <v>1100</v>
      </c>
    </row>
    <row r="1540" spans="1:14" x14ac:dyDescent="0.25">
      <c r="A1540">
        <v>1508.997065</v>
      </c>
      <c r="B1540" s="1">
        <f>DATE(2014,6,17) + TIME(23,55,46)</f>
        <v>41807.997060185182</v>
      </c>
      <c r="C1540">
        <v>80</v>
      </c>
      <c r="D1540">
        <v>79.926918029999996</v>
      </c>
      <c r="E1540">
        <v>50</v>
      </c>
      <c r="F1540">
        <v>47.498615264999998</v>
      </c>
      <c r="G1540">
        <v>1355.5651855000001</v>
      </c>
      <c r="H1540">
        <v>1348.3109131000001</v>
      </c>
      <c r="I1540">
        <v>1312.9692382999999</v>
      </c>
      <c r="J1540">
        <v>1304.1013184000001</v>
      </c>
      <c r="K1540">
        <v>1100</v>
      </c>
      <c r="L1540">
        <v>0</v>
      </c>
      <c r="M1540">
        <v>0</v>
      </c>
      <c r="N1540">
        <v>1100</v>
      </c>
    </row>
    <row r="1541" spans="1:14" x14ac:dyDescent="0.25">
      <c r="A1541">
        <v>1510.224866</v>
      </c>
      <c r="B1541" s="1">
        <f>DATE(2014,6,19) + TIME(5,23,48)</f>
        <v>41809.224861111114</v>
      </c>
      <c r="C1541">
        <v>80</v>
      </c>
      <c r="D1541">
        <v>79.926887511999993</v>
      </c>
      <c r="E1541">
        <v>50</v>
      </c>
      <c r="F1541">
        <v>47.450824738000001</v>
      </c>
      <c r="G1541">
        <v>1355.5382079999999</v>
      </c>
      <c r="H1541">
        <v>1348.2919922000001</v>
      </c>
      <c r="I1541">
        <v>1312.9561768000001</v>
      </c>
      <c r="J1541">
        <v>1304.0783690999999</v>
      </c>
      <c r="K1541">
        <v>1100</v>
      </c>
      <c r="L1541">
        <v>0</v>
      </c>
      <c r="M1541">
        <v>0</v>
      </c>
      <c r="N1541">
        <v>1100</v>
      </c>
    </row>
    <row r="1542" spans="1:14" x14ac:dyDescent="0.25">
      <c r="A1542">
        <v>1511.485527</v>
      </c>
      <c r="B1542" s="1">
        <f>DATE(2014,6,20) + TIME(11,39,9)</f>
        <v>41810.485520833332</v>
      </c>
      <c r="C1542">
        <v>80</v>
      </c>
      <c r="D1542">
        <v>79.926864624000004</v>
      </c>
      <c r="E1542">
        <v>50</v>
      </c>
      <c r="F1542">
        <v>47.402454376000001</v>
      </c>
      <c r="G1542">
        <v>1355.5109863</v>
      </c>
      <c r="H1542">
        <v>1348.2730713000001</v>
      </c>
      <c r="I1542">
        <v>1312.942749</v>
      </c>
      <c r="J1542">
        <v>1304.0546875</v>
      </c>
      <c r="K1542">
        <v>1100</v>
      </c>
      <c r="L1542">
        <v>0</v>
      </c>
      <c r="M1542">
        <v>0</v>
      </c>
      <c r="N1542">
        <v>1100</v>
      </c>
    </row>
    <row r="1543" spans="1:14" x14ac:dyDescent="0.25">
      <c r="A1543">
        <v>1512.7838079999999</v>
      </c>
      <c r="B1543" s="1">
        <f>DATE(2014,6,21) + TIME(18,48,41)</f>
        <v>41811.783807870372</v>
      </c>
      <c r="C1543">
        <v>80</v>
      </c>
      <c r="D1543">
        <v>79.926834106000001</v>
      </c>
      <c r="E1543">
        <v>50</v>
      </c>
      <c r="F1543">
        <v>47.353393554999997</v>
      </c>
      <c r="G1543">
        <v>1355.4835204999999</v>
      </c>
      <c r="H1543">
        <v>1348.2540283000001</v>
      </c>
      <c r="I1543">
        <v>1312.9287108999999</v>
      </c>
      <c r="J1543">
        <v>1304.0300293</v>
      </c>
      <c r="K1543">
        <v>1100</v>
      </c>
      <c r="L1543">
        <v>0</v>
      </c>
      <c r="M1543">
        <v>0</v>
      </c>
      <c r="N1543">
        <v>1100</v>
      </c>
    </row>
    <row r="1544" spans="1:14" x14ac:dyDescent="0.25">
      <c r="A1544">
        <v>1514.1258780000001</v>
      </c>
      <c r="B1544" s="1">
        <f>DATE(2014,6,23) + TIME(3,1,15)</f>
        <v>41813.125868055555</v>
      </c>
      <c r="C1544">
        <v>80</v>
      </c>
      <c r="D1544">
        <v>79.926811217999997</v>
      </c>
      <c r="E1544">
        <v>50</v>
      </c>
      <c r="F1544">
        <v>47.303501128999997</v>
      </c>
      <c r="G1544">
        <v>1355.4558105000001</v>
      </c>
      <c r="H1544">
        <v>1348.2346190999999</v>
      </c>
      <c r="I1544">
        <v>1312.9141846</v>
      </c>
      <c r="J1544">
        <v>1304.0042725000001</v>
      </c>
      <c r="K1544">
        <v>1100</v>
      </c>
      <c r="L1544">
        <v>0</v>
      </c>
      <c r="M1544">
        <v>0</v>
      </c>
      <c r="N1544">
        <v>1100</v>
      </c>
    </row>
    <row r="1545" spans="1:14" x14ac:dyDescent="0.25">
      <c r="A1545">
        <v>1515.5170869999999</v>
      </c>
      <c r="B1545" s="1">
        <f>DATE(2014,6,24) + TIME(12,24,36)</f>
        <v>41814.517083333332</v>
      </c>
      <c r="C1545">
        <v>80</v>
      </c>
      <c r="D1545">
        <v>79.926788329999994</v>
      </c>
      <c r="E1545">
        <v>50</v>
      </c>
      <c r="F1545">
        <v>47.252655029000003</v>
      </c>
      <c r="G1545">
        <v>1355.4277344</v>
      </c>
      <c r="H1545">
        <v>1348.2149658000001</v>
      </c>
      <c r="I1545">
        <v>1312.8989257999999</v>
      </c>
      <c r="J1545">
        <v>1303.9771728999999</v>
      </c>
      <c r="K1545">
        <v>1100</v>
      </c>
      <c r="L1545">
        <v>0</v>
      </c>
      <c r="M1545">
        <v>0</v>
      </c>
      <c r="N1545">
        <v>1100</v>
      </c>
    </row>
    <row r="1546" spans="1:14" x14ac:dyDescent="0.25">
      <c r="A1546">
        <v>1516.920595</v>
      </c>
      <c r="B1546" s="1">
        <f>DATE(2014,6,25) + TIME(22,5,39)</f>
        <v>41815.920590277776</v>
      </c>
      <c r="C1546">
        <v>80</v>
      </c>
      <c r="D1546">
        <v>79.926757812000005</v>
      </c>
      <c r="E1546">
        <v>50</v>
      </c>
      <c r="F1546">
        <v>47.201618195000002</v>
      </c>
      <c r="G1546">
        <v>1355.3990478999999</v>
      </c>
      <c r="H1546">
        <v>1348.1949463000001</v>
      </c>
      <c r="I1546">
        <v>1312.8829346</v>
      </c>
      <c r="J1546">
        <v>1303.9489745999999</v>
      </c>
      <c r="K1546">
        <v>1100</v>
      </c>
      <c r="L1546">
        <v>0</v>
      </c>
      <c r="M1546">
        <v>0</v>
      </c>
      <c r="N1546">
        <v>1100</v>
      </c>
    </row>
    <row r="1547" spans="1:14" x14ac:dyDescent="0.25">
      <c r="A1547">
        <v>1518.3291999999999</v>
      </c>
      <c r="B1547" s="1">
        <f>DATE(2014,6,27) + TIME(7,54,2)</f>
        <v>41817.329189814816</v>
      </c>
      <c r="C1547">
        <v>80</v>
      </c>
      <c r="D1547">
        <v>79.926734924000002</v>
      </c>
      <c r="E1547">
        <v>50</v>
      </c>
      <c r="F1547">
        <v>47.150798797999997</v>
      </c>
      <c r="G1547">
        <v>1355.3706055</v>
      </c>
      <c r="H1547">
        <v>1348.1751709</v>
      </c>
      <c r="I1547">
        <v>1312.8666992000001</v>
      </c>
      <c r="J1547">
        <v>1303.9201660000001</v>
      </c>
      <c r="K1547">
        <v>1100</v>
      </c>
      <c r="L1547">
        <v>0</v>
      </c>
      <c r="M1547">
        <v>0</v>
      </c>
      <c r="N1547">
        <v>1100</v>
      </c>
    </row>
    <row r="1548" spans="1:14" x14ac:dyDescent="0.25">
      <c r="A1548">
        <v>1519.7470989999999</v>
      </c>
      <c r="B1548" s="1">
        <f>DATE(2014,6,28) + TIME(17,55,49)</f>
        <v>41818.747094907405</v>
      </c>
      <c r="C1548">
        <v>80</v>
      </c>
      <c r="D1548">
        <v>79.926712035999998</v>
      </c>
      <c r="E1548">
        <v>50</v>
      </c>
      <c r="F1548">
        <v>47.100311279000003</v>
      </c>
      <c r="G1548">
        <v>1355.3426514</v>
      </c>
      <c r="H1548">
        <v>1348.1555175999999</v>
      </c>
      <c r="I1548">
        <v>1312.8502197</v>
      </c>
      <c r="J1548">
        <v>1303.8907471</v>
      </c>
      <c r="K1548">
        <v>1100</v>
      </c>
      <c r="L1548">
        <v>0</v>
      </c>
      <c r="M1548">
        <v>0</v>
      </c>
      <c r="N1548">
        <v>1100</v>
      </c>
    </row>
    <row r="1549" spans="1:14" x14ac:dyDescent="0.25">
      <c r="A1549">
        <v>1521.178662</v>
      </c>
      <c r="B1549" s="1">
        <f>DATE(2014,6,30) + TIME(4,17,16)</f>
        <v>41820.178657407407</v>
      </c>
      <c r="C1549">
        <v>80</v>
      </c>
      <c r="D1549">
        <v>79.926689147999994</v>
      </c>
      <c r="E1549">
        <v>50</v>
      </c>
      <c r="F1549">
        <v>47.050182343000003</v>
      </c>
      <c r="G1549">
        <v>1355.3149414</v>
      </c>
      <c r="H1549">
        <v>1348.1362305</v>
      </c>
      <c r="I1549">
        <v>1312.833374</v>
      </c>
      <c r="J1549">
        <v>1303.8607178</v>
      </c>
      <c r="K1549">
        <v>1100</v>
      </c>
      <c r="L1549">
        <v>0</v>
      </c>
      <c r="M1549">
        <v>0</v>
      </c>
      <c r="N1549">
        <v>1100</v>
      </c>
    </row>
    <row r="1550" spans="1:14" x14ac:dyDescent="0.25">
      <c r="A1550">
        <v>1522</v>
      </c>
      <c r="B1550" s="1">
        <f>DATE(2014,7,1) + TIME(0,0,0)</f>
        <v>41821</v>
      </c>
      <c r="C1550">
        <v>80</v>
      </c>
      <c r="D1550">
        <v>79.926666260000005</v>
      </c>
      <c r="E1550">
        <v>50</v>
      </c>
      <c r="F1550">
        <v>47.015403747999997</v>
      </c>
      <c r="G1550">
        <v>1355.2873535000001</v>
      </c>
      <c r="H1550">
        <v>1348.1168213000001</v>
      </c>
      <c r="I1550">
        <v>1312.8170166</v>
      </c>
      <c r="J1550">
        <v>1303.8331298999999</v>
      </c>
      <c r="K1550">
        <v>1100</v>
      </c>
      <c r="L1550">
        <v>0</v>
      </c>
      <c r="M1550">
        <v>0</v>
      </c>
      <c r="N1550">
        <v>1100</v>
      </c>
    </row>
    <row r="1551" spans="1:14" x14ac:dyDescent="0.25">
      <c r="A1551">
        <v>1523.449615</v>
      </c>
      <c r="B1551" s="1">
        <f>DATE(2014,7,2) + TIME(10,47,26)</f>
        <v>41822.449606481481</v>
      </c>
      <c r="C1551">
        <v>80</v>
      </c>
      <c r="D1551">
        <v>79.926658630000006</v>
      </c>
      <c r="E1551">
        <v>50</v>
      </c>
      <c r="F1551">
        <v>46.968860626000001</v>
      </c>
      <c r="G1551">
        <v>1355.2719727000001</v>
      </c>
      <c r="H1551">
        <v>1348.105957</v>
      </c>
      <c r="I1551">
        <v>1312.8059082</v>
      </c>
      <c r="J1551">
        <v>1303.8109131000001</v>
      </c>
      <c r="K1551">
        <v>1100</v>
      </c>
      <c r="L1551">
        <v>0</v>
      </c>
      <c r="M1551">
        <v>0</v>
      </c>
      <c r="N1551">
        <v>1100</v>
      </c>
    </row>
    <row r="1552" spans="1:14" x14ac:dyDescent="0.25">
      <c r="A1552">
        <v>1524.9370719999999</v>
      </c>
      <c r="B1552" s="1">
        <f>DATE(2014,7,3) + TIME(22,29,23)</f>
        <v>41823.937071759261</v>
      </c>
      <c r="C1552">
        <v>80</v>
      </c>
      <c r="D1552">
        <v>79.926643372000001</v>
      </c>
      <c r="E1552">
        <v>50</v>
      </c>
      <c r="F1552">
        <v>46.921184539999999</v>
      </c>
      <c r="G1552">
        <v>1355.2448730000001</v>
      </c>
      <c r="H1552">
        <v>1348.0869141000001</v>
      </c>
      <c r="I1552">
        <v>1312.7886963000001</v>
      </c>
      <c r="J1552">
        <v>1303.7799072</v>
      </c>
      <c r="K1552">
        <v>1100</v>
      </c>
      <c r="L1552">
        <v>0</v>
      </c>
      <c r="M1552">
        <v>0</v>
      </c>
      <c r="N1552">
        <v>1100</v>
      </c>
    </row>
    <row r="1553" spans="1:14" x14ac:dyDescent="0.25">
      <c r="A1553">
        <v>1526.4543209999999</v>
      </c>
      <c r="B1553" s="1">
        <f>DATE(2014,7,5) + TIME(10,54,13)</f>
        <v>41825.454317129632</v>
      </c>
      <c r="C1553">
        <v>80</v>
      </c>
      <c r="D1553">
        <v>79.926628113000007</v>
      </c>
      <c r="E1553">
        <v>50</v>
      </c>
      <c r="F1553">
        <v>46.872959137000002</v>
      </c>
      <c r="G1553">
        <v>1355.2175293</v>
      </c>
      <c r="H1553">
        <v>1348.067749</v>
      </c>
      <c r="I1553">
        <v>1312.770874</v>
      </c>
      <c r="J1553">
        <v>1303.7475586</v>
      </c>
      <c r="K1553">
        <v>1100</v>
      </c>
      <c r="L1553">
        <v>0</v>
      </c>
      <c r="M1553">
        <v>0</v>
      </c>
      <c r="N1553">
        <v>1100</v>
      </c>
    </row>
    <row r="1554" spans="1:14" x14ac:dyDescent="0.25">
      <c r="A1554">
        <v>1528.0068209999999</v>
      </c>
      <c r="B1554" s="1">
        <f>DATE(2014,7,7) + TIME(0,9,49)</f>
        <v>41827.00681712963</v>
      </c>
      <c r="C1554">
        <v>80</v>
      </c>
      <c r="D1554">
        <v>79.926612853999998</v>
      </c>
      <c r="E1554">
        <v>50</v>
      </c>
      <c r="F1554">
        <v>46.824455260999997</v>
      </c>
      <c r="G1554">
        <v>1355.1900635</v>
      </c>
      <c r="H1554">
        <v>1348.0483397999999</v>
      </c>
      <c r="I1554">
        <v>1312.7524414</v>
      </c>
      <c r="J1554">
        <v>1303.7141113</v>
      </c>
      <c r="K1554">
        <v>1100</v>
      </c>
      <c r="L1554">
        <v>0</v>
      </c>
      <c r="M1554">
        <v>0</v>
      </c>
      <c r="N1554">
        <v>1100</v>
      </c>
    </row>
    <row r="1555" spans="1:14" x14ac:dyDescent="0.25">
      <c r="A1555">
        <v>1529.6003040000001</v>
      </c>
      <c r="B1555" s="1">
        <f>DATE(2014,7,8) + TIME(14,24,26)</f>
        <v>41828.600300925929</v>
      </c>
      <c r="C1555">
        <v>80</v>
      </c>
      <c r="D1555">
        <v>79.926597595000004</v>
      </c>
      <c r="E1555">
        <v>50</v>
      </c>
      <c r="F1555">
        <v>46.775798797999997</v>
      </c>
      <c r="G1555">
        <v>1355.1624756000001</v>
      </c>
      <c r="H1555">
        <v>1348.0288086</v>
      </c>
      <c r="I1555">
        <v>1312.7335204999999</v>
      </c>
      <c r="J1555">
        <v>1303.6795654</v>
      </c>
      <c r="K1555">
        <v>1100</v>
      </c>
      <c r="L1555">
        <v>0</v>
      </c>
      <c r="M1555">
        <v>0</v>
      </c>
      <c r="N1555">
        <v>1100</v>
      </c>
    </row>
    <row r="1556" spans="1:14" x14ac:dyDescent="0.25">
      <c r="A1556">
        <v>1531.241235</v>
      </c>
      <c r="B1556" s="1">
        <f>DATE(2014,7,10) + TIME(5,47,22)</f>
        <v>41830.241226851853</v>
      </c>
      <c r="C1556">
        <v>80</v>
      </c>
      <c r="D1556">
        <v>79.926582335999996</v>
      </c>
      <c r="E1556">
        <v>50</v>
      </c>
      <c r="F1556">
        <v>46.727062224999997</v>
      </c>
      <c r="G1556">
        <v>1355.1345214999999</v>
      </c>
      <c r="H1556">
        <v>1348.0090332</v>
      </c>
      <c r="I1556">
        <v>1312.7139893000001</v>
      </c>
      <c r="J1556">
        <v>1303.6439209</v>
      </c>
      <c r="K1556">
        <v>1100</v>
      </c>
      <c r="L1556">
        <v>0</v>
      </c>
      <c r="M1556">
        <v>0</v>
      </c>
      <c r="N1556">
        <v>1100</v>
      </c>
    </row>
    <row r="1557" spans="1:14" x14ac:dyDescent="0.25">
      <c r="A1557">
        <v>1532.9322219999999</v>
      </c>
      <c r="B1557" s="1">
        <f>DATE(2014,7,11) + TIME(22,22,23)</f>
        <v>41831.932210648149</v>
      </c>
      <c r="C1557">
        <v>80</v>
      </c>
      <c r="D1557">
        <v>79.926574707</v>
      </c>
      <c r="E1557">
        <v>50</v>
      </c>
      <c r="F1557">
        <v>46.678333281999997</v>
      </c>
      <c r="G1557">
        <v>1355.1062012</v>
      </c>
      <c r="H1557">
        <v>1347.9890137</v>
      </c>
      <c r="I1557">
        <v>1312.6938477000001</v>
      </c>
      <c r="J1557">
        <v>1303.6068115</v>
      </c>
      <c r="K1557">
        <v>1100</v>
      </c>
      <c r="L1557">
        <v>0</v>
      </c>
      <c r="M1557">
        <v>0</v>
      </c>
      <c r="N1557">
        <v>1100</v>
      </c>
    </row>
    <row r="1558" spans="1:14" x14ac:dyDescent="0.25">
      <c r="A1558">
        <v>1534.6622339999999</v>
      </c>
      <c r="B1558" s="1">
        <f>DATE(2014,7,13) + TIME(15,53,36)</f>
        <v>41833.662222222221</v>
      </c>
      <c r="C1558">
        <v>80</v>
      </c>
      <c r="D1558">
        <v>79.926559448000006</v>
      </c>
      <c r="E1558">
        <v>50</v>
      </c>
      <c r="F1558">
        <v>46.629928589000002</v>
      </c>
      <c r="G1558">
        <v>1355.0775146000001</v>
      </c>
      <c r="H1558">
        <v>1347.96875</v>
      </c>
      <c r="I1558">
        <v>1312.6730957</v>
      </c>
      <c r="J1558">
        <v>1303.5684814000001</v>
      </c>
      <c r="K1558">
        <v>1100</v>
      </c>
      <c r="L1558">
        <v>0</v>
      </c>
      <c r="M1558">
        <v>0</v>
      </c>
      <c r="N1558">
        <v>1100</v>
      </c>
    </row>
    <row r="1559" spans="1:14" x14ac:dyDescent="0.25">
      <c r="A1559">
        <v>1536.4228290000001</v>
      </c>
      <c r="B1559" s="1">
        <f>DATE(2014,7,15) + TIME(10,8,52)</f>
        <v>41835.422824074078</v>
      </c>
      <c r="C1559">
        <v>80</v>
      </c>
      <c r="D1559">
        <v>79.926551818999997</v>
      </c>
      <c r="E1559">
        <v>50</v>
      </c>
      <c r="F1559">
        <v>46.582202911000003</v>
      </c>
      <c r="G1559">
        <v>1355.0485839999999</v>
      </c>
      <c r="H1559">
        <v>1347.9482422000001</v>
      </c>
      <c r="I1559">
        <v>1312.6517334</v>
      </c>
      <c r="J1559">
        <v>1303.5291748</v>
      </c>
      <c r="K1559">
        <v>1100</v>
      </c>
      <c r="L1559">
        <v>0</v>
      </c>
      <c r="M1559">
        <v>0</v>
      </c>
      <c r="N1559">
        <v>1100</v>
      </c>
    </row>
    <row r="1560" spans="1:14" x14ac:dyDescent="0.25">
      <c r="A1560">
        <v>1538.192961</v>
      </c>
      <c r="B1560" s="1">
        <f>DATE(2014,7,17) + TIME(4,37,51)</f>
        <v>41837.19295138889</v>
      </c>
      <c r="C1560">
        <v>80</v>
      </c>
      <c r="D1560">
        <v>79.926544188999998</v>
      </c>
      <c r="E1560">
        <v>50</v>
      </c>
      <c r="F1560">
        <v>46.535705565999997</v>
      </c>
      <c r="G1560">
        <v>1355.0196533000001</v>
      </c>
      <c r="H1560">
        <v>1347.9276123</v>
      </c>
      <c r="I1560">
        <v>1312.6301269999999</v>
      </c>
      <c r="J1560">
        <v>1303.4888916</v>
      </c>
      <c r="K1560">
        <v>1100</v>
      </c>
      <c r="L1560">
        <v>0</v>
      </c>
      <c r="M1560">
        <v>0</v>
      </c>
      <c r="N1560">
        <v>1100</v>
      </c>
    </row>
    <row r="1561" spans="1:14" x14ac:dyDescent="0.25">
      <c r="A1561">
        <v>1539.978503</v>
      </c>
      <c r="B1561" s="1">
        <f>DATE(2014,7,18) + TIME(23,29,2)</f>
        <v>41838.978495370371</v>
      </c>
      <c r="C1561">
        <v>80</v>
      </c>
      <c r="D1561">
        <v>79.926536560000002</v>
      </c>
      <c r="E1561">
        <v>50</v>
      </c>
      <c r="F1561">
        <v>46.490669250000003</v>
      </c>
      <c r="G1561">
        <v>1354.9910889</v>
      </c>
      <c r="H1561">
        <v>1347.9071045000001</v>
      </c>
      <c r="I1561">
        <v>1312.6083983999999</v>
      </c>
      <c r="J1561">
        <v>1303.4482422000001</v>
      </c>
      <c r="K1561">
        <v>1100</v>
      </c>
      <c r="L1561">
        <v>0</v>
      </c>
      <c r="M1561">
        <v>0</v>
      </c>
      <c r="N1561">
        <v>1100</v>
      </c>
    </row>
    <row r="1562" spans="1:14" x14ac:dyDescent="0.25">
      <c r="A1562">
        <v>1541.785367</v>
      </c>
      <c r="B1562" s="1">
        <f>DATE(2014,7,20) + TIME(18,50,55)</f>
        <v>41840.785358796296</v>
      </c>
      <c r="C1562">
        <v>80</v>
      </c>
      <c r="D1562">
        <v>79.926528931000007</v>
      </c>
      <c r="E1562">
        <v>50</v>
      </c>
      <c r="F1562">
        <v>46.447227478000002</v>
      </c>
      <c r="G1562">
        <v>1354.9626464999999</v>
      </c>
      <c r="H1562">
        <v>1347.8868408000001</v>
      </c>
      <c r="I1562">
        <v>1312.5864257999999</v>
      </c>
      <c r="J1562">
        <v>1303.4071045000001</v>
      </c>
      <c r="K1562">
        <v>1100</v>
      </c>
      <c r="L1562">
        <v>0</v>
      </c>
      <c r="M1562">
        <v>0</v>
      </c>
      <c r="N1562">
        <v>1100</v>
      </c>
    </row>
    <row r="1563" spans="1:14" x14ac:dyDescent="0.25">
      <c r="A1563">
        <v>1543.619588</v>
      </c>
      <c r="B1563" s="1">
        <f>DATE(2014,7,22) + TIME(14,52,12)</f>
        <v>41842.619583333333</v>
      </c>
      <c r="C1563">
        <v>80</v>
      </c>
      <c r="D1563">
        <v>79.926521300999994</v>
      </c>
      <c r="E1563">
        <v>50</v>
      </c>
      <c r="F1563">
        <v>46.405464172000002</v>
      </c>
      <c r="G1563">
        <v>1354.9343262</v>
      </c>
      <c r="H1563">
        <v>1347.8665771000001</v>
      </c>
      <c r="I1563">
        <v>1312.5643310999999</v>
      </c>
      <c r="J1563">
        <v>1303.3654785000001</v>
      </c>
      <c r="K1563">
        <v>1100</v>
      </c>
      <c r="L1563">
        <v>0</v>
      </c>
      <c r="M1563">
        <v>0</v>
      </c>
      <c r="N1563">
        <v>1100</v>
      </c>
    </row>
    <row r="1564" spans="1:14" x14ac:dyDescent="0.25">
      <c r="A1564">
        <v>1545.4874580000001</v>
      </c>
      <c r="B1564" s="1">
        <f>DATE(2014,7,24) + TIME(11,41,56)</f>
        <v>41844.487453703703</v>
      </c>
      <c r="C1564">
        <v>80</v>
      </c>
      <c r="D1564">
        <v>79.926521300999994</v>
      </c>
      <c r="E1564">
        <v>50</v>
      </c>
      <c r="F1564">
        <v>46.365470885999997</v>
      </c>
      <c r="G1564">
        <v>1354.9060059000001</v>
      </c>
      <c r="H1564">
        <v>1347.8461914</v>
      </c>
      <c r="I1564">
        <v>1312.5419922000001</v>
      </c>
      <c r="J1564">
        <v>1303.3233643000001</v>
      </c>
      <c r="K1564">
        <v>1100</v>
      </c>
      <c r="L1564">
        <v>0</v>
      </c>
      <c r="M1564">
        <v>0</v>
      </c>
      <c r="N1564">
        <v>1100</v>
      </c>
    </row>
    <row r="1565" spans="1:14" x14ac:dyDescent="0.25">
      <c r="A1565">
        <v>1547.3956949999999</v>
      </c>
      <c r="B1565" s="1">
        <f>DATE(2014,7,26) + TIME(9,29,48)</f>
        <v>41846.395694444444</v>
      </c>
      <c r="C1565">
        <v>80</v>
      </c>
      <c r="D1565">
        <v>79.926513671999999</v>
      </c>
      <c r="E1565">
        <v>50</v>
      </c>
      <c r="F1565">
        <v>46.327354431000003</v>
      </c>
      <c r="G1565">
        <v>1354.8775635</v>
      </c>
      <c r="H1565">
        <v>1347.8256836</v>
      </c>
      <c r="I1565">
        <v>1312.5195312000001</v>
      </c>
      <c r="J1565">
        <v>1303.2803954999999</v>
      </c>
      <c r="K1565">
        <v>1100</v>
      </c>
      <c r="L1565">
        <v>0</v>
      </c>
      <c r="M1565">
        <v>0</v>
      </c>
      <c r="N1565">
        <v>1100</v>
      </c>
    </row>
    <row r="1566" spans="1:14" x14ac:dyDescent="0.25">
      <c r="A1566">
        <v>1549.331991</v>
      </c>
      <c r="B1566" s="1">
        <f>DATE(2014,7,28) + TIME(7,58,3)</f>
        <v>41848.331979166665</v>
      </c>
      <c r="C1566">
        <v>80</v>
      </c>
      <c r="D1566">
        <v>79.926513671999999</v>
      </c>
      <c r="E1566">
        <v>50</v>
      </c>
      <c r="F1566">
        <v>46.291435241999999</v>
      </c>
      <c r="G1566">
        <v>1354.8488769999999</v>
      </c>
      <c r="H1566">
        <v>1347.8050536999999</v>
      </c>
      <c r="I1566">
        <v>1312.4968262</v>
      </c>
      <c r="J1566">
        <v>1303.2369385</v>
      </c>
      <c r="K1566">
        <v>1100</v>
      </c>
      <c r="L1566">
        <v>0</v>
      </c>
      <c r="M1566">
        <v>0</v>
      </c>
      <c r="N1566">
        <v>1100</v>
      </c>
    </row>
    <row r="1567" spans="1:14" x14ac:dyDescent="0.25">
      <c r="A1567">
        <v>1551.3000469999999</v>
      </c>
      <c r="B1567" s="1">
        <f>DATE(2014,7,30) + TIME(7,12,4)</f>
        <v>41850.300046296295</v>
      </c>
      <c r="C1567">
        <v>80</v>
      </c>
      <c r="D1567">
        <v>79.926513671999999</v>
      </c>
      <c r="E1567">
        <v>50</v>
      </c>
      <c r="F1567">
        <v>46.257976532000001</v>
      </c>
      <c r="G1567">
        <v>1354.8201904</v>
      </c>
      <c r="H1567">
        <v>1347.7844238</v>
      </c>
      <c r="I1567">
        <v>1312.4738769999999</v>
      </c>
      <c r="J1567">
        <v>1303.1929932</v>
      </c>
      <c r="K1567">
        <v>1100</v>
      </c>
      <c r="L1567">
        <v>0</v>
      </c>
      <c r="M1567">
        <v>0</v>
      </c>
      <c r="N1567">
        <v>1100</v>
      </c>
    </row>
    <row r="1568" spans="1:14" x14ac:dyDescent="0.25">
      <c r="A1568">
        <v>1553</v>
      </c>
      <c r="B1568" s="1">
        <f>DATE(2014,8,1) + TIME(0,0,0)</f>
        <v>41852</v>
      </c>
      <c r="C1568">
        <v>80</v>
      </c>
      <c r="D1568">
        <v>79.926513671999999</v>
      </c>
      <c r="E1568">
        <v>50</v>
      </c>
      <c r="F1568">
        <v>46.229656218999999</v>
      </c>
      <c r="G1568">
        <v>1354.7915039</v>
      </c>
      <c r="H1568">
        <v>1347.7635498</v>
      </c>
      <c r="I1568">
        <v>1312.4515381000001</v>
      </c>
      <c r="J1568">
        <v>1303.1499022999999</v>
      </c>
      <c r="K1568">
        <v>1100</v>
      </c>
      <c r="L1568">
        <v>0</v>
      </c>
      <c r="M1568">
        <v>0</v>
      </c>
      <c r="N1568">
        <v>1100</v>
      </c>
    </row>
    <row r="1569" spans="1:14" x14ac:dyDescent="0.25">
      <c r="A1569">
        <v>1555.0060430000001</v>
      </c>
      <c r="B1569" s="1">
        <f>DATE(2014,8,3) + TIME(0,8,42)</f>
        <v>41854.006041666667</v>
      </c>
      <c r="C1569">
        <v>80</v>
      </c>
      <c r="D1569">
        <v>79.926513671999999</v>
      </c>
      <c r="E1569">
        <v>50</v>
      </c>
      <c r="F1569">
        <v>46.202800750999998</v>
      </c>
      <c r="G1569">
        <v>1354.7670897999999</v>
      </c>
      <c r="H1569">
        <v>1347.7458495999999</v>
      </c>
      <c r="I1569">
        <v>1312.4309082</v>
      </c>
      <c r="J1569">
        <v>1303.1096190999999</v>
      </c>
      <c r="K1569">
        <v>1100</v>
      </c>
      <c r="L1569">
        <v>0</v>
      </c>
      <c r="M1569">
        <v>0</v>
      </c>
      <c r="N1569">
        <v>1100</v>
      </c>
    </row>
    <row r="1570" spans="1:14" x14ac:dyDescent="0.25">
      <c r="A1570">
        <v>1557.100639</v>
      </c>
      <c r="B1570" s="1">
        <f>DATE(2014,8,5) + TIME(2,24,55)</f>
        <v>41856.100636574076</v>
      </c>
      <c r="C1570">
        <v>80</v>
      </c>
      <c r="D1570">
        <v>79.926521300999994</v>
      </c>
      <c r="E1570">
        <v>50</v>
      </c>
      <c r="F1570">
        <v>46.178398131999998</v>
      </c>
      <c r="G1570">
        <v>1354.7386475000001</v>
      </c>
      <c r="H1570">
        <v>1347.7250977000001</v>
      </c>
      <c r="I1570">
        <v>1312.4083252</v>
      </c>
      <c r="J1570">
        <v>1303.0655518000001</v>
      </c>
      <c r="K1570">
        <v>1100</v>
      </c>
      <c r="L1570">
        <v>0</v>
      </c>
      <c r="M1570">
        <v>0</v>
      </c>
      <c r="N1570">
        <v>1100</v>
      </c>
    </row>
    <row r="1571" spans="1:14" x14ac:dyDescent="0.25">
      <c r="A1571">
        <v>1559.252972</v>
      </c>
      <c r="B1571" s="1">
        <f>DATE(2014,8,7) + TIME(6,4,16)</f>
        <v>41858.252962962964</v>
      </c>
      <c r="C1571">
        <v>80</v>
      </c>
      <c r="D1571">
        <v>79.926528931000007</v>
      </c>
      <c r="E1571">
        <v>50</v>
      </c>
      <c r="F1571">
        <v>46.157203674000002</v>
      </c>
      <c r="G1571">
        <v>1354.7092285000001</v>
      </c>
      <c r="H1571">
        <v>1347.7036132999999</v>
      </c>
      <c r="I1571">
        <v>1312.3852539</v>
      </c>
      <c r="J1571">
        <v>1303.0201416</v>
      </c>
      <c r="K1571">
        <v>1100</v>
      </c>
      <c r="L1571">
        <v>0</v>
      </c>
      <c r="M1571">
        <v>0</v>
      </c>
      <c r="N1571">
        <v>1100</v>
      </c>
    </row>
    <row r="1572" spans="1:14" x14ac:dyDescent="0.25">
      <c r="A1572">
        <v>1561.447316</v>
      </c>
      <c r="B1572" s="1">
        <f>DATE(2014,8,9) + TIME(10,44,8)</f>
        <v>41860.447314814817</v>
      </c>
      <c r="C1572">
        <v>80</v>
      </c>
      <c r="D1572">
        <v>79.926536560000002</v>
      </c>
      <c r="E1572">
        <v>50</v>
      </c>
      <c r="F1572">
        <v>46.139965056999998</v>
      </c>
      <c r="G1572">
        <v>1354.6795654</v>
      </c>
      <c r="H1572">
        <v>1347.6818848</v>
      </c>
      <c r="I1572">
        <v>1312.3620605000001</v>
      </c>
      <c r="J1572">
        <v>1302.9741211</v>
      </c>
      <c r="K1572">
        <v>1100</v>
      </c>
      <c r="L1572">
        <v>0</v>
      </c>
      <c r="M1572">
        <v>0</v>
      </c>
      <c r="N1572">
        <v>1100</v>
      </c>
    </row>
    <row r="1573" spans="1:14" x14ac:dyDescent="0.25">
      <c r="A1573">
        <v>1563.6768079999999</v>
      </c>
      <c r="B1573" s="1">
        <f>DATE(2014,8,11) + TIME(16,14,36)</f>
        <v>41862.676805555559</v>
      </c>
      <c r="C1573">
        <v>80</v>
      </c>
      <c r="D1573">
        <v>79.926544188999998</v>
      </c>
      <c r="E1573">
        <v>50</v>
      </c>
      <c r="F1573">
        <v>46.127342224000003</v>
      </c>
      <c r="G1573">
        <v>1354.6495361</v>
      </c>
      <c r="H1573">
        <v>1347.6599120999999</v>
      </c>
      <c r="I1573">
        <v>1312.3388672000001</v>
      </c>
      <c r="J1573">
        <v>1302.9279785000001</v>
      </c>
      <c r="K1573">
        <v>1100</v>
      </c>
      <c r="L1573">
        <v>0</v>
      </c>
      <c r="M1573">
        <v>0</v>
      </c>
      <c r="N1573">
        <v>1100</v>
      </c>
    </row>
    <row r="1574" spans="1:14" x14ac:dyDescent="0.25">
      <c r="A1574">
        <v>1565.9356780000001</v>
      </c>
      <c r="B1574" s="1">
        <f>DATE(2014,8,13) + TIME(22,27,22)</f>
        <v>41864.935671296298</v>
      </c>
      <c r="C1574">
        <v>80</v>
      </c>
      <c r="D1574">
        <v>79.926559448000006</v>
      </c>
      <c r="E1574">
        <v>50</v>
      </c>
      <c r="F1574">
        <v>46.119941711000003</v>
      </c>
      <c r="G1574">
        <v>1354.6196289</v>
      </c>
      <c r="H1574">
        <v>1347.6378173999999</v>
      </c>
      <c r="I1574">
        <v>1312.315918</v>
      </c>
      <c r="J1574">
        <v>1302.8819579999999</v>
      </c>
      <c r="K1574">
        <v>1100</v>
      </c>
      <c r="L1574">
        <v>0</v>
      </c>
      <c r="M1574">
        <v>0</v>
      </c>
      <c r="N1574">
        <v>1100</v>
      </c>
    </row>
    <row r="1575" spans="1:14" x14ac:dyDescent="0.25">
      <c r="A1575">
        <v>1568.208856</v>
      </c>
      <c r="B1575" s="1">
        <f>DATE(2014,8,16) + TIME(5,0,45)</f>
        <v>41867.208854166667</v>
      </c>
      <c r="C1575">
        <v>80</v>
      </c>
      <c r="D1575">
        <v>79.926567078000005</v>
      </c>
      <c r="E1575">
        <v>50</v>
      </c>
      <c r="F1575">
        <v>46.118312836000001</v>
      </c>
      <c r="G1575">
        <v>1354.5895995999999</v>
      </c>
      <c r="H1575">
        <v>1347.6157227000001</v>
      </c>
      <c r="I1575">
        <v>1312.293457</v>
      </c>
      <c r="J1575">
        <v>1302.8364257999999</v>
      </c>
      <c r="K1575">
        <v>1100</v>
      </c>
      <c r="L1575">
        <v>0</v>
      </c>
      <c r="M1575">
        <v>0</v>
      </c>
      <c r="N1575">
        <v>1100</v>
      </c>
    </row>
    <row r="1576" spans="1:14" x14ac:dyDescent="0.25">
      <c r="A1576">
        <v>1570.5071620000001</v>
      </c>
      <c r="B1576" s="1">
        <f>DATE(2014,8,18) + TIME(12,10,18)</f>
        <v>41869.507152777776</v>
      </c>
      <c r="C1576">
        <v>80</v>
      </c>
      <c r="D1576">
        <v>79.926582335999996</v>
      </c>
      <c r="E1576">
        <v>50</v>
      </c>
      <c r="F1576">
        <v>46.122928619</v>
      </c>
      <c r="G1576">
        <v>1354.5598144999999</v>
      </c>
      <c r="H1576">
        <v>1347.59375</v>
      </c>
      <c r="I1576">
        <v>1312.2716064000001</v>
      </c>
      <c r="J1576">
        <v>1302.7918701000001</v>
      </c>
      <c r="K1576">
        <v>1100</v>
      </c>
      <c r="L1576">
        <v>0</v>
      </c>
      <c r="M1576">
        <v>0</v>
      </c>
      <c r="N1576">
        <v>1100</v>
      </c>
    </row>
    <row r="1577" spans="1:14" x14ac:dyDescent="0.25">
      <c r="A1577">
        <v>1572.837229</v>
      </c>
      <c r="B1577" s="1">
        <f>DATE(2014,8,20) + TIME(20,5,36)</f>
        <v>41871.837222222224</v>
      </c>
      <c r="C1577">
        <v>80</v>
      </c>
      <c r="D1577">
        <v>79.926597595000004</v>
      </c>
      <c r="E1577">
        <v>50</v>
      </c>
      <c r="F1577">
        <v>46.134323119999998</v>
      </c>
      <c r="G1577">
        <v>1354.5301514</v>
      </c>
      <c r="H1577">
        <v>1347.5716553</v>
      </c>
      <c r="I1577">
        <v>1312.2503661999999</v>
      </c>
      <c r="J1577">
        <v>1302.7481689000001</v>
      </c>
      <c r="K1577">
        <v>1100</v>
      </c>
      <c r="L1577">
        <v>0</v>
      </c>
      <c r="M1577">
        <v>0</v>
      </c>
      <c r="N1577">
        <v>1100</v>
      </c>
    </row>
    <row r="1578" spans="1:14" x14ac:dyDescent="0.25">
      <c r="A1578">
        <v>1575.206545</v>
      </c>
      <c r="B1578" s="1">
        <f>DATE(2014,8,23) + TIME(4,57,25)</f>
        <v>41874.20653935185</v>
      </c>
      <c r="C1578">
        <v>80</v>
      </c>
      <c r="D1578">
        <v>79.926612853999998</v>
      </c>
      <c r="E1578">
        <v>50</v>
      </c>
      <c r="F1578">
        <v>46.153099060000002</v>
      </c>
      <c r="G1578">
        <v>1354.5004882999999</v>
      </c>
      <c r="H1578">
        <v>1347.5494385</v>
      </c>
      <c r="I1578">
        <v>1312.2297363</v>
      </c>
      <c r="J1578">
        <v>1302.7054443</v>
      </c>
      <c r="K1578">
        <v>1100</v>
      </c>
      <c r="L1578">
        <v>0</v>
      </c>
      <c r="M1578">
        <v>0</v>
      </c>
      <c r="N1578">
        <v>1100</v>
      </c>
    </row>
    <row r="1579" spans="1:14" x14ac:dyDescent="0.25">
      <c r="A1579">
        <v>1577.6230909999999</v>
      </c>
      <c r="B1579" s="1">
        <f>DATE(2014,8,25) + TIME(14,57,15)</f>
        <v>41876.623090277775</v>
      </c>
      <c r="C1579">
        <v>80</v>
      </c>
      <c r="D1579">
        <v>79.926628113000007</v>
      </c>
      <c r="E1579">
        <v>50</v>
      </c>
      <c r="F1579">
        <v>46.179965973000002</v>
      </c>
      <c r="G1579">
        <v>1354.4705810999999</v>
      </c>
      <c r="H1579">
        <v>1347.5272216999999</v>
      </c>
      <c r="I1579">
        <v>1312.2098389</v>
      </c>
      <c r="J1579">
        <v>1302.6638184000001</v>
      </c>
      <c r="K1579">
        <v>1100</v>
      </c>
      <c r="L1579">
        <v>0</v>
      </c>
      <c r="M1579">
        <v>0</v>
      </c>
      <c r="N1579">
        <v>1100</v>
      </c>
    </row>
    <row r="1580" spans="1:14" x14ac:dyDescent="0.25">
      <c r="A1580">
        <v>1580.0958250000001</v>
      </c>
      <c r="B1580" s="1">
        <f>DATE(2014,8,28) + TIME(2,17,59)</f>
        <v>41879.095821759256</v>
      </c>
      <c r="C1580">
        <v>80</v>
      </c>
      <c r="D1580">
        <v>79.926651000999996</v>
      </c>
      <c r="E1580">
        <v>50</v>
      </c>
      <c r="F1580">
        <v>46.215744018999999</v>
      </c>
      <c r="G1580">
        <v>1354.4405518000001</v>
      </c>
      <c r="H1580">
        <v>1347.5046387</v>
      </c>
      <c r="I1580">
        <v>1312.1906738</v>
      </c>
      <c r="J1580">
        <v>1302.6232910000001</v>
      </c>
      <c r="K1580">
        <v>1100</v>
      </c>
      <c r="L1580">
        <v>0</v>
      </c>
      <c r="M1580">
        <v>0</v>
      </c>
      <c r="N1580">
        <v>1100</v>
      </c>
    </row>
    <row r="1581" spans="1:14" x14ac:dyDescent="0.25">
      <c r="A1581">
        <v>1582.6343199999999</v>
      </c>
      <c r="B1581" s="1">
        <f>DATE(2014,8,30) + TIME(15,13,25)</f>
        <v>41881.634317129632</v>
      </c>
      <c r="C1581">
        <v>80</v>
      </c>
      <c r="D1581">
        <v>79.926666260000005</v>
      </c>
      <c r="E1581">
        <v>50</v>
      </c>
      <c r="F1581">
        <v>46.261405945</v>
      </c>
      <c r="G1581">
        <v>1354.4101562000001</v>
      </c>
      <c r="H1581">
        <v>1347.4818115</v>
      </c>
      <c r="I1581">
        <v>1312.1722411999999</v>
      </c>
      <c r="J1581">
        <v>1302.5839844</v>
      </c>
      <c r="K1581">
        <v>1100</v>
      </c>
      <c r="L1581">
        <v>0</v>
      </c>
      <c r="M1581">
        <v>0</v>
      </c>
      <c r="N1581">
        <v>1100</v>
      </c>
    </row>
    <row r="1582" spans="1:14" x14ac:dyDescent="0.25">
      <c r="A1582">
        <v>1584</v>
      </c>
      <c r="B1582" s="1">
        <f>DATE(2014,9,1) + TIME(0,0,0)</f>
        <v>41883</v>
      </c>
      <c r="C1582">
        <v>80</v>
      </c>
      <c r="D1582">
        <v>79.926658630000006</v>
      </c>
      <c r="E1582">
        <v>50</v>
      </c>
      <c r="F1582">
        <v>46.302810669000003</v>
      </c>
      <c r="G1582">
        <v>1354.3792725000001</v>
      </c>
      <c r="H1582">
        <v>1347.4584961</v>
      </c>
      <c r="I1582">
        <v>1312.1593018000001</v>
      </c>
      <c r="J1582">
        <v>1302.5511475000001</v>
      </c>
      <c r="K1582">
        <v>1100</v>
      </c>
      <c r="L1582">
        <v>0</v>
      </c>
      <c r="M1582">
        <v>0</v>
      </c>
      <c r="N1582">
        <v>1100</v>
      </c>
    </row>
    <row r="1583" spans="1:14" x14ac:dyDescent="0.25">
      <c r="A1583">
        <v>1586.6036610000001</v>
      </c>
      <c r="B1583" s="1">
        <f>DATE(2014,9,3) + TIME(14,29,16)</f>
        <v>41885.60365740741</v>
      </c>
      <c r="C1583">
        <v>80</v>
      </c>
      <c r="D1583">
        <v>79.926696777000004</v>
      </c>
      <c r="E1583">
        <v>50</v>
      </c>
      <c r="F1583">
        <v>46.358386993000003</v>
      </c>
      <c r="G1583">
        <v>1354.3629149999999</v>
      </c>
      <c r="H1583">
        <v>1347.4460449000001</v>
      </c>
      <c r="I1583">
        <v>1312.1441649999999</v>
      </c>
      <c r="J1583">
        <v>1302.5250243999999</v>
      </c>
      <c r="K1583">
        <v>1100</v>
      </c>
      <c r="L1583">
        <v>0</v>
      </c>
      <c r="M1583">
        <v>0</v>
      </c>
      <c r="N1583">
        <v>1100</v>
      </c>
    </row>
    <row r="1584" spans="1:14" x14ac:dyDescent="0.25">
      <c r="A1584">
        <v>1589.3031470000001</v>
      </c>
      <c r="B1584" s="1">
        <f>DATE(2014,9,6) + TIME(7,16,31)</f>
        <v>41888.303136574075</v>
      </c>
      <c r="C1584">
        <v>80</v>
      </c>
      <c r="D1584">
        <v>79.926727295000006</v>
      </c>
      <c r="E1584">
        <v>50</v>
      </c>
      <c r="F1584">
        <v>46.430522918999998</v>
      </c>
      <c r="G1584">
        <v>1354.3319091999999</v>
      </c>
      <c r="H1584">
        <v>1347.4226074000001</v>
      </c>
      <c r="I1584">
        <v>1312.1295166</v>
      </c>
      <c r="J1584">
        <v>1302.4916992000001</v>
      </c>
      <c r="K1584">
        <v>1100</v>
      </c>
      <c r="L1584">
        <v>0</v>
      </c>
      <c r="M1584">
        <v>0</v>
      </c>
      <c r="N1584">
        <v>1100</v>
      </c>
    </row>
    <row r="1585" spans="1:14" x14ac:dyDescent="0.25">
      <c r="A1585">
        <v>1592.0487869999999</v>
      </c>
      <c r="B1585" s="1">
        <f>DATE(2014,9,9) + TIME(1,10,15)</f>
        <v>41891.048784722225</v>
      </c>
      <c r="C1585">
        <v>80</v>
      </c>
      <c r="D1585">
        <v>79.926757812000005</v>
      </c>
      <c r="E1585">
        <v>50</v>
      </c>
      <c r="F1585">
        <v>46.518016815000003</v>
      </c>
      <c r="G1585">
        <v>1354.3001709</v>
      </c>
      <c r="H1585">
        <v>1347.3985596</v>
      </c>
      <c r="I1585">
        <v>1312.1153564000001</v>
      </c>
      <c r="J1585">
        <v>1302.4597168</v>
      </c>
      <c r="K1585">
        <v>1100</v>
      </c>
      <c r="L1585">
        <v>0</v>
      </c>
      <c r="M1585">
        <v>0</v>
      </c>
      <c r="N1585">
        <v>1100</v>
      </c>
    </row>
    <row r="1586" spans="1:14" x14ac:dyDescent="0.25">
      <c r="A1586">
        <v>1594.8095149999999</v>
      </c>
      <c r="B1586" s="1">
        <f>DATE(2014,9,11) + TIME(19,25,42)</f>
        <v>41893.809513888889</v>
      </c>
      <c r="C1586">
        <v>80</v>
      </c>
      <c r="D1586">
        <v>79.926788329999994</v>
      </c>
      <c r="E1586">
        <v>50</v>
      </c>
      <c r="F1586">
        <v>46.620006560999997</v>
      </c>
      <c r="G1586">
        <v>1354.2683105000001</v>
      </c>
      <c r="H1586">
        <v>1347.3741454999999</v>
      </c>
      <c r="I1586">
        <v>1312.1025391000001</v>
      </c>
      <c r="J1586">
        <v>1302.4301757999999</v>
      </c>
      <c r="K1586">
        <v>1100</v>
      </c>
      <c r="L1586">
        <v>0</v>
      </c>
      <c r="M1586">
        <v>0</v>
      </c>
      <c r="N1586">
        <v>1100</v>
      </c>
    </row>
    <row r="1587" spans="1:14" x14ac:dyDescent="0.25">
      <c r="A1587">
        <v>1597.6013539999999</v>
      </c>
      <c r="B1587" s="1">
        <f>DATE(2014,9,14) + TIME(14,25,56)</f>
        <v>41896.601342592592</v>
      </c>
      <c r="C1587">
        <v>80</v>
      </c>
      <c r="D1587">
        <v>79.926811217999997</v>
      </c>
      <c r="E1587">
        <v>50</v>
      </c>
      <c r="F1587">
        <v>46.736347197999997</v>
      </c>
      <c r="G1587">
        <v>1354.2365723</v>
      </c>
      <c r="H1587">
        <v>1347.3499756000001</v>
      </c>
      <c r="I1587">
        <v>1312.0911865</v>
      </c>
      <c r="J1587">
        <v>1302.4039307</v>
      </c>
      <c r="K1587">
        <v>1100</v>
      </c>
      <c r="L1587">
        <v>0</v>
      </c>
      <c r="M1587">
        <v>0</v>
      </c>
      <c r="N1587">
        <v>1100</v>
      </c>
    </row>
    <row r="1588" spans="1:14" x14ac:dyDescent="0.25">
      <c r="A1588">
        <v>1600.4346800000001</v>
      </c>
      <c r="B1588" s="1">
        <f>DATE(2014,9,17) + TIME(10,25,56)</f>
        <v>41899.434675925928</v>
      </c>
      <c r="C1588">
        <v>80</v>
      </c>
      <c r="D1588">
        <v>79.926849364999995</v>
      </c>
      <c r="E1588">
        <v>50</v>
      </c>
      <c r="F1588">
        <v>46.867576599000003</v>
      </c>
      <c r="G1588">
        <v>1354.2050781</v>
      </c>
      <c r="H1588">
        <v>1347.3258057</v>
      </c>
      <c r="I1588">
        <v>1312.081543</v>
      </c>
      <c r="J1588">
        <v>1302.3811035000001</v>
      </c>
      <c r="K1588">
        <v>1100</v>
      </c>
      <c r="L1588">
        <v>0</v>
      </c>
      <c r="M1588">
        <v>0</v>
      </c>
      <c r="N1588">
        <v>1100</v>
      </c>
    </row>
    <row r="1589" spans="1:14" x14ac:dyDescent="0.25">
      <c r="A1589">
        <v>1603.319039</v>
      </c>
      <c r="B1589" s="1">
        <f>DATE(2014,9,20) + TIME(7,39,24)</f>
        <v>41902.319027777776</v>
      </c>
      <c r="C1589">
        <v>80</v>
      </c>
      <c r="D1589">
        <v>79.926879882999998</v>
      </c>
      <c r="E1589">
        <v>50</v>
      </c>
      <c r="F1589">
        <v>47.014480591000002</v>
      </c>
      <c r="G1589">
        <v>1354.1733397999999</v>
      </c>
      <c r="H1589">
        <v>1347.3013916</v>
      </c>
      <c r="I1589">
        <v>1312.0736084</v>
      </c>
      <c r="J1589">
        <v>1302.3619385</v>
      </c>
      <c r="K1589">
        <v>1100</v>
      </c>
      <c r="L1589">
        <v>0</v>
      </c>
      <c r="M1589">
        <v>0</v>
      </c>
      <c r="N1589">
        <v>1100</v>
      </c>
    </row>
    <row r="1590" spans="1:14" x14ac:dyDescent="0.25">
      <c r="A1590">
        <v>1606.2648280000001</v>
      </c>
      <c r="B1590" s="1">
        <f>DATE(2014,9,23) + TIME(6,21,21)</f>
        <v>41905.264826388891</v>
      </c>
      <c r="C1590">
        <v>80</v>
      </c>
      <c r="D1590">
        <v>79.926918029999996</v>
      </c>
      <c r="E1590">
        <v>50</v>
      </c>
      <c r="F1590">
        <v>47.177993774000001</v>
      </c>
      <c r="G1590">
        <v>1354.1416016000001</v>
      </c>
      <c r="H1590">
        <v>1347.2768555</v>
      </c>
      <c r="I1590">
        <v>1312.0676269999999</v>
      </c>
      <c r="J1590">
        <v>1302.3466797000001</v>
      </c>
      <c r="K1590">
        <v>1100</v>
      </c>
      <c r="L1590">
        <v>0</v>
      </c>
      <c r="M1590">
        <v>0</v>
      </c>
      <c r="N1590">
        <v>1100</v>
      </c>
    </row>
    <row r="1591" spans="1:14" x14ac:dyDescent="0.25">
      <c r="A1591">
        <v>1609.2833599999999</v>
      </c>
      <c r="B1591" s="1">
        <f>DATE(2014,9,26) + TIME(6,48,2)</f>
        <v>41908.283356481479</v>
      </c>
      <c r="C1591">
        <v>80</v>
      </c>
      <c r="D1591">
        <v>79.926948546999995</v>
      </c>
      <c r="E1591">
        <v>50</v>
      </c>
      <c r="F1591">
        <v>47.359146117999998</v>
      </c>
      <c r="G1591">
        <v>1354.1094971</v>
      </c>
      <c r="H1591">
        <v>1347.2520752</v>
      </c>
      <c r="I1591">
        <v>1312.0635986</v>
      </c>
      <c r="J1591">
        <v>1302.3355713000001</v>
      </c>
      <c r="K1591">
        <v>1100</v>
      </c>
      <c r="L1591">
        <v>0</v>
      </c>
      <c r="M1591">
        <v>0</v>
      </c>
      <c r="N1591">
        <v>1100</v>
      </c>
    </row>
    <row r="1592" spans="1:14" x14ac:dyDescent="0.25">
      <c r="A1592">
        <v>1612.3746920000001</v>
      </c>
      <c r="B1592" s="1">
        <f>DATE(2014,9,29) + TIME(8,59,33)</f>
        <v>41911.3746875</v>
      </c>
      <c r="C1592">
        <v>80</v>
      </c>
      <c r="D1592">
        <v>79.926994324000006</v>
      </c>
      <c r="E1592">
        <v>50</v>
      </c>
      <c r="F1592">
        <v>47.558746337999999</v>
      </c>
      <c r="G1592">
        <v>1354.0771483999999</v>
      </c>
      <c r="H1592">
        <v>1347.2269286999999</v>
      </c>
      <c r="I1592">
        <v>1312.0616454999999</v>
      </c>
      <c r="J1592">
        <v>1302.3287353999999</v>
      </c>
      <c r="K1592">
        <v>1100</v>
      </c>
      <c r="L1592">
        <v>0</v>
      </c>
      <c r="M1592">
        <v>0</v>
      </c>
      <c r="N1592">
        <v>1100</v>
      </c>
    </row>
    <row r="1593" spans="1:14" x14ac:dyDescent="0.25">
      <c r="A1593">
        <v>1614</v>
      </c>
      <c r="B1593" s="1">
        <f>DATE(2014,10,1) + TIME(0,0,0)</f>
        <v>41913</v>
      </c>
      <c r="C1593">
        <v>80</v>
      </c>
      <c r="D1593">
        <v>79.926994324000006</v>
      </c>
      <c r="E1593">
        <v>50</v>
      </c>
      <c r="F1593">
        <v>47.722728729000004</v>
      </c>
      <c r="G1593">
        <v>1354.0444336</v>
      </c>
      <c r="H1593">
        <v>1347.2015381000001</v>
      </c>
      <c r="I1593">
        <v>1312.0684814000001</v>
      </c>
      <c r="J1593">
        <v>1302.3286132999999</v>
      </c>
      <c r="K1593">
        <v>1100</v>
      </c>
      <c r="L1593">
        <v>0</v>
      </c>
      <c r="M1593">
        <v>0</v>
      </c>
      <c r="N1593">
        <v>1100</v>
      </c>
    </row>
    <row r="1594" spans="1:14" x14ac:dyDescent="0.25">
      <c r="A1594">
        <v>1617.1252030000001</v>
      </c>
      <c r="B1594" s="1">
        <f>DATE(2014,10,4) + TIME(3,0,17)</f>
        <v>41916.125196759262</v>
      </c>
      <c r="C1594">
        <v>80</v>
      </c>
      <c r="D1594">
        <v>79.927047728999995</v>
      </c>
      <c r="E1594">
        <v>50</v>
      </c>
      <c r="F1594">
        <v>47.915458678999997</v>
      </c>
      <c r="G1594">
        <v>1354.0274658000001</v>
      </c>
      <c r="H1594">
        <v>1347.1882324000001</v>
      </c>
      <c r="I1594">
        <v>1312.0621338000001</v>
      </c>
      <c r="J1594">
        <v>1302.3288574000001</v>
      </c>
      <c r="K1594">
        <v>1100</v>
      </c>
      <c r="L1594">
        <v>0</v>
      </c>
      <c r="M1594">
        <v>0</v>
      </c>
      <c r="N1594">
        <v>1100</v>
      </c>
    </row>
    <row r="1595" spans="1:14" x14ac:dyDescent="0.25">
      <c r="A1595">
        <v>1620.3231209999999</v>
      </c>
      <c r="B1595" s="1">
        <f>DATE(2014,10,7) + TIME(7,45,17)</f>
        <v>41919.323113425926</v>
      </c>
      <c r="C1595">
        <v>80</v>
      </c>
      <c r="D1595">
        <v>79.927093506000006</v>
      </c>
      <c r="E1595">
        <v>50</v>
      </c>
      <c r="F1595">
        <v>48.145664214999996</v>
      </c>
      <c r="G1595">
        <v>1353.9951172000001</v>
      </c>
      <c r="H1595">
        <v>1347.1630858999999</v>
      </c>
      <c r="I1595">
        <v>1312.0667725000001</v>
      </c>
      <c r="J1595">
        <v>1302.3337402</v>
      </c>
      <c r="K1595">
        <v>1100</v>
      </c>
      <c r="L1595">
        <v>0</v>
      </c>
      <c r="M1595">
        <v>0</v>
      </c>
      <c r="N1595">
        <v>1100</v>
      </c>
    </row>
    <row r="1596" spans="1:14" x14ac:dyDescent="0.25">
      <c r="A1596">
        <v>1623.581715</v>
      </c>
      <c r="B1596" s="1">
        <f>DATE(2014,10,10) + TIME(13,57,40)</f>
        <v>41922.581712962965</v>
      </c>
      <c r="C1596">
        <v>80</v>
      </c>
      <c r="D1596">
        <v>79.927139281999999</v>
      </c>
      <c r="E1596">
        <v>50</v>
      </c>
      <c r="F1596">
        <v>48.400249481000003</v>
      </c>
      <c r="G1596">
        <v>1353.9626464999999</v>
      </c>
      <c r="H1596">
        <v>1347.1375731999999</v>
      </c>
      <c r="I1596">
        <v>1312.0732422000001</v>
      </c>
      <c r="J1596">
        <v>1302.3438721</v>
      </c>
      <c r="K1596">
        <v>1100</v>
      </c>
      <c r="L1596">
        <v>0</v>
      </c>
      <c r="M1596">
        <v>0</v>
      </c>
      <c r="N1596">
        <v>1100</v>
      </c>
    </row>
    <row r="1597" spans="1:14" x14ac:dyDescent="0.25">
      <c r="A1597">
        <v>1626.9120190000001</v>
      </c>
      <c r="B1597" s="1">
        <f>DATE(2014,10,13) + TIME(21,53,18)</f>
        <v>41925.91201388889</v>
      </c>
      <c r="C1597">
        <v>80</v>
      </c>
      <c r="D1597">
        <v>79.927185058999996</v>
      </c>
      <c r="E1597">
        <v>50</v>
      </c>
      <c r="F1597">
        <v>48.673847197999997</v>
      </c>
      <c r="G1597">
        <v>1353.9299315999999</v>
      </c>
      <c r="H1597">
        <v>1347.1120605000001</v>
      </c>
      <c r="I1597">
        <v>1312.0820312000001</v>
      </c>
      <c r="J1597">
        <v>1302.359375</v>
      </c>
      <c r="K1597">
        <v>1100</v>
      </c>
      <c r="L1597">
        <v>0</v>
      </c>
      <c r="M1597">
        <v>0</v>
      </c>
      <c r="N1597">
        <v>1100</v>
      </c>
    </row>
    <row r="1598" spans="1:14" x14ac:dyDescent="0.25">
      <c r="A1598">
        <v>1630.3172050000001</v>
      </c>
      <c r="B1598" s="1">
        <f>DATE(2014,10,17) + TIME(7,36,46)</f>
        <v>41929.317199074074</v>
      </c>
      <c r="C1598">
        <v>80</v>
      </c>
      <c r="D1598">
        <v>79.927238463999998</v>
      </c>
      <c r="E1598">
        <v>50</v>
      </c>
      <c r="F1598">
        <v>48.964160919000001</v>
      </c>
      <c r="G1598">
        <v>1353.8972168</v>
      </c>
      <c r="H1598">
        <v>1347.0863036999999</v>
      </c>
      <c r="I1598">
        <v>1312.0931396000001</v>
      </c>
      <c r="J1598">
        <v>1302.3800048999999</v>
      </c>
      <c r="K1598">
        <v>1100</v>
      </c>
      <c r="L1598">
        <v>0</v>
      </c>
      <c r="M1598">
        <v>0</v>
      </c>
      <c r="N1598">
        <v>1100</v>
      </c>
    </row>
    <row r="1599" spans="1:14" x14ac:dyDescent="0.25">
      <c r="A1599">
        <v>1633.814965</v>
      </c>
      <c r="B1599" s="1">
        <f>DATE(2014,10,20) + TIME(19,33,33)</f>
        <v>41932.814965277779</v>
      </c>
      <c r="C1599">
        <v>80</v>
      </c>
      <c r="D1599">
        <v>79.927284240999995</v>
      </c>
      <c r="E1599">
        <v>50</v>
      </c>
      <c r="F1599">
        <v>49.270053863999998</v>
      </c>
      <c r="G1599">
        <v>1353.8642577999999</v>
      </c>
      <c r="H1599">
        <v>1347.0604248</v>
      </c>
      <c r="I1599">
        <v>1312.1066894999999</v>
      </c>
      <c r="J1599">
        <v>1302.4057617000001</v>
      </c>
      <c r="K1599">
        <v>1100</v>
      </c>
      <c r="L1599">
        <v>0</v>
      </c>
      <c r="M1599">
        <v>0</v>
      </c>
      <c r="N1599">
        <v>1100</v>
      </c>
    </row>
    <row r="1600" spans="1:14" x14ac:dyDescent="0.25">
      <c r="A1600">
        <v>1635.574607</v>
      </c>
      <c r="B1600" s="1">
        <f>DATE(2014,10,22) + TIME(13,47,26)</f>
        <v>41934.574606481481</v>
      </c>
      <c r="C1600">
        <v>80</v>
      </c>
      <c r="D1600">
        <v>79.927291870000005</v>
      </c>
      <c r="E1600">
        <v>50</v>
      </c>
      <c r="F1600">
        <v>49.511234283</v>
      </c>
      <c r="G1600">
        <v>1353.8310547000001</v>
      </c>
      <c r="H1600">
        <v>1347.0344238</v>
      </c>
      <c r="I1600">
        <v>1312.1296387</v>
      </c>
      <c r="J1600">
        <v>1302.4356689000001</v>
      </c>
      <c r="K1600">
        <v>1100</v>
      </c>
      <c r="L1600">
        <v>0</v>
      </c>
      <c r="M1600">
        <v>0</v>
      </c>
      <c r="N1600">
        <v>1100</v>
      </c>
    </row>
    <row r="1601" spans="1:14" x14ac:dyDescent="0.25">
      <c r="A1601">
        <v>1639.0938900000001</v>
      </c>
      <c r="B1601" s="1">
        <f>DATE(2014,10,26) + TIME(2,15,12)</f>
        <v>41938.093888888892</v>
      </c>
      <c r="C1601">
        <v>80</v>
      </c>
      <c r="D1601">
        <v>79.927360535000005</v>
      </c>
      <c r="E1601">
        <v>50</v>
      </c>
      <c r="F1601">
        <v>49.778079986999998</v>
      </c>
      <c r="G1601">
        <v>1353.8145752</v>
      </c>
      <c r="H1601">
        <v>1347.0213623</v>
      </c>
      <c r="I1601">
        <v>1312.1319579999999</v>
      </c>
      <c r="J1601">
        <v>1302.4586182</v>
      </c>
      <c r="K1601">
        <v>1100</v>
      </c>
      <c r="L1601">
        <v>0</v>
      </c>
      <c r="M1601">
        <v>0</v>
      </c>
      <c r="N1601">
        <v>1100</v>
      </c>
    </row>
    <row r="1602" spans="1:14" x14ac:dyDescent="0.25">
      <c r="A1602">
        <v>1642.6207199999999</v>
      </c>
      <c r="B1602" s="1">
        <f>DATE(2014,10,29) + TIME(14,53,50)</f>
        <v>41941.620717592596</v>
      </c>
      <c r="C1602">
        <v>80</v>
      </c>
      <c r="D1602">
        <v>79.927413939999994</v>
      </c>
      <c r="E1602">
        <v>50</v>
      </c>
      <c r="F1602">
        <v>50.088066101000003</v>
      </c>
      <c r="G1602">
        <v>1353.7822266000001</v>
      </c>
      <c r="H1602">
        <v>1346.9959716999999</v>
      </c>
      <c r="I1602">
        <v>1312.1516113</v>
      </c>
      <c r="J1602">
        <v>1302.4934082</v>
      </c>
      <c r="K1602">
        <v>1100</v>
      </c>
      <c r="L1602">
        <v>0</v>
      </c>
      <c r="M1602">
        <v>0</v>
      </c>
      <c r="N1602">
        <v>1100</v>
      </c>
    </row>
    <row r="1603" spans="1:14" x14ac:dyDescent="0.25">
      <c r="A1603">
        <v>1645</v>
      </c>
      <c r="B1603" s="1">
        <f>DATE(2014,11,1) + TIME(0,0,0)</f>
        <v>41944</v>
      </c>
      <c r="C1603">
        <v>80</v>
      </c>
      <c r="D1603">
        <v>79.927436829000001</v>
      </c>
      <c r="E1603">
        <v>50</v>
      </c>
      <c r="F1603">
        <v>50.369277953999998</v>
      </c>
      <c r="G1603">
        <v>1353.7504882999999</v>
      </c>
      <c r="H1603">
        <v>1346.9709473</v>
      </c>
      <c r="I1603">
        <v>1312.1765137</v>
      </c>
      <c r="J1603">
        <v>1302.5328368999999</v>
      </c>
      <c r="K1603">
        <v>1100</v>
      </c>
      <c r="L1603">
        <v>0</v>
      </c>
      <c r="M1603">
        <v>0</v>
      </c>
      <c r="N1603">
        <v>1100</v>
      </c>
    </row>
    <row r="1604" spans="1:14" x14ac:dyDescent="0.25">
      <c r="A1604">
        <v>1645.0000010000001</v>
      </c>
      <c r="B1604" s="1">
        <f>DATE(2014,11,1) + TIME(0,0,0)</f>
        <v>41944</v>
      </c>
      <c r="C1604">
        <v>80</v>
      </c>
      <c r="D1604">
        <v>79.927383422999995</v>
      </c>
      <c r="E1604">
        <v>50</v>
      </c>
      <c r="F1604">
        <v>50.369331359999997</v>
      </c>
      <c r="G1604">
        <v>1346.5714111</v>
      </c>
      <c r="H1604">
        <v>1341.7471923999999</v>
      </c>
      <c r="I1604">
        <v>1322.3898925999999</v>
      </c>
      <c r="J1604">
        <v>1312.6230469</v>
      </c>
      <c r="K1604">
        <v>0</v>
      </c>
      <c r="L1604">
        <v>1100</v>
      </c>
      <c r="M1604">
        <v>1100</v>
      </c>
      <c r="N1604">
        <v>0</v>
      </c>
    </row>
    <row r="1605" spans="1:14" x14ac:dyDescent="0.25">
      <c r="A1605">
        <v>1645.000004</v>
      </c>
      <c r="B1605" s="1">
        <f>DATE(2014,11,1) + TIME(0,0,0)</f>
        <v>41944</v>
      </c>
      <c r="C1605">
        <v>80</v>
      </c>
      <c r="D1605">
        <v>79.927238463999998</v>
      </c>
      <c r="E1605">
        <v>50</v>
      </c>
      <c r="F1605">
        <v>50.369483948000003</v>
      </c>
      <c r="G1605">
        <v>1345.5620117000001</v>
      </c>
      <c r="H1605">
        <v>1340.7374268000001</v>
      </c>
      <c r="I1605">
        <v>1323.4868164</v>
      </c>
      <c r="J1605">
        <v>1313.8109131000001</v>
      </c>
      <c r="K1605">
        <v>0</v>
      </c>
      <c r="L1605">
        <v>1100</v>
      </c>
      <c r="M1605">
        <v>1100</v>
      </c>
      <c r="N1605">
        <v>0</v>
      </c>
    </row>
    <row r="1606" spans="1:14" x14ac:dyDescent="0.25">
      <c r="A1606">
        <v>1645.0000130000001</v>
      </c>
      <c r="B1606" s="1">
        <f>DATE(2014,11,1) + TIME(0,0,1)</f>
        <v>41944.000011574077</v>
      </c>
      <c r="C1606">
        <v>80</v>
      </c>
      <c r="D1606">
        <v>79.926948546999995</v>
      </c>
      <c r="E1606">
        <v>50</v>
      </c>
      <c r="F1606">
        <v>50.369819640999999</v>
      </c>
      <c r="G1606">
        <v>1343.5241699000001</v>
      </c>
      <c r="H1606">
        <v>1338.6992187999999</v>
      </c>
      <c r="I1606">
        <v>1325.9975586</v>
      </c>
      <c r="J1606">
        <v>1316.4639893000001</v>
      </c>
      <c r="K1606">
        <v>0</v>
      </c>
      <c r="L1606">
        <v>1100</v>
      </c>
      <c r="M1606">
        <v>1100</v>
      </c>
      <c r="N1606">
        <v>0</v>
      </c>
    </row>
    <row r="1607" spans="1:14" x14ac:dyDescent="0.25">
      <c r="A1607">
        <v>1645.0000399999999</v>
      </c>
      <c r="B1607" s="1">
        <f>DATE(2014,11,1) + TIME(0,0,3)</f>
        <v>41944.000034722223</v>
      </c>
      <c r="C1607">
        <v>80</v>
      </c>
      <c r="D1607">
        <v>79.926521300999994</v>
      </c>
      <c r="E1607">
        <v>50</v>
      </c>
      <c r="F1607">
        <v>50.370365143000001</v>
      </c>
      <c r="G1607">
        <v>1340.5457764</v>
      </c>
      <c r="H1607">
        <v>1335.7215576000001</v>
      </c>
      <c r="I1607">
        <v>1330.2994385</v>
      </c>
      <c r="J1607">
        <v>1320.8430175999999</v>
      </c>
      <c r="K1607">
        <v>0</v>
      </c>
      <c r="L1607">
        <v>1100</v>
      </c>
      <c r="M1607">
        <v>1100</v>
      </c>
      <c r="N1607">
        <v>0</v>
      </c>
    </row>
    <row r="1608" spans="1:14" x14ac:dyDescent="0.25">
      <c r="A1608">
        <v>1645.000121</v>
      </c>
      <c r="B1608" s="1">
        <f>DATE(2014,11,1) + TIME(0,0,10)</f>
        <v>41944.000115740739</v>
      </c>
      <c r="C1608">
        <v>80</v>
      </c>
      <c r="D1608">
        <v>79.926040649000001</v>
      </c>
      <c r="E1608">
        <v>50</v>
      </c>
      <c r="F1608">
        <v>50.371025084999999</v>
      </c>
      <c r="G1608">
        <v>1337.2275391000001</v>
      </c>
      <c r="H1608">
        <v>1332.4036865</v>
      </c>
      <c r="I1608">
        <v>1335.7062988</v>
      </c>
      <c r="J1608">
        <v>1326.2318115</v>
      </c>
      <c r="K1608">
        <v>0</v>
      </c>
      <c r="L1608">
        <v>1100</v>
      </c>
      <c r="M1608">
        <v>1100</v>
      </c>
      <c r="N1608">
        <v>0</v>
      </c>
    </row>
    <row r="1609" spans="1:14" x14ac:dyDescent="0.25">
      <c r="A1609">
        <v>1645.000364</v>
      </c>
      <c r="B1609" s="1">
        <f>DATE(2014,11,1) + TIME(0,0,31)</f>
        <v>41944.000358796293</v>
      </c>
      <c r="C1609">
        <v>80</v>
      </c>
      <c r="D1609">
        <v>79.925529479999994</v>
      </c>
      <c r="E1609">
        <v>50</v>
      </c>
      <c r="F1609">
        <v>50.371677398999999</v>
      </c>
      <c r="G1609">
        <v>1333.8674315999999</v>
      </c>
      <c r="H1609">
        <v>1329.0240478999999</v>
      </c>
      <c r="I1609">
        <v>1341.394043</v>
      </c>
      <c r="J1609">
        <v>1331.8824463000001</v>
      </c>
      <c r="K1609">
        <v>0</v>
      </c>
      <c r="L1609">
        <v>1100</v>
      </c>
      <c r="M1609">
        <v>1100</v>
      </c>
      <c r="N1609">
        <v>0</v>
      </c>
    </row>
    <row r="1610" spans="1:14" x14ac:dyDescent="0.25">
      <c r="A1610">
        <v>1645.0010930000001</v>
      </c>
      <c r="B1610" s="1">
        <f>DATE(2014,11,1) + TIME(0,1,34)</f>
        <v>41944.001087962963</v>
      </c>
      <c r="C1610">
        <v>80</v>
      </c>
      <c r="D1610">
        <v>79.924934386999993</v>
      </c>
      <c r="E1610">
        <v>50</v>
      </c>
      <c r="F1610">
        <v>50.372215271000002</v>
      </c>
      <c r="G1610">
        <v>1330.4245605000001</v>
      </c>
      <c r="H1610">
        <v>1325.4859618999999</v>
      </c>
      <c r="I1610">
        <v>1347.1405029</v>
      </c>
      <c r="J1610">
        <v>1337.5791016000001</v>
      </c>
      <c r="K1610">
        <v>0</v>
      </c>
      <c r="L1610">
        <v>1100</v>
      </c>
      <c r="M1610">
        <v>1100</v>
      </c>
      <c r="N1610">
        <v>0</v>
      </c>
    </row>
    <row r="1611" spans="1:14" x14ac:dyDescent="0.25">
      <c r="A1611">
        <v>1645.0032799999999</v>
      </c>
      <c r="B1611" s="1">
        <f>DATE(2014,11,1) + TIME(0,4,43)</f>
        <v>41944.003275462965</v>
      </c>
      <c r="C1611">
        <v>80</v>
      </c>
      <c r="D1611">
        <v>79.924110412999994</v>
      </c>
      <c r="E1611">
        <v>50</v>
      </c>
      <c r="F1611">
        <v>50.372344970999997</v>
      </c>
      <c r="G1611">
        <v>1326.9938964999999</v>
      </c>
      <c r="H1611">
        <v>1321.8829346</v>
      </c>
      <c r="I1611">
        <v>1352.5776367000001</v>
      </c>
      <c r="J1611">
        <v>1342.9290771000001</v>
      </c>
      <c r="K1611">
        <v>0</v>
      </c>
      <c r="L1611">
        <v>1100</v>
      </c>
      <c r="M1611">
        <v>1100</v>
      </c>
      <c r="N1611">
        <v>0</v>
      </c>
    </row>
    <row r="1612" spans="1:14" x14ac:dyDescent="0.25">
      <c r="A1612">
        <v>1645.0098410000001</v>
      </c>
      <c r="B1612" s="1">
        <f>DATE(2014,11,1) + TIME(0,14,10)</f>
        <v>41944.009837962964</v>
      </c>
      <c r="C1612">
        <v>80</v>
      </c>
      <c r="D1612">
        <v>79.922676085999996</v>
      </c>
      <c r="E1612">
        <v>50</v>
      </c>
      <c r="F1612">
        <v>50.371215820000003</v>
      </c>
      <c r="G1612">
        <v>1324.0609131000001</v>
      </c>
      <c r="H1612">
        <v>1318.8203125</v>
      </c>
      <c r="I1612">
        <v>1356.8183594</v>
      </c>
      <c r="J1612">
        <v>1347.0727539</v>
      </c>
      <c r="K1612">
        <v>0</v>
      </c>
      <c r="L1612">
        <v>1100</v>
      </c>
      <c r="M1612">
        <v>1100</v>
      </c>
      <c r="N1612">
        <v>0</v>
      </c>
    </row>
    <row r="1613" spans="1:14" x14ac:dyDescent="0.25">
      <c r="A1613">
        <v>1645.029524</v>
      </c>
      <c r="B1613" s="1">
        <f>DATE(2014,11,1) + TIME(0,42,30)</f>
        <v>41944.029513888891</v>
      </c>
      <c r="C1613">
        <v>80</v>
      </c>
      <c r="D1613">
        <v>79.919357300000001</v>
      </c>
      <c r="E1613">
        <v>50</v>
      </c>
      <c r="F1613">
        <v>50.366588593000003</v>
      </c>
      <c r="G1613">
        <v>1322.1065673999999</v>
      </c>
      <c r="H1613">
        <v>1316.8233643000001</v>
      </c>
      <c r="I1613">
        <v>1359.2481689000001</v>
      </c>
      <c r="J1613">
        <v>1349.4410399999999</v>
      </c>
      <c r="K1613">
        <v>0</v>
      </c>
      <c r="L1613">
        <v>1100</v>
      </c>
      <c r="M1613">
        <v>1100</v>
      </c>
      <c r="N1613">
        <v>0</v>
      </c>
    </row>
    <row r="1614" spans="1:14" x14ac:dyDescent="0.25">
      <c r="A1614">
        <v>1645.088573</v>
      </c>
      <c r="B1614" s="1">
        <f>DATE(2014,11,1) + TIME(2,7,32)</f>
        <v>41944.088564814818</v>
      </c>
      <c r="C1614">
        <v>80</v>
      </c>
      <c r="D1614">
        <v>79.910316467000001</v>
      </c>
      <c r="E1614">
        <v>50</v>
      </c>
      <c r="F1614">
        <v>50.352401733000001</v>
      </c>
      <c r="G1614">
        <v>1321.2010498</v>
      </c>
      <c r="H1614">
        <v>1315.9108887</v>
      </c>
      <c r="I1614">
        <v>1360.0883789</v>
      </c>
      <c r="J1614">
        <v>1350.2673339999999</v>
      </c>
      <c r="K1614">
        <v>0</v>
      </c>
      <c r="L1614">
        <v>1100</v>
      </c>
      <c r="M1614">
        <v>1100</v>
      </c>
      <c r="N1614">
        <v>0</v>
      </c>
    </row>
    <row r="1615" spans="1:14" x14ac:dyDescent="0.25">
      <c r="A1615">
        <v>1645.221575</v>
      </c>
      <c r="B1615" s="1">
        <f>DATE(2014,11,1) + TIME(5,19,4)</f>
        <v>41944.221574074072</v>
      </c>
      <c r="C1615">
        <v>80</v>
      </c>
      <c r="D1615">
        <v>79.891090392999999</v>
      </c>
      <c r="E1615">
        <v>50</v>
      </c>
      <c r="F1615">
        <v>50.322662354000002</v>
      </c>
      <c r="G1615">
        <v>1320.9710693</v>
      </c>
      <c r="H1615">
        <v>1315.6800536999999</v>
      </c>
      <c r="I1615">
        <v>1360.1390381000001</v>
      </c>
      <c r="J1615">
        <v>1350.3367920000001</v>
      </c>
      <c r="K1615">
        <v>0</v>
      </c>
      <c r="L1615">
        <v>1100</v>
      </c>
      <c r="M1615">
        <v>1100</v>
      </c>
      <c r="N1615">
        <v>0</v>
      </c>
    </row>
    <row r="1616" spans="1:14" x14ac:dyDescent="0.25">
      <c r="A1616">
        <v>1645.360962</v>
      </c>
      <c r="B1616" s="1">
        <f>DATE(2014,11,1) + TIME(8,39,47)</f>
        <v>41944.360960648148</v>
      </c>
      <c r="C1616">
        <v>80</v>
      </c>
      <c r="D1616">
        <v>79.871406554999993</v>
      </c>
      <c r="E1616">
        <v>50</v>
      </c>
      <c r="F1616">
        <v>50.293952941999997</v>
      </c>
      <c r="G1616">
        <v>1320.9348144999999</v>
      </c>
      <c r="H1616">
        <v>1315.6435547000001</v>
      </c>
      <c r="I1616">
        <v>1360.0705565999999</v>
      </c>
      <c r="J1616">
        <v>1350.2893065999999</v>
      </c>
      <c r="K1616">
        <v>0</v>
      </c>
      <c r="L1616">
        <v>1100</v>
      </c>
      <c r="M1616">
        <v>1100</v>
      </c>
      <c r="N1616">
        <v>0</v>
      </c>
    </row>
    <row r="1617" spans="1:14" x14ac:dyDescent="0.25">
      <c r="A1617">
        <v>1645.507472</v>
      </c>
      <c r="B1617" s="1">
        <f>DATE(2014,11,1) + TIME(12,10,45)</f>
        <v>41944.507465277777</v>
      </c>
      <c r="C1617">
        <v>80</v>
      </c>
      <c r="D1617">
        <v>79.851173400999997</v>
      </c>
      <c r="E1617">
        <v>50</v>
      </c>
      <c r="F1617">
        <v>50.266269684000001</v>
      </c>
      <c r="G1617">
        <v>1320.9259033000001</v>
      </c>
      <c r="H1617">
        <v>1315.6343993999999</v>
      </c>
      <c r="I1617">
        <v>1359.9991454999999</v>
      </c>
      <c r="J1617">
        <v>1350.2388916</v>
      </c>
      <c r="K1617">
        <v>0</v>
      </c>
      <c r="L1617">
        <v>1100</v>
      </c>
      <c r="M1617">
        <v>1100</v>
      </c>
      <c r="N1617">
        <v>0</v>
      </c>
    </row>
    <row r="1618" spans="1:14" x14ac:dyDescent="0.25">
      <c r="A1618">
        <v>1645.662002</v>
      </c>
      <c r="B1618" s="1">
        <f>DATE(2014,11,1) + TIME(15,53,16)</f>
        <v>41944.661990740744</v>
      </c>
      <c r="C1618">
        <v>80</v>
      </c>
      <c r="D1618">
        <v>79.830299377000003</v>
      </c>
      <c r="E1618">
        <v>50</v>
      </c>
      <c r="F1618">
        <v>50.239608765</v>
      </c>
      <c r="G1618">
        <v>1320.9213867000001</v>
      </c>
      <c r="H1618">
        <v>1315.6296387</v>
      </c>
      <c r="I1618">
        <v>1359.9307861</v>
      </c>
      <c r="J1618">
        <v>1350.1911620999999</v>
      </c>
      <c r="K1618">
        <v>0</v>
      </c>
      <c r="L1618">
        <v>1100</v>
      </c>
      <c r="M1618">
        <v>1100</v>
      </c>
      <c r="N1618">
        <v>0</v>
      </c>
    </row>
    <row r="1619" spans="1:14" x14ac:dyDescent="0.25">
      <c r="A1619">
        <v>1645.8256260000001</v>
      </c>
      <c r="B1619" s="1">
        <f>DATE(2014,11,1) + TIME(19,48,54)</f>
        <v>41944.825624999998</v>
      </c>
      <c r="C1619">
        <v>80</v>
      </c>
      <c r="D1619">
        <v>79.808692932</v>
      </c>
      <c r="E1619">
        <v>50</v>
      </c>
      <c r="F1619">
        <v>50.213954926</v>
      </c>
      <c r="G1619">
        <v>1320.9174805</v>
      </c>
      <c r="H1619">
        <v>1315.6254882999999</v>
      </c>
      <c r="I1619">
        <v>1359.864624</v>
      </c>
      <c r="J1619">
        <v>1350.1451416</v>
      </c>
      <c r="K1619">
        <v>0</v>
      </c>
      <c r="L1619">
        <v>1100</v>
      </c>
      <c r="M1619">
        <v>1100</v>
      </c>
      <c r="N1619">
        <v>0</v>
      </c>
    </row>
    <row r="1620" spans="1:14" x14ac:dyDescent="0.25">
      <c r="A1620">
        <v>1645.999638</v>
      </c>
      <c r="B1620" s="1">
        <f>DATE(2014,11,1) + TIME(23,59,28)</f>
        <v>41944.99962962963</v>
      </c>
      <c r="C1620">
        <v>80</v>
      </c>
      <c r="D1620">
        <v>79.786247252999999</v>
      </c>
      <c r="E1620">
        <v>50</v>
      </c>
      <c r="F1620">
        <v>50.189296722000002</v>
      </c>
      <c r="G1620">
        <v>1320.9135742000001</v>
      </c>
      <c r="H1620">
        <v>1315.6212158000001</v>
      </c>
      <c r="I1620">
        <v>1359.800293</v>
      </c>
      <c r="J1620">
        <v>1350.1004639</v>
      </c>
      <c r="K1620">
        <v>0</v>
      </c>
      <c r="L1620">
        <v>1100</v>
      </c>
      <c r="M1620">
        <v>1100</v>
      </c>
      <c r="N1620">
        <v>0</v>
      </c>
    </row>
    <row r="1621" spans="1:14" x14ac:dyDescent="0.25">
      <c r="A1621">
        <v>1646.185604</v>
      </c>
      <c r="B1621" s="1">
        <f>DATE(2014,11,2) + TIME(4,27,16)</f>
        <v>41945.185601851852</v>
      </c>
      <c r="C1621">
        <v>80</v>
      </c>
      <c r="D1621">
        <v>79.762817382999998</v>
      </c>
      <c r="E1621">
        <v>50</v>
      </c>
      <c r="F1621">
        <v>50.165622710999997</v>
      </c>
      <c r="G1621">
        <v>1320.9094238</v>
      </c>
      <c r="H1621">
        <v>1315.6166992000001</v>
      </c>
      <c r="I1621">
        <v>1359.7375488</v>
      </c>
      <c r="J1621">
        <v>1350.0570068</v>
      </c>
      <c r="K1621">
        <v>0</v>
      </c>
      <c r="L1621">
        <v>1100</v>
      </c>
      <c r="M1621">
        <v>1100</v>
      </c>
      <c r="N1621">
        <v>0</v>
      </c>
    </row>
    <row r="1622" spans="1:14" x14ac:dyDescent="0.25">
      <c r="A1622">
        <v>1646.385456</v>
      </c>
      <c r="B1622" s="1">
        <f>DATE(2014,11,2) + TIME(9,15,3)</f>
        <v>41945.385451388887</v>
      </c>
      <c r="C1622">
        <v>80</v>
      </c>
      <c r="D1622">
        <v>79.738243103000002</v>
      </c>
      <c r="E1622">
        <v>50</v>
      </c>
      <c r="F1622">
        <v>50.142932891999997</v>
      </c>
      <c r="G1622">
        <v>1320.9050293</v>
      </c>
      <c r="H1622">
        <v>1315.6118164</v>
      </c>
      <c r="I1622">
        <v>1359.6762695</v>
      </c>
      <c r="J1622">
        <v>1350.0146483999999</v>
      </c>
      <c r="K1622">
        <v>0</v>
      </c>
      <c r="L1622">
        <v>1100</v>
      </c>
      <c r="M1622">
        <v>1100</v>
      </c>
      <c r="N1622">
        <v>0</v>
      </c>
    </row>
    <row r="1623" spans="1:14" x14ac:dyDescent="0.25">
      <c r="A1623">
        <v>1646.6016010000001</v>
      </c>
      <c r="B1623" s="1">
        <f>DATE(2014,11,2) + TIME(14,26,18)</f>
        <v>41945.601597222223</v>
      </c>
      <c r="C1623">
        <v>80</v>
      </c>
      <c r="D1623">
        <v>79.712326050000001</v>
      </c>
      <c r="E1623">
        <v>50</v>
      </c>
      <c r="F1623">
        <v>50.121227263999998</v>
      </c>
      <c r="G1623">
        <v>1320.9003906</v>
      </c>
      <c r="H1623">
        <v>1315.6066894999999</v>
      </c>
      <c r="I1623">
        <v>1359.6165771000001</v>
      </c>
      <c r="J1623">
        <v>1349.9735106999999</v>
      </c>
      <c r="K1623">
        <v>0</v>
      </c>
      <c r="L1623">
        <v>1100</v>
      </c>
      <c r="M1623">
        <v>1100</v>
      </c>
      <c r="N1623">
        <v>0</v>
      </c>
    </row>
    <row r="1624" spans="1:14" x14ac:dyDescent="0.25">
      <c r="A1624">
        <v>1646.8370709999999</v>
      </c>
      <c r="B1624" s="1">
        <f>DATE(2014,11,2) + TIME(20,5,22)</f>
        <v>41945.837060185186</v>
      </c>
      <c r="C1624">
        <v>80</v>
      </c>
      <c r="D1624">
        <v>79.684814453000001</v>
      </c>
      <c r="E1624">
        <v>50</v>
      </c>
      <c r="F1624">
        <v>50.100517273000001</v>
      </c>
      <c r="G1624">
        <v>1320.8953856999999</v>
      </c>
      <c r="H1624">
        <v>1315.6010742000001</v>
      </c>
      <c r="I1624">
        <v>1359.5581055</v>
      </c>
      <c r="J1624">
        <v>1349.9333495999999</v>
      </c>
      <c r="K1624">
        <v>0</v>
      </c>
      <c r="L1624">
        <v>1100</v>
      </c>
      <c r="M1624">
        <v>1100</v>
      </c>
      <c r="N1624">
        <v>0</v>
      </c>
    </row>
    <row r="1625" spans="1:14" x14ac:dyDescent="0.25">
      <c r="A1625">
        <v>1647.0957980000001</v>
      </c>
      <c r="B1625" s="1">
        <f>DATE(2014,11,3) + TIME(2,17,56)</f>
        <v>41946.09578703704</v>
      </c>
      <c r="C1625">
        <v>80</v>
      </c>
      <c r="D1625">
        <v>79.655403136999993</v>
      </c>
      <c r="E1625">
        <v>50</v>
      </c>
      <c r="F1625">
        <v>50.080818176000001</v>
      </c>
      <c r="G1625">
        <v>1320.8898925999999</v>
      </c>
      <c r="H1625">
        <v>1315.5949707</v>
      </c>
      <c r="I1625">
        <v>1359.5010986</v>
      </c>
      <c r="J1625">
        <v>1349.8942870999999</v>
      </c>
      <c r="K1625">
        <v>0</v>
      </c>
      <c r="L1625">
        <v>1100</v>
      </c>
      <c r="M1625">
        <v>1100</v>
      </c>
      <c r="N1625">
        <v>0</v>
      </c>
    </row>
    <row r="1626" spans="1:14" x14ac:dyDescent="0.25">
      <c r="A1626">
        <v>1647.3830359999999</v>
      </c>
      <c r="B1626" s="1">
        <f>DATE(2014,11,3) + TIME(9,11,34)</f>
        <v>41946.383032407408</v>
      </c>
      <c r="C1626">
        <v>80</v>
      </c>
      <c r="D1626">
        <v>79.623680114999999</v>
      </c>
      <c r="E1626">
        <v>50</v>
      </c>
      <c r="F1626">
        <v>50.062152863000001</v>
      </c>
      <c r="G1626">
        <v>1320.8839111</v>
      </c>
      <c r="H1626">
        <v>1315.5882568</v>
      </c>
      <c r="I1626">
        <v>1359.4451904</v>
      </c>
      <c r="J1626">
        <v>1349.8560791</v>
      </c>
      <c r="K1626">
        <v>0</v>
      </c>
      <c r="L1626">
        <v>1100</v>
      </c>
      <c r="M1626">
        <v>1100</v>
      </c>
      <c r="N1626">
        <v>0</v>
      </c>
    </row>
    <row r="1627" spans="1:14" x14ac:dyDescent="0.25">
      <c r="A1627">
        <v>1647.7058790000001</v>
      </c>
      <c r="B1627" s="1">
        <f>DATE(2014,11,3) + TIME(16,56,27)</f>
        <v>41946.705868055556</v>
      </c>
      <c r="C1627">
        <v>80</v>
      </c>
      <c r="D1627">
        <v>79.589103699000006</v>
      </c>
      <c r="E1627">
        <v>50</v>
      </c>
      <c r="F1627">
        <v>50.044559479</v>
      </c>
      <c r="G1627">
        <v>1320.8774414</v>
      </c>
      <c r="H1627">
        <v>1315.5808105000001</v>
      </c>
      <c r="I1627">
        <v>1359.3905029</v>
      </c>
      <c r="J1627">
        <v>1349.8188477000001</v>
      </c>
      <c r="K1627">
        <v>0</v>
      </c>
      <c r="L1627">
        <v>1100</v>
      </c>
      <c r="M1627">
        <v>1100</v>
      </c>
      <c r="N1627">
        <v>0</v>
      </c>
    </row>
    <row r="1628" spans="1:14" x14ac:dyDescent="0.25">
      <c r="A1628">
        <v>1648.074269</v>
      </c>
      <c r="B1628" s="1">
        <f>DATE(2014,11,4) + TIME(1,46,56)</f>
        <v>41947.074259259258</v>
      </c>
      <c r="C1628">
        <v>80</v>
      </c>
      <c r="D1628">
        <v>79.550933838000006</v>
      </c>
      <c r="E1628">
        <v>50</v>
      </c>
      <c r="F1628">
        <v>50.028091431</v>
      </c>
      <c r="G1628">
        <v>1320.8701172000001</v>
      </c>
      <c r="H1628">
        <v>1315.5723877</v>
      </c>
      <c r="I1628">
        <v>1359.3369141000001</v>
      </c>
      <c r="J1628">
        <v>1349.7824707</v>
      </c>
      <c r="K1628">
        <v>0</v>
      </c>
      <c r="L1628">
        <v>1100</v>
      </c>
      <c r="M1628">
        <v>1100</v>
      </c>
      <c r="N1628">
        <v>0</v>
      </c>
    </row>
    <row r="1629" spans="1:14" x14ac:dyDescent="0.25">
      <c r="A1629">
        <v>1648.5026769999999</v>
      </c>
      <c r="B1629" s="1">
        <f>DATE(2014,11,4) + TIME(12,3,51)</f>
        <v>41947.50267361111</v>
      </c>
      <c r="C1629">
        <v>80</v>
      </c>
      <c r="D1629">
        <v>79.508155822999996</v>
      </c>
      <c r="E1629">
        <v>50</v>
      </c>
      <c r="F1629">
        <v>50.012821197999997</v>
      </c>
      <c r="G1629">
        <v>1320.8618164</v>
      </c>
      <c r="H1629">
        <v>1315.5627440999999</v>
      </c>
      <c r="I1629">
        <v>1359.2843018000001</v>
      </c>
      <c r="J1629">
        <v>1349.7469481999999</v>
      </c>
      <c r="K1629">
        <v>0</v>
      </c>
      <c r="L1629">
        <v>1100</v>
      </c>
      <c r="M1629">
        <v>1100</v>
      </c>
      <c r="N1629">
        <v>0</v>
      </c>
    </row>
    <row r="1630" spans="1:14" x14ac:dyDescent="0.25">
      <c r="A1630">
        <v>1649.013175</v>
      </c>
      <c r="B1630" s="1">
        <f>DATE(2014,11,5) + TIME(0,18,58)</f>
        <v>41948.013171296298</v>
      </c>
      <c r="C1630">
        <v>80</v>
      </c>
      <c r="D1630">
        <v>79.459266662999994</v>
      </c>
      <c r="E1630">
        <v>50</v>
      </c>
      <c r="F1630">
        <v>49.998847961000003</v>
      </c>
      <c r="G1630">
        <v>1320.8521728999999</v>
      </c>
      <c r="H1630">
        <v>1315.5516356999999</v>
      </c>
      <c r="I1630">
        <v>1359.2326660000001</v>
      </c>
      <c r="J1630">
        <v>1349.7122803</v>
      </c>
      <c r="K1630">
        <v>0</v>
      </c>
      <c r="L1630">
        <v>1100</v>
      </c>
      <c r="M1630">
        <v>1100</v>
      </c>
      <c r="N1630">
        <v>0</v>
      </c>
    </row>
    <row r="1631" spans="1:14" x14ac:dyDescent="0.25">
      <c r="A1631">
        <v>1649.5260499999999</v>
      </c>
      <c r="B1631" s="1">
        <f>DATE(2014,11,5) + TIME(12,37,30)</f>
        <v>41948.526041666664</v>
      </c>
      <c r="C1631">
        <v>80</v>
      </c>
      <c r="D1631">
        <v>79.410316467000001</v>
      </c>
      <c r="E1631">
        <v>50</v>
      </c>
      <c r="F1631">
        <v>49.988071441999999</v>
      </c>
      <c r="G1631">
        <v>1320.8406981999999</v>
      </c>
      <c r="H1631">
        <v>1315.5384521000001</v>
      </c>
      <c r="I1631">
        <v>1359.1885986</v>
      </c>
      <c r="J1631">
        <v>1349.6827393000001</v>
      </c>
      <c r="K1631">
        <v>0</v>
      </c>
      <c r="L1631">
        <v>1100</v>
      </c>
      <c r="M1631">
        <v>1100</v>
      </c>
      <c r="N1631">
        <v>0</v>
      </c>
    </row>
    <row r="1632" spans="1:14" x14ac:dyDescent="0.25">
      <c r="A1632">
        <v>1650.051651</v>
      </c>
      <c r="B1632" s="1">
        <f>DATE(2014,11,6) + TIME(1,14,22)</f>
        <v>41949.05164351852</v>
      </c>
      <c r="C1632">
        <v>80</v>
      </c>
      <c r="D1632">
        <v>79.360618591000005</v>
      </c>
      <c r="E1632">
        <v>50</v>
      </c>
      <c r="F1632">
        <v>49.979648589999996</v>
      </c>
      <c r="G1632">
        <v>1320.8291016000001</v>
      </c>
      <c r="H1632">
        <v>1315.5249022999999</v>
      </c>
      <c r="I1632">
        <v>1359.1503906</v>
      </c>
      <c r="J1632">
        <v>1349.6574707</v>
      </c>
      <c r="K1632">
        <v>0</v>
      </c>
      <c r="L1632">
        <v>1100</v>
      </c>
      <c r="M1632">
        <v>1100</v>
      </c>
      <c r="N1632">
        <v>0</v>
      </c>
    </row>
    <row r="1633" spans="1:14" x14ac:dyDescent="0.25">
      <c r="A1633">
        <v>1650.595834</v>
      </c>
      <c r="B1633" s="1">
        <f>DATE(2014,11,6) + TIME(14,18,0)</f>
        <v>41949.595833333333</v>
      </c>
      <c r="C1633">
        <v>80</v>
      </c>
      <c r="D1633">
        <v>79.309791564999998</v>
      </c>
      <c r="E1633">
        <v>50</v>
      </c>
      <c r="F1633">
        <v>49.973056792999998</v>
      </c>
      <c r="G1633">
        <v>1320.8171387</v>
      </c>
      <c r="H1633">
        <v>1315.5109863</v>
      </c>
      <c r="I1633">
        <v>1359.1168213000001</v>
      </c>
      <c r="J1633">
        <v>1349.635376</v>
      </c>
      <c r="K1633">
        <v>0</v>
      </c>
      <c r="L1633">
        <v>1100</v>
      </c>
      <c r="M1633">
        <v>1100</v>
      </c>
      <c r="N1633">
        <v>0</v>
      </c>
    </row>
    <row r="1634" spans="1:14" x14ac:dyDescent="0.25">
      <c r="A1634">
        <v>1651.165011</v>
      </c>
      <c r="B1634" s="1">
        <f>DATE(2014,11,7) + TIME(3,57,36)</f>
        <v>41950.165000000001</v>
      </c>
      <c r="C1634">
        <v>80</v>
      </c>
      <c r="D1634">
        <v>79.257392882999994</v>
      </c>
      <c r="E1634">
        <v>50</v>
      </c>
      <c r="F1634">
        <v>49.967906952</v>
      </c>
      <c r="G1634">
        <v>1320.8048096</v>
      </c>
      <c r="H1634">
        <v>1315.4964600000001</v>
      </c>
      <c r="I1634">
        <v>1359.0869141000001</v>
      </c>
      <c r="J1634">
        <v>1349.6157227000001</v>
      </c>
      <c r="K1634">
        <v>0</v>
      </c>
      <c r="L1634">
        <v>1100</v>
      </c>
      <c r="M1634">
        <v>1100</v>
      </c>
      <c r="N1634">
        <v>0</v>
      </c>
    </row>
    <row r="1635" spans="1:14" x14ac:dyDescent="0.25">
      <c r="A1635">
        <v>1651.7662319999999</v>
      </c>
      <c r="B1635" s="1">
        <f>DATE(2014,11,7) + TIME(18,23,22)</f>
        <v>41950.766226851854</v>
      </c>
      <c r="C1635">
        <v>80</v>
      </c>
      <c r="D1635">
        <v>79.202957153</v>
      </c>
      <c r="E1635">
        <v>50</v>
      </c>
      <c r="F1635">
        <v>49.963905334000003</v>
      </c>
      <c r="G1635">
        <v>1320.7917480000001</v>
      </c>
      <c r="H1635">
        <v>1315.480957</v>
      </c>
      <c r="I1635">
        <v>1359.0600586</v>
      </c>
      <c r="J1635">
        <v>1349.5980225000001</v>
      </c>
      <c r="K1635">
        <v>0</v>
      </c>
      <c r="L1635">
        <v>1100</v>
      </c>
      <c r="M1635">
        <v>1100</v>
      </c>
      <c r="N1635">
        <v>0</v>
      </c>
    </row>
    <row r="1636" spans="1:14" x14ac:dyDescent="0.25">
      <c r="A1636">
        <v>1652.407672</v>
      </c>
      <c r="B1636" s="1">
        <f>DATE(2014,11,8) + TIME(9,47,2)</f>
        <v>41951.40766203704</v>
      </c>
      <c r="C1636">
        <v>80</v>
      </c>
      <c r="D1636">
        <v>79.145950317</v>
      </c>
      <c r="E1636">
        <v>50</v>
      </c>
      <c r="F1636">
        <v>49.960826873999999</v>
      </c>
      <c r="G1636">
        <v>1320.7779541</v>
      </c>
      <c r="H1636">
        <v>1315.4644774999999</v>
      </c>
      <c r="I1636">
        <v>1359.0354004000001</v>
      </c>
      <c r="J1636">
        <v>1349.5820312000001</v>
      </c>
      <c r="K1636">
        <v>0</v>
      </c>
      <c r="L1636">
        <v>1100</v>
      </c>
      <c r="M1636">
        <v>1100</v>
      </c>
      <c r="N1636">
        <v>0</v>
      </c>
    </row>
    <row r="1637" spans="1:14" x14ac:dyDescent="0.25">
      <c r="A1637">
        <v>1653.0989179999999</v>
      </c>
      <c r="B1637" s="1">
        <f>DATE(2014,11,9) + TIME(2,22,26)</f>
        <v>41952.098912037036</v>
      </c>
      <c r="C1637">
        <v>80</v>
      </c>
      <c r="D1637">
        <v>79.085762024000005</v>
      </c>
      <c r="E1637">
        <v>50</v>
      </c>
      <c r="F1637">
        <v>49.958496093999997</v>
      </c>
      <c r="G1637">
        <v>1320.7630615</v>
      </c>
      <c r="H1637">
        <v>1315.4465332</v>
      </c>
      <c r="I1637">
        <v>1359.0125731999999</v>
      </c>
      <c r="J1637">
        <v>1349.5672606999999</v>
      </c>
      <c r="K1637">
        <v>0</v>
      </c>
      <c r="L1637">
        <v>1100</v>
      </c>
      <c r="M1637">
        <v>1100</v>
      </c>
      <c r="N1637">
        <v>0</v>
      </c>
    </row>
    <row r="1638" spans="1:14" x14ac:dyDescent="0.25">
      <c r="A1638">
        <v>1653.8337369999999</v>
      </c>
      <c r="B1638" s="1">
        <f>DATE(2014,11,9) + TIME(20,0,34)</f>
        <v>41952.833726851852</v>
      </c>
      <c r="C1638">
        <v>80</v>
      </c>
      <c r="D1638">
        <v>79.022781371999997</v>
      </c>
      <c r="E1638">
        <v>50</v>
      </c>
      <c r="F1638">
        <v>49.956794739000003</v>
      </c>
      <c r="G1638">
        <v>1320.7468262</v>
      </c>
      <c r="H1638">
        <v>1315.427124</v>
      </c>
      <c r="I1638">
        <v>1358.9912108999999</v>
      </c>
      <c r="J1638">
        <v>1349.5535889</v>
      </c>
      <c r="K1638">
        <v>0</v>
      </c>
      <c r="L1638">
        <v>1100</v>
      </c>
      <c r="M1638">
        <v>1100</v>
      </c>
      <c r="N1638">
        <v>0</v>
      </c>
    </row>
    <row r="1639" spans="1:14" x14ac:dyDescent="0.25">
      <c r="A1639">
        <v>1654.6228430000001</v>
      </c>
      <c r="B1639" s="1">
        <f>DATE(2014,11,10) + TIME(14,56,53)</f>
        <v>41953.622835648152</v>
      </c>
      <c r="C1639">
        <v>80</v>
      </c>
      <c r="D1639">
        <v>78.956382751000007</v>
      </c>
      <c r="E1639">
        <v>50</v>
      </c>
      <c r="F1639">
        <v>49.955581664999997</v>
      </c>
      <c r="G1639">
        <v>1320.7294922000001</v>
      </c>
      <c r="H1639">
        <v>1315.4061279</v>
      </c>
      <c r="I1639">
        <v>1358.9713135</v>
      </c>
      <c r="J1639">
        <v>1349.5407714999999</v>
      </c>
      <c r="K1639">
        <v>0</v>
      </c>
      <c r="L1639">
        <v>1100</v>
      </c>
      <c r="M1639">
        <v>1100</v>
      </c>
      <c r="N1639">
        <v>0</v>
      </c>
    </row>
    <row r="1640" spans="1:14" x14ac:dyDescent="0.25">
      <c r="A1640">
        <v>1655.47783</v>
      </c>
      <c r="B1640" s="1">
        <f>DATE(2014,11,11) + TIME(11,28,4)</f>
        <v>41954.477824074071</v>
      </c>
      <c r="C1640">
        <v>80</v>
      </c>
      <c r="D1640">
        <v>78.885902404999996</v>
      </c>
      <c r="E1640">
        <v>50</v>
      </c>
      <c r="F1640">
        <v>49.954742432000003</v>
      </c>
      <c r="G1640">
        <v>1320.7106934000001</v>
      </c>
      <c r="H1640">
        <v>1315.3831786999999</v>
      </c>
      <c r="I1640">
        <v>1358.9525146000001</v>
      </c>
      <c r="J1640">
        <v>1349.5286865</v>
      </c>
      <c r="K1640">
        <v>0</v>
      </c>
      <c r="L1640">
        <v>1100</v>
      </c>
      <c r="M1640">
        <v>1100</v>
      </c>
      <c r="N1640">
        <v>0</v>
      </c>
    </row>
    <row r="1641" spans="1:14" x14ac:dyDescent="0.25">
      <c r="A1641">
        <v>1656.413982</v>
      </c>
      <c r="B1641" s="1">
        <f>DATE(2014,11,12) + TIME(9,56,8)</f>
        <v>41955.413981481484</v>
      </c>
      <c r="C1641">
        <v>80</v>
      </c>
      <c r="D1641">
        <v>78.810485839999998</v>
      </c>
      <c r="E1641">
        <v>50</v>
      </c>
      <c r="F1641">
        <v>49.954196930000002</v>
      </c>
      <c r="G1641">
        <v>1320.6900635</v>
      </c>
      <c r="H1641">
        <v>1315.3579102000001</v>
      </c>
      <c r="I1641">
        <v>1358.9343262</v>
      </c>
      <c r="J1641">
        <v>1349.5170897999999</v>
      </c>
      <c r="K1641">
        <v>0</v>
      </c>
      <c r="L1641">
        <v>1100</v>
      </c>
      <c r="M1641">
        <v>1100</v>
      </c>
      <c r="N1641">
        <v>0</v>
      </c>
    </row>
    <row r="1642" spans="1:14" x14ac:dyDescent="0.25">
      <c r="A1642">
        <v>1657.4372410000001</v>
      </c>
      <c r="B1642" s="1">
        <f>DATE(2014,11,13) + TIME(10,29,37)</f>
        <v>41956.4372337963</v>
      </c>
      <c r="C1642">
        <v>80</v>
      </c>
      <c r="D1642">
        <v>78.729774474999999</v>
      </c>
      <c r="E1642">
        <v>50</v>
      </c>
      <c r="F1642">
        <v>49.953868866000001</v>
      </c>
      <c r="G1642">
        <v>1320.6671143000001</v>
      </c>
      <c r="H1642">
        <v>1315.3297118999999</v>
      </c>
      <c r="I1642">
        <v>1358.9165039</v>
      </c>
      <c r="J1642">
        <v>1349.5058594</v>
      </c>
      <c r="K1642">
        <v>0</v>
      </c>
      <c r="L1642">
        <v>1100</v>
      </c>
      <c r="M1642">
        <v>1100</v>
      </c>
      <c r="N1642">
        <v>0</v>
      </c>
    </row>
    <row r="1643" spans="1:14" x14ac:dyDescent="0.25">
      <c r="A1643">
        <v>1658.4775</v>
      </c>
      <c r="B1643" s="1">
        <f>DATE(2014,11,14) + TIME(11,27,36)</f>
        <v>41957.477500000001</v>
      </c>
      <c r="C1643">
        <v>80</v>
      </c>
      <c r="D1643">
        <v>78.647254943999997</v>
      </c>
      <c r="E1643">
        <v>50</v>
      </c>
      <c r="F1643">
        <v>49.953704834</v>
      </c>
      <c r="G1643">
        <v>1320.6417236</v>
      </c>
      <c r="H1643">
        <v>1315.2985839999999</v>
      </c>
      <c r="I1643">
        <v>1358.8990478999999</v>
      </c>
      <c r="J1643">
        <v>1349.494751</v>
      </c>
      <c r="K1643">
        <v>0</v>
      </c>
      <c r="L1643">
        <v>1100</v>
      </c>
      <c r="M1643">
        <v>1100</v>
      </c>
      <c r="N1643">
        <v>0</v>
      </c>
    </row>
    <row r="1644" spans="1:14" x14ac:dyDescent="0.25">
      <c r="A1644">
        <v>1659.5378619999999</v>
      </c>
      <c r="B1644" s="1">
        <f>DATE(2014,11,15) + TIME(12,54,31)</f>
        <v>41958.537858796299</v>
      </c>
      <c r="C1644">
        <v>80</v>
      </c>
      <c r="D1644">
        <v>78.563377380000006</v>
      </c>
      <c r="E1644">
        <v>50</v>
      </c>
      <c r="F1644">
        <v>49.953639983999999</v>
      </c>
      <c r="G1644">
        <v>1320.6153564000001</v>
      </c>
      <c r="H1644">
        <v>1315.2661132999999</v>
      </c>
      <c r="I1644">
        <v>1358.8830565999999</v>
      </c>
      <c r="J1644">
        <v>1349.4846190999999</v>
      </c>
      <c r="K1644">
        <v>0</v>
      </c>
      <c r="L1644">
        <v>1100</v>
      </c>
      <c r="M1644">
        <v>1100</v>
      </c>
      <c r="N1644">
        <v>0</v>
      </c>
    </row>
    <row r="1645" spans="1:14" x14ac:dyDescent="0.25">
      <c r="A1645">
        <v>1660.620678</v>
      </c>
      <c r="B1645" s="1">
        <f>DATE(2014,11,16) + TIME(14,53,46)</f>
        <v>41959.620671296296</v>
      </c>
      <c r="C1645">
        <v>80</v>
      </c>
      <c r="D1645">
        <v>78.478401184000006</v>
      </c>
      <c r="E1645">
        <v>50</v>
      </c>
      <c r="F1645">
        <v>49.953636168999999</v>
      </c>
      <c r="G1645">
        <v>1320.5881348</v>
      </c>
      <c r="H1645">
        <v>1315.2321777</v>
      </c>
      <c r="I1645">
        <v>1358.8680420000001</v>
      </c>
      <c r="J1645">
        <v>1349.4752197</v>
      </c>
      <c r="K1645">
        <v>0</v>
      </c>
      <c r="L1645">
        <v>1100</v>
      </c>
      <c r="M1645">
        <v>1100</v>
      </c>
      <c r="N1645">
        <v>0</v>
      </c>
    </row>
    <row r="1646" spans="1:14" x14ac:dyDescent="0.25">
      <c r="A1646">
        <v>1661.7281190000001</v>
      </c>
      <c r="B1646" s="1">
        <f>DATE(2014,11,17) + TIME(17,28,29)</f>
        <v>41960.728113425925</v>
      </c>
      <c r="C1646">
        <v>80</v>
      </c>
      <c r="D1646">
        <v>78.392463684000006</v>
      </c>
      <c r="E1646">
        <v>50</v>
      </c>
      <c r="F1646">
        <v>49.953666687000002</v>
      </c>
      <c r="G1646">
        <v>1320.5598144999999</v>
      </c>
      <c r="H1646">
        <v>1315.1967772999999</v>
      </c>
      <c r="I1646">
        <v>1358.854126</v>
      </c>
      <c r="J1646">
        <v>1349.4663086</v>
      </c>
      <c r="K1646">
        <v>0</v>
      </c>
      <c r="L1646">
        <v>1100</v>
      </c>
      <c r="M1646">
        <v>1100</v>
      </c>
      <c r="N1646">
        <v>0</v>
      </c>
    </row>
    <row r="1647" spans="1:14" x14ac:dyDescent="0.25">
      <c r="A1647">
        <v>1662.8622</v>
      </c>
      <c r="B1647" s="1">
        <f>DATE(2014,11,18) + TIME(20,41,34)</f>
        <v>41961.862199074072</v>
      </c>
      <c r="C1647">
        <v>80</v>
      </c>
      <c r="D1647">
        <v>78.305595397999994</v>
      </c>
      <c r="E1647">
        <v>50</v>
      </c>
      <c r="F1647">
        <v>49.953716278000002</v>
      </c>
      <c r="G1647">
        <v>1320.5303954999999</v>
      </c>
      <c r="H1647">
        <v>1315.159668</v>
      </c>
      <c r="I1647">
        <v>1358.8408202999999</v>
      </c>
      <c r="J1647">
        <v>1349.4578856999999</v>
      </c>
      <c r="K1647">
        <v>0</v>
      </c>
      <c r="L1647">
        <v>1100</v>
      </c>
      <c r="M1647">
        <v>1100</v>
      </c>
      <c r="N1647">
        <v>0</v>
      </c>
    </row>
    <row r="1648" spans="1:14" x14ac:dyDescent="0.25">
      <c r="A1648">
        <v>1664.0259410000001</v>
      </c>
      <c r="B1648" s="1">
        <f>DATE(2014,11,20) + TIME(0,37,21)</f>
        <v>41963.025937500002</v>
      </c>
      <c r="C1648">
        <v>80</v>
      </c>
      <c r="D1648">
        <v>78.217765807999996</v>
      </c>
      <c r="E1648">
        <v>50</v>
      </c>
      <c r="F1648">
        <v>49.953777313000003</v>
      </c>
      <c r="G1648">
        <v>1320.4997559000001</v>
      </c>
      <c r="H1648">
        <v>1315.1209716999999</v>
      </c>
      <c r="I1648">
        <v>1358.8283690999999</v>
      </c>
      <c r="J1648">
        <v>1349.4500731999999</v>
      </c>
      <c r="K1648">
        <v>0</v>
      </c>
      <c r="L1648">
        <v>1100</v>
      </c>
      <c r="M1648">
        <v>1100</v>
      </c>
      <c r="N1648">
        <v>0</v>
      </c>
    </row>
    <row r="1649" spans="1:14" x14ac:dyDescent="0.25">
      <c r="A1649">
        <v>1665.221949</v>
      </c>
      <c r="B1649" s="1">
        <f>DATE(2014,11,21) + TIME(5,19,36)</f>
        <v>41964.221944444442</v>
      </c>
      <c r="C1649">
        <v>80</v>
      </c>
      <c r="D1649">
        <v>78.128883361999996</v>
      </c>
      <c r="E1649">
        <v>50</v>
      </c>
      <c r="F1649">
        <v>49.953838347999998</v>
      </c>
      <c r="G1649">
        <v>1320.4677733999999</v>
      </c>
      <c r="H1649">
        <v>1315.0804443</v>
      </c>
      <c r="I1649">
        <v>1358.8164062000001</v>
      </c>
      <c r="J1649">
        <v>1349.4425048999999</v>
      </c>
      <c r="K1649">
        <v>0</v>
      </c>
      <c r="L1649">
        <v>1100</v>
      </c>
      <c r="M1649">
        <v>1100</v>
      </c>
      <c r="N1649">
        <v>0</v>
      </c>
    </row>
    <row r="1650" spans="1:14" x14ac:dyDescent="0.25">
      <c r="A1650">
        <v>1666.452961</v>
      </c>
      <c r="B1650" s="1">
        <f>DATE(2014,11,22) + TIME(10,52,15)</f>
        <v>41965.452951388892</v>
      </c>
      <c r="C1650">
        <v>80</v>
      </c>
      <c r="D1650">
        <v>78.038856506000002</v>
      </c>
      <c r="E1650">
        <v>50</v>
      </c>
      <c r="F1650">
        <v>49.953895568999997</v>
      </c>
      <c r="G1650">
        <v>1320.4344481999999</v>
      </c>
      <c r="H1650">
        <v>1315.0378418</v>
      </c>
      <c r="I1650">
        <v>1358.8049315999999</v>
      </c>
      <c r="J1650">
        <v>1349.4353027</v>
      </c>
      <c r="K1650">
        <v>0</v>
      </c>
      <c r="L1650">
        <v>1100</v>
      </c>
      <c r="M1650">
        <v>1100</v>
      </c>
      <c r="N1650">
        <v>0</v>
      </c>
    </row>
    <row r="1651" spans="1:14" x14ac:dyDescent="0.25">
      <c r="A1651">
        <v>1667.721871</v>
      </c>
      <c r="B1651" s="1">
        <f>DATE(2014,11,23) + TIME(17,19,29)</f>
        <v>41966.721863425926</v>
      </c>
      <c r="C1651">
        <v>80</v>
      </c>
      <c r="D1651">
        <v>77.947547912999994</v>
      </c>
      <c r="E1651">
        <v>50</v>
      </c>
      <c r="F1651">
        <v>49.953952788999999</v>
      </c>
      <c r="G1651">
        <v>1320.3995361</v>
      </c>
      <c r="H1651">
        <v>1314.9931641000001</v>
      </c>
      <c r="I1651">
        <v>1358.7939452999999</v>
      </c>
      <c r="J1651">
        <v>1349.4284668</v>
      </c>
      <c r="K1651">
        <v>0</v>
      </c>
      <c r="L1651">
        <v>1100</v>
      </c>
      <c r="M1651">
        <v>1100</v>
      </c>
      <c r="N1651">
        <v>0</v>
      </c>
    </row>
    <row r="1652" spans="1:14" x14ac:dyDescent="0.25">
      <c r="A1652">
        <v>1669.031765</v>
      </c>
      <c r="B1652" s="1">
        <f>DATE(2014,11,25) + TIME(0,45,44)</f>
        <v>41968.031759259262</v>
      </c>
      <c r="C1652">
        <v>80</v>
      </c>
      <c r="D1652">
        <v>77.854827881000006</v>
      </c>
      <c r="E1652">
        <v>50</v>
      </c>
      <c r="F1652">
        <v>49.954006194999998</v>
      </c>
      <c r="G1652">
        <v>1320.3630370999999</v>
      </c>
      <c r="H1652">
        <v>1314.9462891000001</v>
      </c>
      <c r="I1652">
        <v>1358.7834473</v>
      </c>
      <c r="J1652">
        <v>1349.4217529</v>
      </c>
      <c r="K1652">
        <v>0</v>
      </c>
      <c r="L1652">
        <v>1100</v>
      </c>
      <c r="M1652">
        <v>1100</v>
      </c>
      <c r="N1652">
        <v>0</v>
      </c>
    </row>
    <row r="1653" spans="1:14" x14ac:dyDescent="0.25">
      <c r="A1653">
        <v>1670.384597</v>
      </c>
      <c r="B1653" s="1">
        <f>DATE(2014,11,26) + TIME(9,13,49)</f>
        <v>41969.384594907409</v>
      </c>
      <c r="C1653">
        <v>80</v>
      </c>
      <c r="D1653">
        <v>77.760612488000007</v>
      </c>
      <c r="E1653">
        <v>50</v>
      </c>
      <c r="F1653">
        <v>49.954055785999998</v>
      </c>
      <c r="G1653">
        <v>1320.324707</v>
      </c>
      <c r="H1653">
        <v>1314.8968506000001</v>
      </c>
      <c r="I1653">
        <v>1358.7733154</v>
      </c>
      <c r="J1653">
        <v>1349.4154053</v>
      </c>
      <c r="K1653">
        <v>0</v>
      </c>
      <c r="L1653">
        <v>1100</v>
      </c>
      <c r="M1653">
        <v>1100</v>
      </c>
      <c r="N1653">
        <v>0</v>
      </c>
    </row>
    <row r="1654" spans="1:14" x14ac:dyDescent="0.25">
      <c r="A1654">
        <v>1671.7618560000001</v>
      </c>
      <c r="B1654" s="1">
        <f>DATE(2014,11,27) + TIME(18,17,4)</f>
        <v>41970.76185185185</v>
      </c>
      <c r="C1654">
        <v>80</v>
      </c>
      <c r="D1654">
        <v>77.665626525999997</v>
      </c>
      <c r="E1654">
        <v>50</v>
      </c>
      <c r="F1654">
        <v>49.954101561999998</v>
      </c>
      <c r="G1654">
        <v>1320.284668</v>
      </c>
      <c r="H1654">
        <v>1314.8449707</v>
      </c>
      <c r="I1654">
        <v>1358.7634277</v>
      </c>
      <c r="J1654">
        <v>1349.4093018000001</v>
      </c>
      <c r="K1654">
        <v>0</v>
      </c>
      <c r="L1654">
        <v>1100</v>
      </c>
      <c r="M1654">
        <v>1100</v>
      </c>
      <c r="N1654">
        <v>0</v>
      </c>
    </row>
    <row r="1655" spans="1:14" x14ac:dyDescent="0.25">
      <c r="A1655">
        <v>1673.1663779999999</v>
      </c>
      <c r="B1655" s="1">
        <f>DATE(2014,11,29) + TIME(3,59,35)</f>
        <v>41972.166377314818</v>
      </c>
      <c r="C1655">
        <v>80</v>
      </c>
      <c r="D1655">
        <v>77.569969177000004</v>
      </c>
      <c r="E1655">
        <v>50</v>
      </c>
      <c r="F1655">
        <v>49.954143524000003</v>
      </c>
      <c r="G1655">
        <v>1320.2430420000001</v>
      </c>
      <c r="H1655">
        <v>1314.7908935999999</v>
      </c>
      <c r="I1655">
        <v>1358.7540283000001</v>
      </c>
      <c r="J1655">
        <v>1349.4034423999999</v>
      </c>
      <c r="K1655">
        <v>0</v>
      </c>
      <c r="L1655">
        <v>1100</v>
      </c>
      <c r="M1655">
        <v>1100</v>
      </c>
      <c r="N1655">
        <v>0</v>
      </c>
    </row>
    <row r="1656" spans="1:14" x14ac:dyDescent="0.25">
      <c r="A1656">
        <v>1674.601611</v>
      </c>
      <c r="B1656" s="1">
        <f>DATE(2014,11,30) + TIME(14,26,19)</f>
        <v>41973.6016087963</v>
      </c>
      <c r="C1656">
        <v>80</v>
      </c>
      <c r="D1656">
        <v>77.473602295000006</v>
      </c>
      <c r="E1656">
        <v>50</v>
      </c>
      <c r="F1656">
        <v>49.954181671000001</v>
      </c>
      <c r="G1656">
        <v>1320.1999512</v>
      </c>
      <c r="H1656">
        <v>1314.7347411999999</v>
      </c>
      <c r="I1656">
        <v>1358.7451172000001</v>
      </c>
      <c r="J1656">
        <v>1349.3978271000001</v>
      </c>
      <c r="K1656">
        <v>0</v>
      </c>
      <c r="L1656">
        <v>1100</v>
      </c>
      <c r="M1656">
        <v>1100</v>
      </c>
      <c r="N1656">
        <v>0</v>
      </c>
    </row>
    <row r="1657" spans="1:14" x14ac:dyDescent="0.25">
      <c r="A1657">
        <v>1675</v>
      </c>
      <c r="B1657" s="1">
        <f>DATE(2014,12,1) + TIME(0,0,0)</f>
        <v>41974</v>
      </c>
      <c r="C1657">
        <v>80</v>
      </c>
      <c r="D1657">
        <v>77.435157775999997</v>
      </c>
      <c r="E1657">
        <v>50</v>
      </c>
      <c r="F1657">
        <v>49.954189301</v>
      </c>
      <c r="G1657">
        <v>1320.1577147999999</v>
      </c>
      <c r="H1657">
        <v>1314.6835937999999</v>
      </c>
      <c r="I1657">
        <v>1358.7358397999999</v>
      </c>
      <c r="J1657">
        <v>1349.3918457</v>
      </c>
      <c r="K1657">
        <v>0</v>
      </c>
      <c r="L1657">
        <v>1100</v>
      </c>
      <c r="M1657">
        <v>1100</v>
      </c>
      <c r="N1657">
        <v>0</v>
      </c>
    </row>
    <row r="1658" spans="1:14" x14ac:dyDescent="0.25">
      <c r="A1658">
        <v>1676.4600499999999</v>
      </c>
      <c r="B1658" s="1">
        <f>DATE(2014,12,2) + TIME(11,2,28)</f>
        <v>41975.460046296299</v>
      </c>
      <c r="C1658">
        <v>80</v>
      </c>
      <c r="D1658">
        <v>77.343627929999997</v>
      </c>
      <c r="E1658">
        <v>50</v>
      </c>
      <c r="F1658">
        <v>49.954227447999997</v>
      </c>
      <c r="G1658">
        <v>1320.1414795000001</v>
      </c>
      <c r="H1658">
        <v>1314.6575928</v>
      </c>
      <c r="I1658">
        <v>1358.7342529</v>
      </c>
      <c r="J1658">
        <v>1349.3909911999999</v>
      </c>
      <c r="K1658">
        <v>0</v>
      </c>
      <c r="L1658">
        <v>1100</v>
      </c>
      <c r="M1658">
        <v>1100</v>
      </c>
      <c r="N1658">
        <v>0</v>
      </c>
    </row>
    <row r="1659" spans="1:14" x14ac:dyDescent="0.25">
      <c r="A1659">
        <v>1677.954925</v>
      </c>
      <c r="B1659" s="1">
        <f>DATE(2014,12,3) + TIME(22,55,5)</f>
        <v>41976.954918981479</v>
      </c>
      <c r="C1659">
        <v>80</v>
      </c>
      <c r="D1659">
        <v>77.249259949000006</v>
      </c>
      <c r="E1659">
        <v>50</v>
      </c>
      <c r="F1659">
        <v>49.954261780000003</v>
      </c>
      <c r="G1659">
        <v>1320.0957031</v>
      </c>
      <c r="H1659">
        <v>1314.5977783000001</v>
      </c>
      <c r="I1659">
        <v>1358.7260742000001</v>
      </c>
      <c r="J1659">
        <v>1349.3859863</v>
      </c>
      <c r="K1659">
        <v>0</v>
      </c>
      <c r="L1659">
        <v>1100</v>
      </c>
      <c r="M1659">
        <v>1100</v>
      </c>
      <c r="N1659">
        <v>0</v>
      </c>
    </row>
    <row r="1660" spans="1:14" x14ac:dyDescent="0.25">
      <c r="A1660">
        <v>1679.4795360000001</v>
      </c>
      <c r="B1660" s="1">
        <f>DATE(2014,12,5) + TIME(11,30,31)</f>
        <v>41978.479525462964</v>
      </c>
      <c r="C1660">
        <v>80</v>
      </c>
      <c r="D1660">
        <v>77.153053283999995</v>
      </c>
      <c r="E1660">
        <v>50</v>
      </c>
      <c r="F1660">
        <v>49.954296112000002</v>
      </c>
      <c r="G1660">
        <v>1320.0478516000001</v>
      </c>
      <c r="H1660">
        <v>1314.5349120999999</v>
      </c>
      <c r="I1660">
        <v>1358.7182617000001</v>
      </c>
      <c r="J1660">
        <v>1349.3811035000001</v>
      </c>
      <c r="K1660">
        <v>0</v>
      </c>
      <c r="L1660">
        <v>1100</v>
      </c>
      <c r="M1660">
        <v>1100</v>
      </c>
      <c r="N1660">
        <v>0</v>
      </c>
    </row>
    <row r="1661" spans="1:14" x14ac:dyDescent="0.25">
      <c r="A1661">
        <v>1681.0382400000001</v>
      </c>
      <c r="B1661" s="1">
        <f>DATE(2014,12,7) + TIME(0,55,3)</f>
        <v>41980.038229166668</v>
      </c>
      <c r="C1661">
        <v>80</v>
      </c>
      <c r="D1661">
        <v>77.055389403999996</v>
      </c>
      <c r="E1661">
        <v>50</v>
      </c>
      <c r="F1661">
        <v>49.954326629999997</v>
      </c>
      <c r="G1661">
        <v>1319.9982910000001</v>
      </c>
      <c r="H1661">
        <v>1314.4694824000001</v>
      </c>
      <c r="I1661">
        <v>1358.7106934000001</v>
      </c>
      <c r="J1661">
        <v>1349.3764647999999</v>
      </c>
      <c r="K1661">
        <v>0</v>
      </c>
      <c r="L1661">
        <v>1100</v>
      </c>
      <c r="M1661">
        <v>1100</v>
      </c>
      <c r="N1661">
        <v>0</v>
      </c>
    </row>
    <row r="1662" spans="1:14" x14ac:dyDescent="0.25">
      <c r="A1662">
        <v>1682.634783</v>
      </c>
      <c r="B1662" s="1">
        <f>DATE(2014,12,8) + TIME(15,14,5)</f>
        <v>41981.634780092594</v>
      </c>
      <c r="C1662">
        <v>80</v>
      </c>
      <c r="D1662">
        <v>76.956436156999999</v>
      </c>
      <c r="E1662">
        <v>50</v>
      </c>
      <c r="F1662">
        <v>49.954357147000003</v>
      </c>
      <c r="G1662">
        <v>1319.9466553</v>
      </c>
      <c r="H1662">
        <v>1314.4012451000001</v>
      </c>
      <c r="I1662">
        <v>1358.7034911999999</v>
      </c>
      <c r="J1662">
        <v>1349.3719481999999</v>
      </c>
      <c r="K1662">
        <v>0</v>
      </c>
      <c r="L1662">
        <v>1100</v>
      </c>
      <c r="M1662">
        <v>1100</v>
      </c>
      <c r="N1662">
        <v>0</v>
      </c>
    </row>
    <row r="1663" spans="1:14" x14ac:dyDescent="0.25">
      <c r="A1663">
        <v>1684.273001</v>
      </c>
      <c r="B1663" s="1">
        <f>DATE(2014,12,10) + TIME(6,33,7)</f>
        <v>41983.272997685184</v>
      </c>
      <c r="C1663">
        <v>80</v>
      </c>
      <c r="D1663">
        <v>76.856170653999996</v>
      </c>
      <c r="E1663">
        <v>50</v>
      </c>
      <c r="F1663">
        <v>49.954387664999999</v>
      </c>
      <c r="G1663">
        <v>1319.8931885</v>
      </c>
      <c r="H1663">
        <v>1314.3300781</v>
      </c>
      <c r="I1663">
        <v>1358.6964111</v>
      </c>
      <c r="J1663">
        <v>1349.3676757999999</v>
      </c>
      <c r="K1663">
        <v>0</v>
      </c>
      <c r="L1663">
        <v>1100</v>
      </c>
      <c r="M1663">
        <v>1100</v>
      </c>
      <c r="N1663">
        <v>0</v>
      </c>
    </row>
    <row r="1664" spans="1:14" x14ac:dyDescent="0.25">
      <c r="A1664">
        <v>1685.9568690000001</v>
      </c>
      <c r="B1664" s="1">
        <f>DATE(2014,12,11) + TIME(22,57,53)</f>
        <v>41984.956863425927</v>
      </c>
      <c r="C1664">
        <v>80</v>
      </c>
      <c r="D1664">
        <v>76.754501343000001</v>
      </c>
      <c r="E1664">
        <v>50</v>
      </c>
      <c r="F1664">
        <v>49.954421996999997</v>
      </c>
      <c r="G1664">
        <v>1319.8374022999999</v>
      </c>
      <c r="H1664">
        <v>1314.2558594</v>
      </c>
      <c r="I1664">
        <v>1358.6895752</v>
      </c>
      <c r="J1664">
        <v>1349.3635254000001</v>
      </c>
      <c r="K1664">
        <v>0</v>
      </c>
      <c r="L1664">
        <v>1100</v>
      </c>
      <c r="M1664">
        <v>1100</v>
      </c>
      <c r="N1664">
        <v>0</v>
      </c>
    </row>
    <row r="1665" spans="1:14" x14ac:dyDescent="0.25">
      <c r="A1665">
        <v>1687.690562</v>
      </c>
      <c r="B1665" s="1">
        <f>DATE(2014,12,13) + TIME(16,34,24)</f>
        <v>41986.690555555557</v>
      </c>
      <c r="C1665">
        <v>80</v>
      </c>
      <c r="D1665">
        <v>76.651283264</v>
      </c>
      <c r="E1665">
        <v>50</v>
      </c>
      <c r="F1665">
        <v>49.954452515</v>
      </c>
      <c r="G1665">
        <v>1319.7794189000001</v>
      </c>
      <c r="H1665">
        <v>1314.1784668</v>
      </c>
      <c r="I1665">
        <v>1358.6829834</v>
      </c>
      <c r="J1665">
        <v>1349.359375</v>
      </c>
      <c r="K1665">
        <v>0</v>
      </c>
      <c r="L1665">
        <v>1100</v>
      </c>
      <c r="M1665">
        <v>1100</v>
      </c>
      <c r="N1665">
        <v>0</v>
      </c>
    </row>
    <row r="1666" spans="1:14" x14ac:dyDescent="0.25">
      <c r="A1666">
        <v>1689.4785830000001</v>
      </c>
      <c r="B1666" s="1">
        <f>DATE(2014,12,15) + TIME(11,29,9)</f>
        <v>41988.478576388887</v>
      </c>
      <c r="C1666">
        <v>80</v>
      </c>
      <c r="D1666">
        <v>76.546318053999997</v>
      </c>
      <c r="E1666">
        <v>50</v>
      </c>
      <c r="F1666">
        <v>49.954486846999998</v>
      </c>
      <c r="G1666">
        <v>1319.7188721</v>
      </c>
      <c r="H1666">
        <v>1314.0974120999999</v>
      </c>
      <c r="I1666">
        <v>1358.6765137</v>
      </c>
      <c r="J1666">
        <v>1349.3554687999999</v>
      </c>
      <c r="K1666">
        <v>0</v>
      </c>
      <c r="L1666">
        <v>1100</v>
      </c>
      <c r="M1666">
        <v>1100</v>
      </c>
      <c r="N1666">
        <v>0</v>
      </c>
    </row>
    <row r="1667" spans="1:14" x14ac:dyDescent="0.25">
      <c r="A1667">
        <v>1691.325642</v>
      </c>
      <c r="B1667" s="1">
        <f>DATE(2014,12,17) + TIME(7,48,55)</f>
        <v>41990.325636574074</v>
      </c>
      <c r="C1667">
        <v>80</v>
      </c>
      <c r="D1667">
        <v>76.439399718999994</v>
      </c>
      <c r="E1667">
        <v>50</v>
      </c>
      <c r="F1667">
        <v>49.954521178999997</v>
      </c>
      <c r="G1667">
        <v>1319.6556396000001</v>
      </c>
      <c r="H1667">
        <v>1314.0125731999999</v>
      </c>
      <c r="I1667">
        <v>1358.6701660000001</v>
      </c>
      <c r="J1667">
        <v>1349.3516846</v>
      </c>
      <c r="K1667">
        <v>0</v>
      </c>
      <c r="L1667">
        <v>1100</v>
      </c>
      <c r="M1667">
        <v>1100</v>
      </c>
      <c r="N1667">
        <v>0</v>
      </c>
    </row>
    <row r="1668" spans="1:14" x14ac:dyDescent="0.25">
      <c r="A1668">
        <v>1693.2368160000001</v>
      </c>
      <c r="B1668" s="1">
        <f>DATE(2014,12,19) + TIME(5,41,0)</f>
        <v>41992.236805555556</v>
      </c>
      <c r="C1668">
        <v>80</v>
      </c>
      <c r="D1668">
        <v>76.330284118999998</v>
      </c>
      <c r="E1668">
        <v>50</v>
      </c>
      <c r="F1668">
        <v>49.954555511000002</v>
      </c>
      <c r="G1668">
        <v>1319.5894774999999</v>
      </c>
      <c r="H1668">
        <v>1313.9235839999999</v>
      </c>
      <c r="I1668">
        <v>1358.6639404</v>
      </c>
      <c r="J1668">
        <v>1349.3479004000001</v>
      </c>
      <c r="K1668">
        <v>0</v>
      </c>
      <c r="L1668">
        <v>1100</v>
      </c>
      <c r="M1668">
        <v>1100</v>
      </c>
      <c r="N1668">
        <v>0</v>
      </c>
    </row>
    <row r="1669" spans="1:14" x14ac:dyDescent="0.25">
      <c r="A1669">
        <v>1695.2123650000001</v>
      </c>
      <c r="B1669" s="1">
        <f>DATE(2014,12,21) + TIME(5,5,48)</f>
        <v>41994.212361111109</v>
      </c>
      <c r="C1669">
        <v>80</v>
      </c>
      <c r="D1669">
        <v>76.218849182</v>
      </c>
      <c r="E1669">
        <v>50</v>
      </c>
      <c r="F1669">
        <v>49.954589843999997</v>
      </c>
      <c r="G1669">
        <v>1319.5201416</v>
      </c>
      <c r="H1669">
        <v>1313.8302002</v>
      </c>
      <c r="I1669">
        <v>1358.6578368999999</v>
      </c>
      <c r="J1669">
        <v>1349.3442382999999</v>
      </c>
      <c r="K1669">
        <v>0</v>
      </c>
      <c r="L1669">
        <v>1100</v>
      </c>
      <c r="M1669">
        <v>1100</v>
      </c>
      <c r="N1669">
        <v>0</v>
      </c>
    </row>
    <row r="1670" spans="1:14" x14ac:dyDescent="0.25">
      <c r="A1670">
        <v>1697.2183070000001</v>
      </c>
      <c r="B1670" s="1">
        <f>DATE(2014,12,23) + TIME(5,14,21)</f>
        <v>41996.218298611115</v>
      </c>
      <c r="C1670">
        <v>80</v>
      </c>
      <c r="D1670">
        <v>76.105964661000002</v>
      </c>
      <c r="E1670">
        <v>50</v>
      </c>
      <c r="F1670">
        <v>49.954627991000002</v>
      </c>
      <c r="G1670">
        <v>1319.4476318</v>
      </c>
      <c r="H1670">
        <v>1313.7324219</v>
      </c>
      <c r="I1670">
        <v>1358.6518555</v>
      </c>
      <c r="J1670">
        <v>1349.3406981999999</v>
      </c>
      <c r="K1670">
        <v>0</v>
      </c>
      <c r="L1670">
        <v>1100</v>
      </c>
      <c r="M1670">
        <v>1100</v>
      </c>
      <c r="N1670">
        <v>0</v>
      </c>
    </row>
    <row r="1671" spans="1:14" x14ac:dyDescent="0.25">
      <c r="A1671">
        <v>1699.2593899999999</v>
      </c>
      <c r="B1671" s="1">
        <f>DATE(2014,12,25) + TIME(6,13,31)</f>
        <v>41998.259386574071</v>
      </c>
      <c r="C1671">
        <v>80</v>
      </c>
      <c r="D1671">
        <v>75.991943359000004</v>
      </c>
      <c r="E1671">
        <v>50</v>
      </c>
      <c r="F1671">
        <v>49.954666138</v>
      </c>
      <c r="G1671">
        <v>1319.3730469</v>
      </c>
      <c r="H1671">
        <v>1313.6313477000001</v>
      </c>
      <c r="I1671">
        <v>1358.6461182</v>
      </c>
      <c r="J1671">
        <v>1349.3372803</v>
      </c>
      <c r="K1671">
        <v>0</v>
      </c>
      <c r="L1671">
        <v>1100</v>
      </c>
      <c r="M1671">
        <v>1100</v>
      </c>
      <c r="N1671">
        <v>0</v>
      </c>
    </row>
    <row r="1672" spans="1:14" x14ac:dyDescent="0.25">
      <c r="A1672">
        <v>1701.340201</v>
      </c>
      <c r="B1672" s="1">
        <f>DATE(2014,12,27) + TIME(8,9,53)</f>
        <v>42000.340196759258</v>
      </c>
      <c r="C1672">
        <v>80</v>
      </c>
      <c r="D1672">
        <v>75.876777649000005</v>
      </c>
      <c r="E1672">
        <v>50</v>
      </c>
      <c r="F1672">
        <v>49.954704284999998</v>
      </c>
      <c r="G1672">
        <v>1319.2960204999999</v>
      </c>
      <c r="H1672">
        <v>1313.5269774999999</v>
      </c>
      <c r="I1672">
        <v>1358.640625</v>
      </c>
      <c r="J1672">
        <v>1349.3339844</v>
      </c>
      <c r="K1672">
        <v>0</v>
      </c>
      <c r="L1672">
        <v>1100</v>
      </c>
      <c r="M1672">
        <v>1100</v>
      </c>
      <c r="N1672">
        <v>0</v>
      </c>
    </row>
    <row r="1673" spans="1:14" x14ac:dyDescent="0.25">
      <c r="A1673">
        <v>1703.4651349999999</v>
      </c>
      <c r="B1673" s="1">
        <f>DATE(2014,12,29) + TIME(11,9,47)</f>
        <v>42002.465127314812</v>
      </c>
      <c r="C1673">
        <v>80</v>
      </c>
      <c r="D1673">
        <v>75.760314941000004</v>
      </c>
      <c r="E1673">
        <v>50</v>
      </c>
      <c r="F1673">
        <v>49.954742432000003</v>
      </c>
      <c r="G1673">
        <v>1319.2166748</v>
      </c>
      <c r="H1673">
        <v>1313.4190673999999</v>
      </c>
      <c r="I1673">
        <v>1358.6351318</v>
      </c>
      <c r="J1673">
        <v>1349.3308105000001</v>
      </c>
      <c r="K1673">
        <v>0</v>
      </c>
      <c r="L1673">
        <v>1100</v>
      </c>
      <c r="M1673">
        <v>1100</v>
      </c>
      <c r="N1673">
        <v>0</v>
      </c>
    </row>
    <row r="1674" spans="1:14" x14ac:dyDescent="0.25">
      <c r="A1674">
        <v>1705.638672</v>
      </c>
      <c r="B1674" s="1">
        <f>DATE(2014,12,31) + TIME(15,19,41)</f>
        <v>42004.638668981483</v>
      </c>
      <c r="C1674">
        <v>80</v>
      </c>
      <c r="D1674">
        <v>75.642311096</v>
      </c>
      <c r="E1674">
        <v>50</v>
      </c>
      <c r="F1674">
        <v>49.954780579000001</v>
      </c>
      <c r="G1674">
        <v>1319.1347656</v>
      </c>
      <c r="H1674">
        <v>1313.307251</v>
      </c>
      <c r="I1674">
        <v>1358.6298827999999</v>
      </c>
      <c r="J1674">
        <v>1349.3277588000001</v>
      </c>
      <c r="K1674">
        <v>0</v>
      </c>
      <c r="L1674">
        <v>1100</v>
      </c>
      <c r="M1674">
        <v>1100</v>
      </c>
      <c r="N1674">
        <v>0</v>
      </c>
    </row>
    <row r="1675" spans="1:14" x14ac:dyDescent="0.25">
      <c r="A1675">
        <v>1706</v>
      </c>
      <c r="B1675" s="1">
        <f>DATE(2015,1,1) + TIME(0,0,0)</f>
        <v>42005</v>
      </c>
      <c r="C1675">
        <v>80</v>
      </c>
      <c r="D1675">
        <v>75.606529236</v>
      </c>
      <c r="E1675">
        <v>50</v>
      </c>
      <c r="F1675">
        <v>49.954788207999997</v>
      </c>
      <c r="G1675">
        <v>1319.0587158000001</v>
      </c>
      <c r="H1675">
        <v>1313.2114257999999</v>
      </c>
      <c r="I1675">
        <v>1358.6236572</v>
      </c>
      <c r="J1675">
        <v>1349.3238524999999</v>
      </c>
      <c r="K1675">
        <v>0</v>
      </c>
      <c r="L1675">
        <v>1100</v>
      </c>
      <c r="M1675">
        <v>1100</v>
      </c>
      <c r="N1675">
        <v>0</v>
      </c>
    </row>
    <row r="1676" spans="1:14" x14ac:dyDescent="0.25">
      <c r="A1676">
        <v>1708.22676</v>
      </c>
      <c r="B1676" s="1">
        <f>DATE(2015,1,3) + TIME(5,26,32)</f>
        <v>42007.226759259262</v>
      </c>
      <c r="C1676">
        <v>80</v>
      </c>
      <c r="D1676">
        <v>75.495452881000006</v>
      </c>
      <c r="E1676">
        <v>50</v>
      </c>
      <c r="F1676">
        <v>49.954830170000001</v>
      </c>
      <c r="G1676">
        <v>1319.0325928</v>
      </c>
      <c r="H1676">
        <v>1313.1665039</v>
      </c>
      <c r="I1676">
        <v>1358.6240233999999</v>
      </c>
      <c r="J1676">
        <v>1349.3243408000001</v>
      </c>
      <c r="K1676">
        <v>0</v>
      </c>
      <c r="L1676">
        <v>1100</v>
      </c>
      <c r="M1676">
        <v>1100</v>
      </c>
      <c r="N1676">
        <v>0</v>
      </c>
    </row>
    <row r="1677" spans="1:14" x14ac:dyDescent="0.25">
      <c r="A1677">
        <v>1710.522146</v>
      </c>
      <c r="B1677" s="1">
        <f>DATE(2015,1,5) + TIME(12,31,53)</f>
        <v>42009.522141203706</v>
      </c>
      <c r="C1677">
        <v>80</v>
      </c>
      <c r="D1677">
        <v>75.377281189000001</v>
      </c>
      <c r="E1677">
        <v>50</v>
      </c>
      <c r="F1677">
        <v>49.954872131000002</v>
      </c>
      <c r="G1677">
        <v>1318.9464111</v>
      </c>
      <c r="H1677">
        <v>1313.0491943</v>
      </c>
      <c r="I1677">
        <v>1358.6190185999999</v>
      </c>
      <c r="J1677">
        <v>1349.3214111</v>
      </c>
      <c r="K1677">
        <v>0</v>
      </c>
      <c r="L1677">
        <v>1100</v>
      </c>
      <c r="M1677">
        <v>1100</v>
      </c>
      <c r="N1677">
        <v>0</v>
      </c>
    </row>
    <row r="1678" spans="1:14" x14ac:dyDescent="0.25">
      <c r="A1678">
        <v>1712.8810980000001</v>
      </c>
      <c r="B1678" s="1">
        <f>DATE(2015,1,7) + TIME(21,8,46)</f>
        <v>42011.88108796296</v>
      </c>
      <c r="C1678">
        <v>80</v>
      </c>
      <c r="D1678">
        <v>75.254226685000006</v>
      </c>
      <c r="E1678">
        <v>50</v>
      </c>
      <c r="F1678">
        <v>49.954917907999999</v>
      </c>
      <c r="G1678">
        <v>1318.8557129000001</v>
      </c>
      <c r="H1678">
        <v>1312.9250488</v>
      </c>
      <c r="I1678">
        <v>1358.6140137</v>
      </c>
      <c r="J1678">
        <v>1349.3186035000001</v>
      </c>
      <c r="K1678">
        <v>0</v>
      </c>
      <c r="L1678">
        <v>1100</v>
      </c>
      <c r="M1678">
        <v>1100</v>
      </c>
      <c r="N1678">
        <v>0</v>
      </c>
    </row>
    <row r="1679" spans="1:14" x14ac:dyDescent="0.25">
      <c r="A1679">
        <v>1715.3094610000001</v>
      </c>
      <c r="B1679" s="1">
        <f>DATE(2015,1,10) + TIME(7,25,37)</f>
        <v>42014.30945601852</v>
      </c>
      <c r="C1679">
        <v>80</v>
      </c>
      <c r="D1679">
        <v>75.127182007000002</v>
      </c>
      <c r="E1679">
        <v>50</v>
      </c>
      <c r="F1679">
        <v>49.954959869</v>
      </c>
      <c r="G1679">
        <v>1318.7611084</v>
      </c>
      <c r="H1679">
        <v>1312.7951660000001</v>
      </c>
      <c r="I1679">
        <v>1358.6092529</v>
      </c>
      <c r="J1679">
        <v>1349.3157959</v>
      </c>
      <c r="K1679">
        <v>0</v>
      </c>
      <c r="L1679">
        <v>1100</v>
      </c>
      <c r="M1679">
        <v>1100</v>
      </c>
      <c r="N1679">
        <v>0</v>
      </c>
    </row>
    <row r="1680" spans="1:14" x14ac:dyDescent="0.25">
      <c r="A1680">
        <v>1717.813148</v>
      </c>
      <c r="B1680" s="1">
        <f>DATE(2015,1,12) + TIME(19,30,55)</f>
        <v>42016.813136574077</v>
      </c>
      <c r="C1680">
        <v>80</v>
      </c>
      <c r="D1680">
        <v>74.996307372999993</v>
      </c>
      <c r="E1680">
        <v>50</v>
      </c>
      <c r="F1680">
        <v>49.955009459999999</v>
      </c>
      <c r="G1680">
        <v>1318.6624756000001</v>
      </c>
      <c r="H1680">
        <v>1312.6595459</v>
      </c>
      <c r="I1680">
        <v>1358.6043701000001</v>
      </c>
      <c r="J1680">
        <v>1349.3131103999999</v>
      </c>
      <c r="K1680">
        <v>0</v>
      </c>
      <c r="L1680">
        <v>1100</v>
      </c>
      <c r="M1680">
        <v>1100</v>
      </c>
      <c r="N1680">
        <v>0</v>
      </c>
    </row>
    <row r="1681" spans="1:14" x14ac:dyDescent="0.25">
      <c r="A1681">
        <v>1720.397594</v>
      </c>
      <c r="B1681" s="1">
        <f>DATE(2015,1,15) + TIME(9,32,32)</f>
        <v>42019.397592592592</v>
      </c>
      <c r="C1681">
        <v>80</v>
      </c>
      <c r="D1681">
        <v>74.861228943</v>
      </c>
      <c r="E1681">
        <v>50</v>
      </c>
      <c r="F1681">
        <v>49.955055237000003</v>
      </c>
      <c r="G1681">
        <v>1318.5599365</v>
      </c>
      <c r="H1681">
        <v>1312.5180664</v>
      </c>
      <c r="I1681">
        <v>1358.5996094</v>
      </c>
      <c r="J1681">
        <v>1349.3105469</v>
      </c>
      <c r="K1681">
        <v>0</v>
      </c>
      <c r="L1681">
        <v>1100</v>
      </c>
      <c r="M1681">
        <v>1100</v>
      </c>
      <c r="N1681">
        <v>0</v>
      </c>
    </row>
    <row r="1682" spans="1:14" x14ac:dyDescent="0.25">
      <c r="A1682">
        <v>1723.069326</v>
      </c>
      <c r="B1682" s="1">
        <f>DATE(2015,1,18) + TIME(1,39,49)</f>
        <v>42022.06931712963</v>
      </c>
      <c r="C1682">
        <v>80</v>
      </c>
      <c r="D1682">
        <v>74.721656799000002</v>
      </c>
      <c r="E1682">
        <v>50</v>
      </c>
      <c r="F1682">
        <v>49.955104828000003</v>
      </c>
      <c r="G1682">
        <v>1318.4530029</v>
      </c>
      <c r="H1682">
        <v>1312.3702393000001</v>
      </c>
      <c r="I1682">
        <v>1358.5948486</v>
      </c>
      <c r="J1682">
        <v>1349.3078613</v>
      </c>
      <c r="K1682">
        <v>0</v>
      </c>
      <c r="L1682">
        <v>1100</v>
      </c>
      <c r="M1682">
        <v>1100</v>
      </c>
      <c r="N1682">
        <v>0</v>
      </c>
    </row>
    <row r="1683" spans="1:14" x14ac:dyDescent="0.25">
      <c r="A1683">
        <v>1725.8139289999999</v>
      </c>
      <c r="B1683" s="1">
        <f>DATE(2015,1,20) + TIME(19,32,3)</f>
        <v>42024.813923611109</v>
      </c>
      <c r="C1683">
        <v>80</v>
      </c>
      <c r="D1683">
        <v>74.57749939</v>
      </c>
      <c r="E1683">
        <v>50</v>
      </c>
      <c r="F1683">
        <v>49.955154419000003</v>
      </c>
      <c r="G1683">
        <v>1318.3416748</v>
      </c>
      <c r="H1683">
        <v>1312.2160644999999</v>
      </c>
      <c r="I1683">
        <v>1358.5900879000001</v>
      </c>
      <c r="J1683">
        <v>1349.3052978999999</v>
      </c>
      <c r="K1683">
        <v>0</v>
      </c>
      <c r="L1683">
        <v>1100</v>
      </c>
      <c r="M1683">
        <v>1100</v>
      </c>
      <c r="N1683">
        <v>0</v>
      </c>
    </row>
    <row r="1684" spans="1:14" x14ac:dyDescent="0.25">
      <c r="A1684">
        <v>1728.620928</v>
      </c>
      <c r="B1684" s="1">
        <f>DATE(2015,1,23) + TIME(14,54,8)</f>
        <v>42027.620925925927</v>
      </c>
      <c r="C1684">
        <v>80</v>
      </c>
      <c r="D1684">
        <v>74.428901671999995</v>
      </c>
      <c r="E1684">
        <v>50</v>
      </c>
      <c r="F1684">
        <v>49.955207825000002</v>
      </c>
      <c r="G1684">
        <v>1318.2261963000001</v>
      </c>
      <c r="H1684">
        <v>1312.0559082</v>
      </c>
      <c r="I1684">
        <v>1358.5854492000001</v>
      </c>
      <c r="J1684">
        <v>1349.3027344</v>
      </c>
      <c r="K1684">
        <v>0</v>
      </c>
      <c r="L1684">
        <v>1100</v>
      </c>
      <c r="M1684">
        <v>1100</v>
      </c>
      <c r="N1684">
        <v>0</v>
      </c>
    </row>
    <row r="1685" spans="1:14" x14ac:dyDescent="0.25">
      <c r="A1685">
        <v>1731.4967979999999</v>
      </c>
      <c r="B1685" s="1">
        <f>DATE(2015,1,26) + TIME(11,55,23)</f>
        <v>42030.496793981481</v>
      </c>
      <c r="C1685">
        <v>80</v>
      </c>
      <c r="D1685">
        <v>74.275688170999999</v>
      </c>
      <c r="E1685">
        <v>50</v>
      </c>
      <c r="F1685">
        <v>49.955261229999998</v>
      </c>
      <c r="G1685">
        <v>1318.1071777</v>
      </c>
      <c r="H1685">
        <v>1311.8902588000001</v>
      </c>
      <c r="I1685">
        <v>1358.5806885</v>
      </c>
      <c r="J1685">
        <v>1349.3001709</v>
      </c>
      <c r="K1685">
        <v>0</v>
      </c>
      <c r="L1685">
        <v>1100</v>
      </c>
      <c r="M1685">
        <v>1100</v>
      </c>
      <c r="N1685">
        <v>0</v>
      </c>
    </row>
    <row r="1686" spans="1:14" x14ac:dyDescent="0.25">
      <c r="A1686">
        <v>1734.4479490000001</v>
      </c>
      <c r="B1686" s="1">
        <f>DATE(2015,1,29) + TIME(10,45,2)</f>
        <v>42033.447939814818</v>
      </c>
      <c r="C1686">
        <v>80</v>
      </c>
      <c r="D1686">
        <v>74.117362975999995</v>
      </c>
      <c r="E1686">
        <v>50</v>
      </c>
      <c r="F1686">
        <v>49.955314635999997</v>
      </c>
      <c r="G1686">
        <v>1317.9842529</v>
      </c>
      <c r="H1686">
        <v>1311.7189940999999</v>
      </c>
      <c r="I1686">
        <v>1358.5760498</v>
      </c>
      <c r="J1686">
        <v>1349.2977295000001</v>
      </c>
      <c r="K1686">
        <v>0</v>
      </c>
      <c r="L1686">
        <v>1100</v>
      </c>
      <c r="M1686">
        <v>1100</v>
      </c>
      <c r="N1686">
        <v>0</v>
      </c>
    </row>
    <row r="1687" spans="1:14" x14ac:dyDescent="0.25">
      <c r="A1687">
        <v>1737</v>
      </c>
      <c r="B1687" s="1">
        <f>DATE(2015,2,1) + TIME(0,0,0)</f>
        <v>42036</v>
      </c>
      <c r="C1687">
        <v>80</v>
      </c>
      <c r="D1687">
        <v>73.963920592999997</v>
      </c>
      <c r="E1687">
        <v>50</v>
      </c>
      <c r="F1687">
        <v>49.955360413000001</v>
      </c>
      <c r="G1687">
        <v>1317.8585204999999</v>
      </c>
      <c r="H1687">
        <v>1311.5446777</v>
      </c>
      <c r="I1687">
        <v>1358.5711670000001</v>
      </c>
      <c r="J1687">
        <v>1349.2950439000001</v>
      </c>
      <c r="K1687">
        <v>0</v>
      </c>
      <c r="L1687">
        <v>1100</v>
      </c>
      <c r="M1687">
        <v>1100</v>
      </c>
      <c r="N1687">
        <v>0</v>
      </c>
    </row>
    <row r="1688" spans="1:14" x14ac:dyDescent="0.25">
      <c r="A1688">
        <v>1740.033169</v>
      </c>
      <c r="B1688" s="1">
        <f>DATE(2015,2,4) + TIME(0,47,45)</f>
        <v>42039.033159722225</v>
      </c>
      <c r="C1688">
        <v>80</v>
      </c>
      <c r="D1688">
        <v>73.805389403999996</v>
      </c>
      <c r="E1688">
        <v>50</v>
      </c>
      <c r="F1688">
        <v>49.955413817999997</v>
      </c>
      <c r="G1688">
        <v>1317.7437743999999</v>
      </c>
      <c r="H1688">
        <v>1311.3817139</v>
      </c>
      <c r="I1688">
        <v>1358.5673827999999</v>
      </c>
      <c r="J1688">
        <v>1349.2930908000001</v>
      </c>
      <c r="K1688">
        <v>0</v>
      </c>
      <c r="L1688">
        <v>1100</v>
      </c>
      <c r="M1688">
        <v>1100</v>
      </c>
      <c r="N1688">
        <v>0</v>
      </c>
    </row>
    <row r="1689" spans="1:14" x14ac:dyDescent="0.25">
      <c r="A1689">
        <v>1743.2373259999999</v>
      </c>
      <c r="B1689" s="1">
        <f>DATE(2015,2,7) + TIME(5,41,44)</f>
        <v>42042.237314814818</v>
      </c>
      <c r="C1689">
        <v>80</v>
      </c>
      <c r="D1689">
        <v>73.633712768999999</v>
      </c>
      <c r="E1689">
        <v>50</v>
      </c>
      <c r="F1689">
        <v>49.955474854000002</v>
      </c>
      <c r="G1689">
        <v>1317.6132812000001</v>
      </c>
      <c r="H1689">
        <v>1311.1990966999999</v>
      </c>
      <c r="I1689">
        <v>1358.5627440999999</v>
      </c>
      <c r="J1689">
        <v>1349.2906493999999</v>
      </c>
      <c r="K1689">
        <v>0</v>
      </c>
      <c r="L1689">
        <v>1100</v>
      </c>
      <c r="M1689">
        <v>1100</v>
      </c>
      <c r="N1689">
        <v>0</v>
      </c>
    </row>
    <row r="1690" spans="1:14" x14ac:dyDescent="0.25">
      <c r="A1690">
        <v>1746.5047509999999</v>
      </c>
      <c r="B1690" s="1">
        <f>DATE(2015,2,10) + TIME(12,6,50)</f>
        <v>42045.504745370374</v>
      </c>
      <c r="C1690">
        <v>80</v>
      </c>
      <c r="D1690">
        <v>73.451011657999999</v>
      </c>
      <c r="E1690">
        <v>50</v>
      </c>
      <c r="F1690">
        <v>49.955532073999997</v>
      </c>
      <c r="G1690">
        <v>1317.4744873</v>
      </c>
      <c r="H1690">
        <v>1311.0047606999999</v>
      </c>
      <c r="I1690">
        <v>1358.5578613</v>
      </c>
      <c r="J1690">
        <v>1349.2880858999999</v>
      </c>
      <c r="K1690">
        <v>0</v>
      </c>
      <c r="L1690">
        <v>1100</v>
      </c>
      <c r="M1690">
        <v>1100</v>
      </c>
      <c r="N1690">
        <v>0</v>
      </c>
    </row>
    <row r="1691" spans="1:14" x14ac:dyDescent="0.25">
      <c r="A1691">
        <v>1749.844799</v>
      </c>
      <c r="B1691" s="1">
        <f>DATE(2015,2,13) + TIME(20,16,30)</f>
        <v>42048.84479166667</v>
      </c>
      <c r="C1691">
        <v>80</v>
      </c>
      <c r="D1691">
        <v>73.259384155000006</v>
      </c>
      <c r="E1691">
        <v>50</v>
      </c>
      <c r="F1691">
        <v>49.955593108999999</v>
      </c>
      <c r="G1691">
        <v>1317.331543</v>
      </c>
      <c r="H1691">
        <v>1310.8033447</v>
      </c>
      <c r="I1691">
        <v>1358.5528564000001</v>
      </c>
      <c r="J1691">
        <v>1349.2855225000001</v>
      </c>
      <c r="K1691">
        <v>0</v>
      </c>
      <c r="L1691">
        <v>1100</v>
      </c>
      <c r="M1691">
        <v>1100</v>
      </c>
      <c r="N1691">
        <v>0</v>
      </c>
    </row>
    <row r="1692" spans="1:14" x14ac:dyDescent="0.25">
      <c r="A1692">
        <v>1753.2665930000001</v>
      </c>
      <c r="B1692" s="1">
        <f>DATE(2015,2,17) + TIME(6,23,53)</f>
        <v>42052.266585648147</v>
      </c>
      <c r="C1692">
        <v>80</v>
      </c>
      <c r="D1692">
        <v>73.058830260999997</v>
      </c>
      <c r="E1692">
        <v>50</v>
      </c>
      <c r="F1692">
        <v>49.955650329999997</v>
      </c>
      <c r="G1692">
        <v>1317.1844481999999</v>
      </c>
      <c r="H1692">
        <v>1310.5958252</v>
      </c>
      <c r="I1692">
        <v>1358.5478516000001</v>
      </c>
      <c r="J1692">
        <v>1349.2829589999999</v>
      </c>
      <c r="K1692">
        <v>0</v>
      </c>
      <c r="L1692">
        <v>1100</v>
      </c>
      <c r="M1692">
        <v>1100</v>
      </c>
      <c r="N1692">
        <v>0</v>
      </c>
    </row>
    <row r="1693" spans="1:14" x14ac:dyDescent="0.25">
      <c r="A1693">
        <v>1756.779757</v>
      </c>
      <c r="B1693" s="1">
        <f>DATE(2015,2,20) + TIME(18,42,51)</f>
        <v>42055.779756944445</v>
      </c>
      <c r="C1693">
        <v>80</v>
      </c>
      <c r="D1693">
        <v>72.848518372000001</v>
      </c>
      <c r="E1693">
        <v>50</v>
      </c>
      <c r="F1693">
        <v>49.955715179000002</v>
      </c>
      <c r="G1693">
        <v>1317.0333252</v>
      </c>
      <c r="H1693">
        <v>1310.3819579999999</v>
      </c>
      <c r="I1693">
        <v>1358.5427245999999</v>
      </c>
      <c r="J1693">
        <v>1349.2802733999999</v>
      </c>
      <c r="K1693">
        <v>0</v>
      </c>
      <c r="L1693">
        <v>1100</v>
      </c>
      <c r="M1693">
        <v>1100</v>
      </c>
      <c r="N1693">
        <v>0</v>
      </c>
    </row>
    <row r="1694" spans="1:14" x14ac:dyDescent="0.25">
      <c r="A1694">
        <v>1760.3949640000001</v>
      </c>
      <c r="B1694" s="1">
        <f>DATE(2015,2,24) + TIME(9,28,44)</f>
        <v>42059.394953703704</v>
      </c>
      <c r="C1694">
        <v>80</v>
      </c>
      <c r="D1694">
        <v>72.627250670999999</v>
      </c>
      <c r="E1694">
        <v>50</v>
      </c>
      <c r="F1694">
        <v>49.955776215</v>
      </c>
      <c r="G1694">
        <v>1316.8778076000001</v>
      </c>
      <c r="H1694">
        <v>1310.1613769999999</v>
      </c>
      <c r="I1694">
        <v>1358.5374756000001</v>
      </c>
      <c r="J1694">
        <v>1349.2775879000001</v>
      </c>
      <c r="K1694">
        <v>0</v>
      </c>
      <c r="L1694">
        <v>1100</v>
      </c>
      <c r="M1694">
        <v>1100</v>
      </c>
      <c r="N1694">
        <v>0</v>
      </c>
    </row>
    <row r="1695" spans="1:14" x14ac:dyDescent="0.25">
      <c r="A1695">
        <v>1764.123499</v>
      </c>
      <c r="B1695" s="1">
        <f>DATE(2015,2,28) + TIME(2,57,50)</f>
        <v>42063.123495370368</v>
      </c>
      <c r="C1695">
        <v>80</v>
      </c>
      <c r="D1695">
        <v>72.393554687999995</v>
      </c>
      <c r="E1695">
        <v>50</v>
      </c>
      <c r="F1695">
        <v>49.955841063999998</v>
      </c>
      <c r="G1695">
        <v>1316.7177733999999</v>
      </c>
      <c r="H1695">
        <v>1309.9338379000001</v>
      </c>
      <c r="I1695">
        <v>1358.5321045000001</v>
      </c>
      <c r="J1695">
        <v>1349.2746582</v>
      </c>
      <c r="K1695">
        <v>0</v>
      </c>
      <c r="L1695">
        <v>1100</v>
      </c>
      <c r="M1695">
        <v>1100</v>
      </c>
      <c r="N1695">
        <v>0</v>
      </c>
    </row>
    <row r="1696" spans="1:14" x14ac:dyDescent="0.25">
      <c r="A1696">
        <v>1765</v>
      </c>
      <c r="B1696" s="1">
        <f>DATE(2015,3,1) + TIME(0,0,0)</f>
        <v>42064</v>
      </c>
      <c r="C1696">
        <v>80</v>
      </c>
      <c r="D1696">
        <v>72.271400451999995</v>
      </c>
      <c r="E1696">
        <v>50</v>
      </c>
      <c r="F1696">
        <v>49.955852509000003</v>
      </c>
      <c r="G1696">
        <v>1316.5664062000001</v>
      </c>
      <c r="H1696">
        <v>1309.7327881000001</v>
      </c>
      <c r="I1696">
        <v>1358.5252685999999</v>
      </c>
      <c r="J1696">
        <v>1349.2707519999999</v>
      </c>
      <c r="K1696">
        <v>0</v>
      </c>
      <c r="L1696">
        <v>1100</v>
      </c>
      <c r="M1696">
        <v>1100</v>
      </c>
      <c r="N1696">
        <v>0</v>
      </c>
    </row>
    <row r="1697" spans="1:14" x14ac:dyDescent="0.25">
      <c r="A1697">
        <v>1768.8198179999999</v>
      </c>
      <c r="B1697" s="1">
        <f>DATE(2015,3,4) + TIME(19,40,32)</f>
        <v>42067.819814814815</v>
      </c>
      <c r="C1697">
        <v>80</v>
      </c>
      <c r="D1697">
        <v>72.067115783999995</v>
      </c>
      <c r="E1697">
        <v>50</v>
      </c>
      <c r="F1697">
        <v>49.955921173</v>
      </c>
      <c r="G1697">
        <v>1316.5026855000001</v>
      </c>
      <c r="H1697">
        <v>1309.6225586</v>
      </c>
      <c r="I1697">
        <v>1358.5252685999999</v>
      </c>
      <c r="J1697">
        <v>1349.2709961</v>
      </c>
      <c r="K1697">
        <v>0</v>
      </c>
      <c r="L1697">
        <v>1100</v>
      </c>
      <c r="M1697">
        <v>1100</v>
      </c>
      <c r="N1697">
        <v>0</v>
      </c>
    </row>
    <row r="1698" spans="1:14" x14ac:dyDescent="0.25">
      <c r="A1698">
        <v>1772.758448</v>
      </c>
      <c r="B1698" s="1">
        <f>DATE(2015,3,8) + TIME(18,12,9)</f>
        <v>42071.758437500001</v>
      </c>
      <c r="C1698">
        <v>80</v>
      </c>
      <c r="D1698">
        <v>71.817474364999995</v>
      </c>
      <c r="E1698">
        <v>50</v>
      </c>
      <c r="F1698">
        <v>49.955986023000001</v>
      </c>
      <c r="G1698">
        <v>1316.3415527</v>
      </c>
      <c r="H1698">
        <v>1309.3951416</v>
      </c>
      <c r="I1698">
        <v>1358.5191649999999</v>
      </c>
      <c r="J1698">
        <v>1349.2678223</v>
      </c>
      <c r="K1698">
        <v>0</v>
      </c>
      <c r="L1698">
        <v>1100</v>
      </c>
      <c r="M1698">
        <v>1100</v>
      </c>
      <c r="N1698">
        <v>0</v>
      </c>
    </row>
    <row r="1699" spans="1:14" x14ac:dyDescent="0.25">
      <c r="A1699">
        <v>1776.8066470000001</v>
      </c>
      <c r="B1699" s="1">
        <f>DATE(2015,3,12) + TIME(19,21,34)</f>
        <v>42075.806643518517</v>
      </c>
      <c r="C1699">
        <v>80</v>
      </c>
      <c r="D1699">
        <v>71.542358398000005</v>
      </c>
      <c r="E1699">
        <v>50</v>
      </c>
      <c r="F1699">
        <v>49.956054688000002</v>
      </c>
      <c r="G1699">
        <v>1316.1704102000001</v>
      </c>
      <c r="H1699">
        <v>1309.1506348</v>
      </c>
      <c r="I1699">
        <v>1358.5130615</v>
      </c>
      <c r="J1699">
        <v>1349.2645264</v>
      </c>
      <c r="K1699">
        <v>0</v>
      </c>
      <c r="L1699">
        <v>1100</v>
      </c>
      <c r="M1699">
        <v>1100</v>
      </c>
      <c r="N1699">
        <v>0</v>
      </c>
    </row>
    <row r="1700" spans="1:14" x14ac:dyDescent="0.25">
      <c r="A1700">
        <v>1780.979611</v>
      </c>
      <c r="B1700" s="1">
        <f>DATE(2015,3,16) + TIME(23,30,38)</f>
        <v>42079.97960648148</v>
      </c>
      <c r="C1700">
        <v>80</v>
      </c>
      <c r="D1700">
        <v>71.247268676999994</v>
      </c>
      <c r="E1700">
        <v>50</v>
      </c>
      <c r="F1700">
        <v>49.956123351999999</v>
      </c>
      <c r="G1700">
        <v>1315.9934082</v>
      </c>
      <c r="H1700">
        <v>1308.8961182</v>
      </c>
      <c r="I1700">
        <v>1358.5065918</v>
      </c>
      <c r="J1700">
        <v>1349.2609863</v>
      </c>
      <c r="K1700">
        <v>0</v>
      </c>
      <c r="L1700">
        <v>1100</v>
      </c>
      <c r="M1700">
        <v>1100</v>
      </c>
      <c r="N1700">
        <v>0</v>
      </c>
    </row>
    <row r="1701" spans="1:14" x14ac:dyDescent="0.25">
      <c r="A1701">
        <v>1785.283424</v>
      </c>
      <c r="B1701" s="1">
        <f>DATE(2015,3,21) + TIME(6,48,7)</f>
        <v>42084.283414351848</v>
      </c>
      <c r="C1701">
        <v>80</v>
      </c>
      <c r="D1701">
        <v>70.932609557999996</v>
      </c>
      <c r="E1701">
        <v>50</v>
      </c>
      <c r="F1701">
        <v>49.956195831000002</v>
      </c>
      <c r="G1701">
        <v>1315.8114014</v>
      </c>
      <c r="H1701">
        <v>1308.6335449000001</v>
      </c>
      <c r="I1701">
        <v>1358.4997559000001</v>
      </c>
      <c r="J1701">
        <v>1349.2572021000001</v>
      </c>
      <c r="K1701">
        <v>0</v>
      </c>
      <c r="L1701">
        <v>1100</v>
      </c>
      <c r="M1701">
        <v>1100</v>
      </c>
      <c r="N1701">
        <v>0</v>
      </c>
    </row>
    <row r="1702" spans="1:14" x14ac:dyDescent="0.25">
      <c r="A1702">
        <v>1789.7288820000001</v>
      </c>
      <c r="B1702" s="1">
        <f>DATE(2015,3,25) + TIME(17,29,35)</f>
        <v>42088.728877314818</v>
      </c>
      <c r="C1702">
        <v>80</v>
      </c>
      <c r="D1702">
        <v>70.597503661999994</v>
      </c>
      <c r="E1702">
        <v>50</v>
      </c>
      <c r="F1702">
        <v>49.956268311000002</v>
      </c>
      <c r="G1702">
        <v>1315.6247559000001</v>
      </c>
      <c r="H1702">
        <v>1308.3634033000001</v>
      </c>
      <c r="I1702">
        <v>1358.4925536999999</v>
      </c>
      <c r="J1702">
        <v>1349.2531738</v>
      </c>
      <c r="K1702">
        <v>0</v>
      </c>
      <c r="L1702">
        <v>1100</v>
      </c>
      <c r="M1702">
        <v>1100</v>
      </c>
      <c r="N1702">
        <v>0</v>
      </c>
    </row>
    <row r="1703" spans="1:14" x14ac:dyDescent="0.25">
      <c r="A1703">
        <v>1794.2866899999999</v>
      </c>
      <c r="B1703" s="1">
        <f>DATE(2015,3,30) + TIME(6,52,50)</f>
        <v>42093.286689814813</v>
      </c>
      <c r="C1703">
        <v>80</v>
      </c>
      <c r="D1703">
        <v>70.241157532000003</v>
      </c>
      <c r="E1703">
        <v>50</v>
      </c>
      <c r="F1703">
        <v>49.956340789999999</v>
      </c>
      <c r="G1703">
        <v>1315.4335937999999</v>
      </c>
      <c r="H1703">
        <v>1308.0858154</v>
      </c>
      <c r="I1703">
        <v>1358.4848632999999</v>
      </c>
      <c r="J1703">
        <v>1349.2489014</v>
      </c>
      <c r="K1703">
        <v>0</v>
      </c>
      <c r="L1703">
        <v>1100</v>
      </c>
      <c r="M1703">
        <v>1100</v>
      </c>
      <c r="N1703">
        <v>0</v>
      </c>
    </row>
    <row r="1704" spans="1:14" x14ac:dyDescent="0.25">
      <c r="A1704">
        <v>1796</v>
      </c>
      <c r="B1704" s="1">
        <f>DATE(2015,4,1) + TIME(0,0,0)</f>
        <v>42095</v>
      </c>
      <c r="C1704">
        <v>80</v>
      </c>
      <c r="D1704">
        <v>69.978950499999996</v>
      </c>
      <c r="E1704">
        <v>50</v>
      </c>
      <c r="F1704">
        <v>49.956363678000002</v>
      </c>
      <c r="G1704">
        <v>1315.2480469</v>
      </c>
      <c r="H1704">
        <v>1307.8293457</v>
      </c>
      <c r="I1704">
        <v>1358.4760742000001</v>
      </c>
      <c r="J1704">
        <v>1349.2435303</v>
      </c>
      <c r="K1704">
        <v>0</v>
      </c>
      <c r="L1704">
        <v>1100</v>
      </c>
      <c r="M1704">
        <v>1100</v>
      </c>
      <c r="N170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2022-06-22T13:03:55Z</dcterms:created>
  <dcterms:modified xsi:type="dcterms:W3CDTF">2022-06-22T13:06:08Z</dcterms:modified>
</cp:coreProperties>
</file>