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Storage_V/"/>
    </mc:Choice>
  </mc:AlternateContent>
  <xr:revisionPtr revIDLastSave="0" documentId="8_{687B2559-927B-4CD5-9284-701FF89A129B}" xr6:coauthVersionLast="47" xr6:coauthVersionMax="47" xr10:uidLastSave="{00000000-0000-0000-0000-000000000000}"/>
  <bookViews>
    <workbookView xWindow="780" yWindow="780" windowWidth="15375" windowHeight="7875" xr2:uid="{C0BFAF1F-78A1-44A7-B8DB-3D4C41A5A35F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61" i="1" l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<sst xmlns="http://schemas.openxmlformats.org/spreadsheetml/2006/main" count="15" uniqueCount="15">
  <si>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MODEL\SCENARIOS\2022\Storage_V\Storage_800k.sr3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</si>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</sst>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1319D-EF45-43EB-A2C8-FFEDC0AD7C70}" name="Table1" displayName="Table1" ref="A3:N2061" totalsRowShown="0">
  <autoFilter ref="A3:N2061" xr:uid="{0F61319D-EF45-43EB-A2C8-FFEDC0AD7C70}"/>
  <tableColumns count="14">
    <tableColumn id="1" xr3:uid="{A18CB161-384D-4591-A5C6-D379C0192CD5}" name="Time (day)"/>
    <tableColumn id="2" xr3:uid="{C2BC2E4F-823A-4AC6-8AFB-DAC1218C6309}" name="Date" dataDxfId="0"/>
    <tableColumn id="3" xr3:uid="{9C86C1F0-A346-4749-A747-CAD132DC1BF7}" name="Hot well INJ-Well bottom hole temperature (C)"/>
    <tableColumn id="4" xr3:uid="{4FF258F9-20B2-46BC-AE40-CDFA5B755C83}" name="Hot well PROD-Well bottom hole temperature (C)"/>
    <tableColumn id="5" xr3:uid="{DF15878F-E135-4D62-B75A-A8AF820365DC}" name="Warm well INJ-Well bottom hole temperature (C)"/>
    <tableColumn id="6" xr3:uid="{C10B7762-E0C7-48DB-A621-A3125FEC7DB0}" name="Warm well PROD-Well bottom hole temperature (C)"/>
    <tableColumn id="7" xr3:uid="{5B704941-1C22-469F-8F7C-ED81747489F5}" name="Hot well INJ-Well Bottom-hole Pressure (kPa)"/>
    <tableColumn id="8" xr3:uid="{6BA915FE-11D7-49DF-950C-C2523031597A}" name="Hot well PROD-Well Bottom-hole Pressure (kPa)"/>
    <tableColumn id="9" xr3:uid="{8DDDB076-3565-4B98-874D-AB8B6D9F2AE3}" name="Warm well INJ-Well Bottom-hole Pressure (kPa)"/>
    <tableColumn id="10" xr3:uid="{D4CAB9BA-24FE-4C7B-AF79-85B0526A7EB2}" name="Warm well PROD-Well Bottom-hole Pressure (kPa)"/>
    <tableColumn id="11" xr3:uid="{0798198F-038A-41EF-A497-294D64627FF8}" name="Hot well INJ-Fluid Rate SC (m³/day)"/>
    <tableColumn id="12" xr3:uid="{15871EAB-E5CC-4013-860A-C89FC1EBA63A}" name="Hot well PROD-Fluid Rate SC (m³/day)"/>
    <tableColumn id="13" xr3:uid="{C7C047CB-1CB9-4210-B110-5B6B2848EEBE}" name="Warm well INJ-Fluid Rate SC (m³/day)"/>
    <tableColumn id="14" xr3:uid="{0FA2291B-DE6E-47D4-A8B3-1AB5CC7D148C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FECB9-38AF-41AC-9F71-13F74E0305BB}">
  <dimension ref="A1:N2061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15.000108719</v>
      </c>
      <c r="E4">
        <v>50</v>
      </c>
      <c r="F4">
        <v>14.999958992</v>
      </c>
      <c r="G4">
        <v>1365.9515381000001</v>
      </c>
      <c r="H4">
        <v>1329.8122559000001</v>
      </c>
      <c r="I4">
        <v>1329.0087891000001</v>
      </c>
      <c r="J4">
        <v>1292.8686522999999</v>
      </c>
      <c r="K4">
        <v>2200</v>
      </c>
      <c r="L4">
        <v>0</v>
      </c>
      <c r="M4">
        <v>0</v>
      </c>
      <c r="N4">
        <v>2200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15.000427245999999</v>
      </c>
      <c r="E5">
        <v>50</v>
      </c>
      <c r="F5">
        <v>14.999842643999999</v>
      </c>
      <c r="G5">
        <v>1367.0897216999999</v>
      </c>
      <c r="H5">
        <v>1330.9506836</v>
      </c>
      <c r="I5">
        <v>1327.8753661999999</v>
      </c>
      <c r="J5">
        <v>1291.7349853999999</v>
      </c>
      <c r="K5">
        <v>2200</v>
      </c>
      <c r="L5">
        <v>0</v>
      </c>
      <c r="M5">
        <v>0</v>
      </c>
      <c r="N5">
        <v>2200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15.001332283</v>
      </c>
      <c r="E6">
        <v>50</v>
      </c>
      <c r="F6">
        <v>14.999544144</v>
      </c>
      <c r="G6">
        <v>1370.0002440999999</v>
      </c>
      <c r="H6">
        <v>1333.8619385</v>
      </c>
      <c r="I6">
        <v>1324.9768065999999</v>
      </c>
      <c r="J6">
        <v>1288.8360596</v>
      </c>
      <c r="K6">
        <v>2200</v>
      </c>
      <c r="L6">
        <v>0</v>
      </c>
      <c r="M6">
        <v>0</v>
      </c>
      <c r="N6">
        <v>2200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15.003765105999999</v>
      </c>
      <c r="E7">
        <v>50</v>
      </c>
      <c r="F7">
        <v>14.99892807</v>
      </c>
      <c r="G7">
        <v>1376.0108643000001</v>
      </c>
      <c r="H7">
        <v>1339.8747559000001</v>
      </c>
      <c r="I7">
        <v>1318.9899902</v>
      </c>
      <c r="J7">
        <v>1282.8485106999999</v>
      </c>
      <c r="K7">
        <v>2200</v>
      </c>
      <c r="L7">
        <v>0</v>
      </c>
      <c r="M7">
        <v>0</v>
      </c>
      <c r="N7">
        <v>2200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15.010139465</v>
      </c>
      <c r="E8">
        <v>50</v>
      </c>
      <c r="F8">
        <v>14.99800396</v>
      </c>
      <c r="G8">
        <v>1385.0380858999999</v>
      </c>
      <c r="H8">
        <v>1348.9079589999999</v>
      </c>
      <c r="I8">
        <v>1309.994751</v>
      </c>
      <c r="J8">
        <v>1273.8521728999999</v>
      </c>
      <c r="K8">
        <v>2200</v>
      </c>
      <c r="L8">
        <v>0</v>
      </c>
      <c r="M8">
        <v>0</v>
      </c>
      <c r="N8">
        <v>2200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15.027522086999999</v>
      </c>
      <c r="E9">
        <v>50</v>
      </c>
      <c r="F9">
        <v>14.996953963999999</v>
      </c>
      <c r="G9">
        <v>1395.2658690999999</v>
      </c>
      <c r="H9">
        <v>1359.1524658000001</v>
      </c>
      <c r="I9">
        <v>1299.7875977000001</v>
      </c>
      <c r="J9">
        <v>1263.644043</v>
      </c>
      <c r="K9">
        <v>2200</v>
      </c>
      <c r="L9">
        <v>0</v>
      </c>
      <c r="M9">
        <v>0</v>
      </c>
      <c r="N9">
        <v>2200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15.077537537</v>
      </c>
      <c r="E10">
        <v>50</v>
      </c>
      <c r="F10">
        <v>14.995896339</v>
      </c>
      <c r="G10">
        <v>1405.5544434000001</v>
      </c>
      <c r="H10">
        <v>1369.4886475000001</v>
      </c>
      <c r="I10">
        <v>1289.4716797000001</v>
      </c>
      <c r="J10">
        <v>1253.3271483999999</v>
      </c>
      <c r="K10">
        <v>2200</v>
      </c>
      <c r="L10">
        <v>0</v>
      </c>
      <c r="M10">
        <v>0</v>
      </c>
      <c r="N10">
        <v>2200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15.225126266</v>
      </c>
      <c r="E11">
        <v>50</v>
      </c>
      <c r="F11">
        <v>14.994848251000001</v>
      </c>
      <c r="G11">
        <v>1415.6417236</v>
      </c>
      <c r="H11">
        <v>1379.7152100000001</v>
      </c>
      <c r="I11">
        <v>1279.2147216999999</v>
      </c>
      <c r="J11">
        <v>1243.0690918</v>
      </c>
      <c r="K11">
        <v>2200</v>
      </c>
      <c r="L11">
        <v>0</v>
      </c>
      <c r="M11">
        <v>0</v>
      </c>
      <c r="N11">
        <v>2200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15.662910460999999</v>
      </c>
      <c r="E12">
        <v>50</v>
      </c>
      <c r="F12">
        <v>14.993870735</v>
      </c>
      <c r="G12">
        <v>1424.7777100000001</v>
      </c>
      <c r="H12">
        <v>1389.2591553</v>
      </c>
      <c r="I12">
        <v>1269.4991454999999</v>
      </c>
      <c r="J12">
        <v>1233.3525391000001</v>
      </c>
      <c r="K12">
        <v>2200</v>
      </c>
      <c r="L12">
        <v>0</v>
      </c>
      <c r="M12">
        <v>0</v>
      </c>
      <c r="N12">
        <v>2200</v>
      </c>
    </row>
    <row r="13" spans="1:14" x14ac:dyDescent="0.25">
      <c r="A13">
        <v>2.4827999999999999E-2</v>
      </c>
      <c r="B13" s="1">
        <f>DATE(2010,5,1) + TIME(0,35,45)</f>
        <v>40299.024826388886</v>
      </c>
      <c r="C13">
        <v>80</v>
      </c>
      <c r="D13">
        <v>16.648302078</v>
      </c>
      <c r="E13">
        <v>50</v>
      </c>
      <c r="F13">
        <v>14.993220329</v>
      </c>
      <c r="G13">
        <v>1430.2548827999999</v>
      </c>
      <c r="H13">
        <v>1395.6254882999999</v>
      </c>
      <c r="I13">
        <v>1262.7752685999999</v>
      </c>
      <c r="J13">
        <v>1226.6280518000001</v>
      </c>
      <c r="K13">
        <v>2200</v>
      </c>
      <c r="L13">
        <v>0</v>
      </c>
      <c r="M13">
        <v>0</v>
      </c>
      <c r="N13">
        <v>2200</v>
      </c>
    </row>
    <row r="14" spans="1:14" x14ac:dyDescent="0.25">
      <c r="A14">
        <v>4.0037000000000003E-2</v>
      </c>
      <c r="B14" s="1">
        <f>DATE(2010,5,1) + TIME(0,57,39)</f>
        <v>40299.040034722224</v>
      </c>
      <c r="C14">
        <v>80</v>
      </c>
      <c r="D14">
        <v>17.634632110999998</v>
      </c>
      <c r="E14">
        <v>50</v>
      </c>
      <c r="F14">
        <v>14.992977142000001</v>
      </c>
      <c r="G14">
        <v>1431.8208007999999</v>
      </c>
      <c r="H14">
        <v>1398.0363769999999</v>
      </c>
      <c r="I14">
        <v>1260.0673827999999</v>
      </c>
      <c r="J14">
        <v>1223.9200439000001</v>
      </c>
      <c r="K14">
        <v>2200</v>
      </c>
      <c r="L14">
        <v>0</v>
      </c>
      <c r="M14">
        <v>0</v>
      </c>
      <c r="N14">
        <v>2200</v>
      </c>
    </row>
    <row r="15" spans="1:14" x14ac:dyDescent="0.25">
      <c r="A15">
        <v>5.5456999999999999E-2</v>
      </c>
      <c r="B15" s="1">
        <f>DATE(2010,5,1) + TIME(1,19,51)</f>
        <v>40299.055451388886</v>
      </c>
      <c r="C15">
        <v>80</v>
      </c>
      <c r="D15">
        <v>18.621198654000001</v>
      </c>
      <c r="E15">
        <v>50</v>
      </c>
      <c r="F15">
        <v>14.992883682</v>
      </c>
      <c r="G15">
        <v>1431.9863281</v>
      </c>
      <c r="H15">
        <v>1399.0117187999999</v>
      </c>
      <c r="I15">
        <v>1258.8349608999999</v>
      </c>
      <c r="J15">
        <v>1222.6873779</v>
      </c>
      <c r="K15">
        <v>2200</v>
      </c>
      <c r="L15">
        <v>0</v>
      </c>
      <c r="M15">
        <v>0</v>
      </c>
      <c r="N15">
        <v>2200</v>
      </c>
    </row>
    <row r="16" spans="1:14" x14ac:dyDescent="0.25">
      <c r="A16">
        <v>7.1085999999999996E-2</v>
      </c>
      <c r="B16" s="1">
        <f>DATE(2010,5,1) + TIME(1,42,21)</f>
        <v>40299.071076388886</v>
      </c>
      <c r="C16">
        <v>80</v>
      </c>
      <c r="D16">
        <v>19.607593536</v>
      </c>
      <c r="E16">
        <v>50</v>
      </c>
      <c r="F16">
        <v>14.992854118</v>
      </c>
      <c r="G16">
        <v>1431.5570068</v>
      </c>
      <c r="H16">
        <v>1399.3587646000001</v>
      </c>
      <c r="I16">
        <v>1258.2475586</v>
      </c>
      <c r="J16">
        <v>1222.0998535000001</v>
      </c>
      <c r="K16">
        <v>2200</v>
      </c>
      <c r="L16">
        <v>0</v>
      </c>
      <c r="M16">
        <v>0</v>
      </c>
      <c r="N16">
        <v>2200</v>
      </c>
    </row>
    <row r="17" spans="1:14" x14ac:dyDescent="0.25">
      <c r="A17">
        <v>8.6931999999999995E-2</v>
      </c>
      <c r="B17" s="1">
        <f>DATE(2010,5,1) + TIME(2,5,10)</f>
        <v>40299.086921296293</v>
      </c>
      <c r="C17">
        <v>80</v>
      </c>
      <c r="D17">
        <v>20.59428978</v>
      </c>
      <c r="E17">
        <v>50</v>
      </c>
      <c r="F17">
        <v>14.992856979000001</v>
      </c>
      <c r="G17">
        <v>1430.8530272999999</v>
      </c>
      <c r="H17">
        <v>1399.3997803</v>
      </c>
      <c r="I17">
        <v>1257.9678954999999</v>
      </c>
      <c r="J17">
        <v>1221.8201904</v>
      </c>
      <c r="K17">
        <v>2200</v>
      </c>
      <c r="L17">
        <v>0</v>
      </c>
      <c r="M17">
        <v>0</v>
      </c>
      <c r="N17">
        <v>2200</v>
      </c>
    </row>
    <row r="18" spans="1:14" x14ac:dyDescent="0.25">
      <c r="A18">
        <v>0.102991</v>
      </c>
      <c r="B18" s="1">
        <f>DATE(2010,5,1) + TIME(2,28,18)</f>
        <v>40299.102986111109</v>
      </c>
      <c r="C18">
        <v>80</v>
      </c>
      <c r="D18">
        <v>21.580572128</v>
      </c>
      <c r="E18">
        <v>50</v>
      </c>
      <c r="F18">
        <v>14.992874146</v>
      </c>
      <c r="G18">
        <v>1430.0218506000001</v>
      </c>
      <c r="H18">
        <v>1399.2832031</v>
      </c>
      <c r="I18">
        <v>1257.8404541</v>
      </c>
      <c r="J18">
        <v>1221.692749</v>
      </c>
      <c r="K18">
        <v>2200</v>
      </c>
      <c r="L18">
        <v>0</v>
      </c>
      <c r="M18">
        <v>0</v>
      </c>
      <c r="N18">
        <v>2200</v>
      </c>
    </row>
    <row r="19" spans="1:14" x14ac:dyDescent="0.25">
      <c r="A19">
        <v>0.119273</v>
      </c>
      <c r="B19" s="1">
        <f>DATE(2010,5,1) + TIME(2,51,45)</f>
        <v>40299.119270833333</v>
      </c>
      <c r="C19">
        <v>80</v>
      </c>
      <c r="D19">
        <v>22.566249847000002</v>
      </c>
      <c r="E19">
        <v>50</v>
      </c>
      <c r="F19">
        <v>14.992899895000001</v>
      </c>
      <c r="G19">
        <v>1429.137207</v>
      </c>
      <c r="H19">
        <v>1399.0843506000001</v>
      </c>
      <c r="I19">
        <v>1257.7882079999999</v>
      </c>
      <c r="J19">
        <v>1221.6403809000001</v>
      </c>
      <c r="K19">
        <v>2200</v>
      </c>
      <c r="L19">
        <v>0</v>
      </c>
      <c r="M19">
        <v>0</v>
      </c>
      <c r="N19">
        <v>2200</v>
      </c>
    </row>
    <row r="20" spans="1:14" x14ac:dyDescent="0.25">
      <c r="A20">
        <v>0.135792</v>
      </c>
      <c r="B20" s="1">
        <f>DATE(2010,5,1) + TIME(3,15,32)</f>
        <v>40299.135787037034</v>
      </c>
      <c r="C20">
        <v>80</v>
      </c>
      <c r="D20">
        <v>23.551647186</v>
      </c>
      <c r="E20">
        <v>50</v>
      </c>
      <c r="F20">
        <v>14.992928505</v>
      </c>
      <c r="G20">
        <v>1428.2374268000001</v>
      </c>
      <c r="H20">
        <v>1398.8432617000001</v>
      </c>
      <c r="I20">
        <v>1257.7720947</v>
      </c>
      <c r="J20">
        <v>1221.6242675999999</v>
      </c>
      <c r="K20">
        <v>2200</v>
      </c>
      <c r="L20">
        <v>0</v>
      </c>
      <c r="M20">
        <v>0</v>
      </c>
      <c r="N20">
        <v>2200</v>
      </c>
    </row>
    <row r="21" spans="1:14" x14ac:dyDescent="0.25">
      <c r="A21">
        <v>0.152556</v>
      </c>
      <c r="B21" s="1">
        <f>DATE(2010,5,1) + TIME(3,39,40)</f>
        <v>40299.152546296296</v>
      </c>
      <c r="C21">
        <v>80</v>
      </c>
      <c r="D21">
        <v>24.536750793</v>
      </c>
      <c r="E21">
        <v>50</v>
      </c>
      <c r="F21">
        <v>14.992959022999999</v>
      </c>
      <c r="G21">
        <v>1427.3433838000001</v>
      </c>
      <c r="H21">
        <v>1398.5821533000001</v>
      </c>
      <c r="I21">
        <v>1257.7723389</v>
      </c>
      <c r="J21">
        <v>1221.6245117000001</v>
      </c>
      <c r="K21">
        <v>2200</v>
      </c>
      <c r="L21">
        <v>0</v>
      </c>
      <c r="M21">
        <v>0</v>
      </c>
      <c r="N21">
        <v>2200</v>
      </c>
    </row>
    <row r="22" spans="1:14" x14ac:dyDescent="0.25">
      <c r="A22">
        <v>0.169573</v>
      </c>
      <c r="B22" s="1">
        <f>DATE(2010,5,1) + TIME(4,4,11)</f>
        <v>40299.169571759259</v>
      </c>
      <c r="C22">
        <v>80</v>
      </c>
      <c r="D22">
        <v>25.521907806000002</v>
      </c>
      <c r="E22">
        <v>50</v>
      </c>
      <c r="F22">
        <v>14.992990494000001</v>
      </c>
      <c r="G22">
        <v>1426.4660644999999</v>
      </c>
      <c r="H22">
        <v>1398.3134766000001</v>
      </c>
      <c r="I22">
        <v>1257.7792969</v>
      </c>
      <c r="J22">
        <v>1221.6313477000001</v>
      </c>
      <c r="K22">
        <v>2200</v>
      </c>
      <c r="L22">
        <v>0</v>
      </c>
      <c r="M22">
        <v>0</v>
      </c>
      <c r="N22">
        <v>2200</v>
      </c>
    </row>
    <row r="23" spans="1:14" x14ac:dyDescent="0.25">
      <c r="A23">
        <v>0.18684700000000001</v>
      </c>
      <c r="B23" s="1">
        <f>DATE(2010,5,1) + TIME(4,29,3)</f>
        <v>40299.186840277776</v>
      </c>
      <c r="C23">
        <v>80</v>
      </c>
      <c r="D23">
        <v>26.506731033000001</v>
      </c>
      <c r="E23">
        <v>50</v>
      </c>
      <c r="F23">
        <v>14.993021965000001</v>
      </c>
      <c r="G23">
        <v>1425.6115723</v>
      </c>
      <c r="H23">
        <v>1398.0441894999999</v>
      </c>
      <c r="I23">
        <v>1257.7880858999999</v>
      </c>
      <c r="J23">
        <v>1221.6401367000001</v>
      </c>
      <c r="K23">
        <v>2200</v>
      </c>
      <c r="L23">
        <v>0</v>
      </c>
      <c r="M23">
        <v>0</v>
      </c>
      <c r="N23">
        <v>2200</v>
      </c>
    </row>
    <row r="24" spans="1:14" x14ac:dyDescent="0.25">
      <c r="A24">
        <v>0.20438600000000001</v>
      </c>
      <c r="B24" s="1">
        <f>DATE(2010,5,1) + TIME(4,54,18)</f>
        <v>40299.204375000001</v>
      </c>
      <c r="C24">
        <v>80</v>
      </c>
      <c r="D24">
        <v>27.490928650000001</v>
      </c>
      <c r="E24">
        <v>50</v>
      </c>
      <c r="F24">
        <v>14.993053436</v>
      </c>
      <c r="G24">
        <v>1424.7827147999999</v>
      </c>
      <c r="H24">
        <v>1397.7783202999999</v>
      </c>
      <c r="I24">
        <v>1257.7967529</v>
      </c>
      <c r="J24">
        <v>1221.6486815999999</v>
      </c>
      <c r="K24">
        <v>2200</v>
      </c>
      <c r="L24">
        <v>0</v>
      </c>
      <c r="M24">
        <v>0</v>
      </c>
      <c r="N24">
        <v>2200</v>
      </c>
    </row>
    <row r="25" spans="1:14" x14ac:dyDescent="0.25">
      <c r="A25">
        <v>0.22220799999999999</v>
      </c>
      <c r="B25" s="1">
        <f>DATE(2010,5,1) + TIME(5,19,58)</f>
        <v>40299.222199074073</v>
      </c>
      <c r="C25">
        <v>80</v>
      </c>
      <c r="D25">
        <v>28.474794387999999</v>
      </c>
      <c r="E25">
        <v>50</v>
      </c>
      <c r="F25">
        <v>14.993084908</v>
      </c>
      <c r="G25">
        <v>1423.9805908000001</v>
      </c>
      <c r="H25">
        <v>1397.5180664</v>
      </c>
      <c r="I25">
        <v>1257.8043213000001</v>
      </c>
      <c r="J25">
        <v>1221.65625</v>
      </c>
      <c r="K25">
        <v>2200</v>
      </c>
      <c r="L25">
        <v>0</v>
      </c>
      <c r="M25">
        <v>0</v>
      </c>
      <c r="N25">
        <v>2200</v>
      </c>
    </row>
    <row r="26" spans="1:14" x14ac:dyDescent="0.25">
      <c r="A26">
        <v>0.24032200000000001</v>
      </c>
      <c r="B26" s="1">
        <f>DATE(2010,5,1) + TIME(5,46,3)</f>
        <v>40299.240312499998</v>
      </c>
      <c r="C26">
        <v>80</v>
      </c>
      <c r="D26">
        <v>29.458316802999999</v>
      </c>
      <c r="E26">
        <v>50</v>
      </c>
      <c r="F26">
        <v>14.993116379</v>
      </c>
      <c r="G26">
        <v>1423.2053223</v>
      </c>
      <c r="H26">
        <v>1397.2646483999999</v>
      </c>
      <c r="I26">
        <v>1257.8109131000001</v>
      </c>
      <c r="J26">
        <v>1221.6627197</v>
      </c>
      <c r="K26">
        <v>2200</v>
      </c>
      <c r="L26">
        <v>0</v>
      </c>
      <c r="M26">
        <v>0</v>
      </c>
      <c r="N26">
        <v>2200</v>
      </c>
    </row>
    <row r="27" spans="1:14" x14ac:dyDescent="0.25">
      <c r="A27">
        <v>0.258739</v>
      </c>
      <c r="B27" s="1">
        <f>DATE(2010,5,1) + TIME(6,12,35)</f>
        <v>40299.258738425924</v>
      </c>
      <c r="C27">
        <v>80</v>
      </c>
      <c r="D27">
        <v>30.441581725999999</v>
      </c>
      <c r="E27">
        <v>50</v>
      </c>
      <c r="F27">
        <v>14.99314785</v>
      </c>
      <c r="G27">
        <v>1422.456543</v>
      </c>
      <c r="H27">
        <v>1397.0185547000001</v>
      </c>
      <c r="I27">
        <v>1257.8164062000001</v>
      </c>
      <c r="J27">
        <v>1221.6682129000001</v>
      </c>
      <c r="K27">
        <v>2200</v>
      </c>
      <c r="L27">
        <v>0</v>
      </c>
      <c r="M27">
        <v>0</v>
      </c>
      <c r="N27">
        <v>2200</v>
      </c>
    </row>
    <row r="28" spans="1:14" x14ac:dyDescent="0.25">
      <c r="A28">
        <v>0.27746900000000002</v>
      </c>
      <c r="B28" s="1">
        <f>DATE(2010,5,1) + TIME(6,39,33)</f>
        <v>40299.277465277781</v>
      </c>
      <c r="C28">
        <v>80</v>
      </c>
      <c r="D28">
        <v>31.424503326</v>
      </c>
      <c r="E28">
        <v>50</v>
      </c>
      <c r="F28">
        <v>14.993179321</v>
      </c>
      <c r="G28">
        <v>1421.7335204999999</v>
      </c>
      <c r="H28">
        <v>1396.7801514</v>
      </c>
      <c r="I28">
        <v>1257.8210449000001</v>
      </c>
      <c r="J28">
        <v>1221.6727295000001</v>
      </c>
      <c r="K28">
        <v>2200</v>
      </c>
      <c r="L28">
        <v>0</v>
      </c>
      <c r="M28">
        <v>0</v>
      </c>
      <c r="N28">
        <v>2200</v>
      </c>
    </row>
    <row r="29" spans="1:14" x14ac:dyDescent="0.25">
      <c r="A29">
        <v>0.29652499999999998</v>
      </c>
      <c r="B29" s="1">
        <f>DATE(2010,5,1) + TIME(7,6,59)</f>
        <v>40299.296516203707</v>
      </c>
      <c r="C29">
        <v>80</v>
      </c>
      <c r="D29">
        <v>32.406921386999997</v>
      </c>
      <c r="E29">
        <v>50</v>
      </c>
      <c r="F29">
        <v>14.993210792999999</v>
      </c>
      <c r="G29">
        <v>1421.0356445</v>
      </c>
      <c r="H29">
        <v>1396.5491943</v>
      </c>
      <c r="I29">
        <v>1257.8248291</v>
      </c>
      <c r="J29">
        <v>1221.6765137</v>
      </c>
      <c r="K29">
        <v>2200</v>
      </c>
      <c r="L29">
        <v>0</v>
      </c>
      <c r="M29">
        <v>0</v>
      </c>
      <c r="N29">
        <v>2200</v>
      </c>
    </row>
    <row r="30" spans="1:14" x14ac:dyDescent="0.25">
      <c r="A30">
        <v>0.31592300000000001</v>
      </c>
      <c r="B30" s="1">
        <f>DATE(2010,5,1) + TIME(7,34,55)</f>
        <v>40299.31591435185</v>
      </c>
      <c r="C30">
        <v>80</v>
      </c>
      <c r="D30">
        <v>33.388942718999999</v>
      </c>
      <c r="E30">
        <v>50</v>
      </c>
      <c r="F30">
        <v>14.99324131</v>
      </c>
      <c r="G30">
        <v>1420.3615723</v>
      </c>
      <c r="H30">
        <v>1396.3256836</v>
      </c>
      <c r="I30">
        <v>1257.8282471</v>
      </c>
      <c r="J30">
        <v>1221.6796875</v>
      </c>
      <c r="K30">
        <v>2200</v>
      </c>
      <c r="L30">
        <v>0</v>
      </c>
      <c r="M30">
        <v>0</v>
      </c>
      <c r="N30">
        <v>2200</v>
      </c>
    </row>
    <row r="31" spans="1:14" x14ac:dyDescent="0.25">
      <c r="A31">
        <v>0.335675</v>
      </c>
      <c r="B31" s="1">
        <f>DATE(2010,5,1) + TIME(8,3,22)</f>
        <v>40299.3356712963</v>
      </c>
      <c r="C31">
        <v>80</v>
      </c>
      <c r="D31">
        <v>34.370544434000003</v>
      </c>
      <c r="E31">
        <v>50</v>
      </c>
      <c r="F31">
        <v>14.993272781</v>
      </c>
      <c r="G31">
        <v>1419.7106934000001</v>
      </c>
      <c r="H31">
        <v>1396.109375</v>
      </c>
      <c r="I31">
        <v>1257.8310547000001</v>
      </c>
      <c r="J31">
        <v>1221.6824951000001</v>
      </c>
      <c r="K31">
        <v>2200</v>
      </c>
      <c r="L31">
        <v>0</v>
      </c>
      <c r="M31">
        <v>0</v>
      </c>
      <c r="N31">
        <v>2200</v>
      </c>
    </row>
    <row r="32" spans="1:14" x14ac:dyDescent="0.25">
      <c r="A32">
        <v>0.35579699999999997</v>
      </c>
      <c r="B32" s="1">
        <f>DATE(2010,5,1) + TIME(8,32,20)</f>
        <v>40299.355787037035</v>
      </c>
      <c r="C32">
        <v>80</v>
      </c>
      <c r="D32">
        <v>35.351715087999999</v>
      </c>
      <c r="E32">
        <v>50</v>
      </c>
      <c r="F32">
        <v>14.993304253</v>
      </c>
      <c r="G32">
        <v>1419.0819091999999</v>
      </c>
      <c r="H32">
        <v>1395.9000243999999</v>
      </c>
      <c r="I32">
        <v>1257.8336182</v>
      </c>
      <c r="J32">
        <v>1221.6849365</v>
      </c>
      <c r="K32">
        <v>2200</v>
      </c>
      <c r="L32">
        <v>0</v>
      </c>
      <c r="M32">
        <v>0</v>
      </c>
      <c r="N32">
        <v>2200</v>
      </c>
    </row>
    <row r="33" spans="1:14" x14ac:dyDescent="0.25">
      <c r="A33">
        <v>0.37630599999999997</v>
      </c>
      <c r="B33" s="1">
        <f>DATE(2010,5,1) + TIME(9,1,52)</f>
        <v>40299.376296296294</v>
      </c>
      <c r="C33">
        <v>80</v>
      </c>
      <c r="D33">
        <v>36.332431792999998</v>
      </c>
      <c r="E33">
        <v>50</v>
      </c>
      <c r="F33">
        <v>14.993335724</v>
      </c>
      <c r="G33">
        <v>1418.4741211</v>
      </c>
      <c r="H33">
        <v>1395.6973877</v>
      </c>
      <c r="I33">
        <v>1257.8359375</v>
      </c>
      <c r="J33">
        <v>1221.6871338000001</v>
      </c>
      <c r="K33">
        <v>2200</v>
      </c>
      <c r="L33">
        <v>0</v>
      </c>
      <c r="M33">
        <v>0</v>
      </c>
      <c r="N33">
        <v>2200</v>
      </c>
    </row>
    <row r="34" spans="1:14" x14ac:dyDescent="0.25">
      <c r="A34">
        <v>0.39721800000000002</v>
      </c>
      <c r="B34" s="1">
        <f>DATE(2010,5,1) + TIME(9,31,59)</f>
        <v>40299.397210648145</v>
      </c>
      <c r="C34">
        <v>80</v>
      </c>
      <c r="D34">
        <v>37.312679291000002</v>
      </c>
      <c r="E34">
        <v>50</v>
      </c>
      <c r="F34">
        <v>14.993366241</v>
      </c>
      <c r="G34">
        <v>1417.8865966999999</v>
      </c>
      <c r="H34">
        <v>1395.5009766000001</v>
      </c>
      <c r="I34">
        <v>1257.8378906</v>
      </c>
      <c r="J34">
        <v>1221.6890868999999</v>
      </c>
      <c r="K34">
        <v>2200</v>
      </c>
      <c r="L34">
        <v>0</v>
      </c>
      <c r="M34">
        <v>0</v>
      </c>
      <c r="N34">
        <v>2200</v>
      </c>
    </row>
    <row r="35" spans="1:14" x14ac:dyDescent="0.25">
      <c r="A35">
        <v>0.41855100000000001</v>
      </c>
      <c r="B35" s="1">
        <f>DATE(2010,5,1) + TIME(10,2,42)</f>
        <v>40299.418541666666</v>
      </c>
      <c r="C35">
        <v>80</v>
      </c>
      <c r="D35">
        <v>38.292434692</v>
      </c>
      <c r="E35">
        <v>50</v>
      </c>
      <c r="F35">
        <v>14.993397713</v>
      </c>
      <c r="G35">
        <v>1417.3182373</v>
      </c>
      <c r="H35">
        <v>1395.3105469</v>
      </c>
      <c r="I35">
        <v>1257.8398437999999</v>
      </c>
      <c r="J35">
        <v>1221.6907959</v>
      </c>
      <c r="K35">
        <v>2200</v>
      </c>
      <c r="L35">
        <v>0</v>
      </c>
      <c r="M35">
        <v>0</v>
      </c>
      <c r="N35">
        <v>2200</v>
      </c>
    </row>
    <row r="36" spans="1:14" x14ac:dyDescent="0.25">
      <c r="A36">
        <v>0.44032500000000002</v>
      </c>
      <c r="B36" s="1">
        <f>DATE(2010,5,1) + TIME(10,34,4)</f>
        <v>40299.440324074072</v>
      </c>
      <c r="C36">
        <v>80</v>
      </c>
      <c r="D36">
        <v>39.271671294999997</v>
      </c>
      <c r="E36">
        <v>50</v>
      </c>
      <c r="F36">
        <v>14.993429184</v>
      </c>
      <c r="G36">
        <v>1416.7683105000001</v>
      </c>
      <c r="H36">
        <v>1395.1257324000001</v>
      </c>
      <c r="I36">
        <v>1257.8415527</v>
      </c>
      <c r="J36">
        <v>1221.6925048999999</v>
      </c>
      <c r="K36">
        <v>2200</v>
      </c>
      <c r="L36">
        <v>0</v>
      </c>
      <c r="M36">
        <v>0</v>
      </c>
      <c r="N36">
        <v>2200</v>
      </c>
    </row>
    <row r="37" spans="1:14" x14ac:dyDescent="0.25">
      <c r="A37">
        <v>0.462561</v>
      </c>
      <c r="B37" s="1">
        <f>DATE(2010,5,1) + TIME(11,6,5)</f>
        <v>40299.462557870371</v>
      </c>
      <c r="C37">
        <v>80</v>
      </c>
      <c r="D37">
        <v>40.250431061</v>
      </c>
      <c r="E37">
        <v>50</v>
      </c>
      <c r="F37">
        <v>14.993460655</v>
      </c>
      <c r="G37">
        <v>1416.2358397999999</v>
      </c>
      <c r="H37">
        <v>1394.9464111</v>
      </c>
      <c r="I37">
        <v>1257.8431396000001</v>
      </c>
      <c r="J37">
        <v>1221.6939697</v>
      </c>
      <c r="K37">
        <v>2200</v>
      </c>
      <c r="L37">
        <v>0</v>
      </c>
      <c r="M37">
        <v>0</v>
      </c>
      <c r="N37">
        <v>2200</v>
      </c>
    </row>
    <row r="38" spans="1:14" x14ac:dyDescent="0.25">
      <c r="A38">
        <v>0.48527900000000002</v>
      </c>
      <c r="B38" s="1">
        <f>DATE(2010,5,1) + TIME(11,38,48)</f>
        <v>40299.485277777778</v>
      </c>
      <c r="C38">
        <v>80</v>
      </c>
      <c r="D38">
        <v>41.228736877000003</v>
      </c>
      <c r="E38">
        <v>50</v>
      </c>
      <c r="F38">
        <v>14.99349308</v>
      </c>
      <c r="G38">
        <v>1415.7200928</v>
      </c>
      <c r="H38">
        <v>1394.7722168</v>
      </c>
      <c r="I38">
        <v>1257.8447266000001</v>
      </c>
      <c r="J38">
        <v>1221.6954346</v>
      </c>
      <c r="K38">
        <v>2200</v>
      </c>
      <c r="L38">
        <v>0</v>
      </c>
      <c r="M38">
        <v>0</v>
      </c>
      <c r="N38">
        <v>2200</v>
      </c>
    </row>
    <row r="39" spans="1:14" x14ac:dyDescent="0.25">
      <c r="A39">
        <v>0.50850099999999998</v>
      </c>
      <c r="B39" s="1">
        <f>DATE(2010,5,1) + TIME(12,12,14)</f>
        <v>40299.50849537037</v>
      </c>
      <c r="C39">
        <v>80</v>
      </c>
      <c r="D39">
        <v>42.206287383999999</v>
      </c>
      <c r="E39">
        <v>50</v>
      </c>
      <c r="F39">
        <v>14.993524551</v>
      </c>
      <c r="G39">
        <v>1415.2203368999999</v>
      </c>
      <c r="H39">
        <v>1394.6026611</v>
      </c>
      <c r="I39">
        <v>1257.8461914</v>
      </c>
      <c r="J39">
        <v>1221.6966553</v>
      </c>
      <c r="K39">
        <v>2200</v>
      </c>
      <c r="L39">
        <v>0</v>
      </c>
      <c r="M39">
        <v>0</v>
      </c>
      <c r="N39">
        <v>2200</v>
      </c>
    </row>
    <row r="40" spans="1:14" x14ac:dyDescent="0.25">
      <c r="A40">
        <v>0.53225699999999998</v>
      </c>
      <c r="B40" s="1">
        <f>DATE(2010,5,1) + TIME(12,46,26)</f>
        <v>40299.53224537037</v>
      </c>
      <c r="C40">
        <v>80</v>
      </c>
      <c r="D40">
        <v>43.183216094999999</v>
      </c>
      <c r="E40">
        <v>50</v>
      </c>
      <c r="F40">
        <v>14.993556023</v>
      </c>
      <c r="G40">
        <v>1414.7357178</v>
      </c>
      <c r="H40">
        <v>1394.4376221</v>
      </c>
      <c r="I40">
        <v>1257.8475341999999</v>
      </c>
      <c r="J40">
        <v>1221.697876</v>
      </c>
      <c r="K40">
        <v>2200</v>
      </c>
      <c r="L40">
        <v>0</v>
      </c>
      <c r="M40">
        <v>0</v>
      </c>
      <c r="N40">
        <v>2200</v>
      </c>
    </row>
    <row r="41" spans="1:14" x14ac:dyDescent="0.25">
      <c r="A41">
        <v>0.55657299999999998</v>
      </c>
      <c r="B41" s="1">
        <f>DATE(2010,5,1) + TIME(13,21,27)</f>
        <v>40299.556562500002</v>
      </c>
      <c r="C41">
        <v>80</v>
      </c>
      <c r="D41">
        <v>44.159488678000002</v>
      </c>
      <c r="E41">
        <v>50</v>
      </c>
      <c r="F41">
        <v>14.993588448000001</v>
      </c>
      <c r="G41">
        <v>1414.2655029</v>
      </c>
      <c r="H41">
        <v>1394.2767334</v>
      </c>
      <c r="I41">
        <v>1257.8487548999999</v>
      </c>
      <c r="J41">
        <v>1221.6990966999999</v>
      </c>
      <c r="K41">
        <v>2200</v>
      </c>
      <c r="L41">
        <v>0</v>
      </c>
      <c r="M41">
        <v>0</v>
      </c>
      <c r="N41">
        <v>2200</v>
      </c>
    </row>
    <row r="42" spans="1:14" x14ac:dyDescent="0.25">
      <c r="A42">
        <v>0.58148</v>
      </c>
      <c r="B42" s="1">
        <f>DATE(2010,5,1) + TIME(13,57,19)</f>
        <v>40299.581469907411</v>
      </c>
      <c r="C42">
        <v>80</v>
      </c>
      <c r="D42">
        <v>45.135074615000001</v>
      </c>
      <c r="E42">
        <v>50</v>
      </c>
      <c r="F42">
        <v>14.993619919</v>
      </c>
      <c r="G42">
        <v>1413.809082</v>
      </c>
      <c r="H42">
        <v>1394.119751</v>
      </c>
      <c r="I42">
        <v>1257.8499756000001</v>
      </c>
      <c r="J42">
        <v>1221.7000731999999</v>
      </c>
      <c r="K42">
        <v>2200</v>
      </c>
      <c r="L42">
        <v>0</v>
      </c>
      <c r="M42">
        <v>0</v>
      </c>
      <c r="N42">
        <v>2200</v>
      </c>
    </row>
    <row r="43" spans="1:14" x14ac:dyDescent="0.25">
      <c r="A43">
        <v>0.60701099999999997</v>
      </c>
      <c r="B43" s="1">
        <f>DATE(2010,5,1) + TIME(14,34,5)</f>
        <v>40299.607002314813</v>
      </c>
      <c r="C43">
        <v>80</v>
      </c>
      <c r="D43">
        <v>46.109928130999997</v>
      </c>
      <c r="E43">
        <v>50</v>
      </c>
      <c r="F43">
        <v>14.993652343999999</v>
      </c>
      <c r="G43">
        <v>1413.3657227000001</v>
      </c>
      <c r="H43">
        <v>1393.9663086</v>
      </c>
      <c r="I43">
        <v>1257.8511963000001</v>
      </c>
      <c r="J43">
        <v>1221.7011719</v>
      </c>
      <c r="K43">
        <v>2200</v>
      </c>
      <c r="L43">
        <v>0</v>
      </c>
      <c r="M43">
        <v>0</v>
      </c>
      <c r="N43">
        <v>2200</v>
      </c>
    </row>
    <row r="44" spans="1:14" x14ac:dyDescent="0.25">
      <c r="A44">
        <v>0.63319999999999999</v>
      </c>
      <c r="B44" s="1">
        <f>DATE(2010,5,1) + TIME(15,11,48)</f>
        <v>40299.633194444446</v>
      </c>
      <c r="C44">
        <v>80</v>
      </c>
      <c r="D44">
        <v>47.084011078000003</v>
      </c>
      <c r="E44">
        <v>50</v>
      </c>
      <c r="F44">
        <v>14.993684769</v>
      </c>
      <c r="G44">
        <v>1412.9349365</v>
      </c>
      <c r="H44">
        <v>1393.8162841999999</v>
      </c>
      <c r="I44">
        <v>1257.8522949000001</v>
      </c>
      <c r="J44">
        <v>1221.7020264</v>
      </c>
      <c r="K44">
        <v>2200</v>
      </c>
      <c r="L44">
        <v>0</v>
      </c>
      <c r="M44">
        <v>0</v>
      </c>
      <c r="N44">
        <v>2200</v>
      </c>
    </row>
    <row r="45" spans="1:14" x14ac:dyDescent="0.25">
      <c r="A45">
        <v>0.66008599999999995</v>
      </c>
      <c r="B45" s="1">
        <f>DATE(2010,5,1) + TIME(15,50,31)</f>
        <v>40299.660081018519</v>
      </c>
      <c r="C45">
        <v>80</v>
      </c>
      <c r="D45">
        <v>48.057281494000001</v>
      </c>
      <c r="E45">
        <v>50</v>
      </c>
      <c r="F45">
        <v>14.993717194</v>
      </c>
      <c r="G45">
        <v>1412.5158690999999</v>
      </c>
      <c r="H45">
        <v>1393.6694336</v>
      </c>
      <c r="I45">
        <v>1257.8532714999999</v>
      </c>
      <c r="J45">
        <v>1221.7030029</v>
      </c>
      <c r="K45">
        <v>2200</v>
      </c>
      <c r="L45">
        <v>0</v>
      </c>
      <c r="M45">
        <v>0</v>
      </c>
      <c r="N45">
        <v>2200</v>
      </c>
    </row>
    <row r="46" spans="1:14" x14ac:dyDescent="0.25">
      <c r="A46">
        <v>0.68771099999999996</v>
      </c>
      <c r="B46" s="1">
        <f>DATE(2010,5,1) + TIME(16,30,18)</f>
        <v>40299.687708333331</v>
      </c>
      <c r="C46">
        <v>80</v>
      </c>
      <c r="D46">
        <v>49.029685974000003</v>
      </c>
      <c r="E46">
        <v>50</v>
      </c>
      <c r="F46">
        <v>14.993749619000001</v>
      </c>
      <c r="G46">
        <v>1412.1081543</v>
      </c>
      <c r="H46">
        <v>1393.5252685999999</v>
      </c>
      <c r="I46">
        <v>1257.8543701000001</v>
      </c>
      <c r="J46">
        <v>1221.7038574000001</v>
      </c>
      <c r="K46">
        <v>2200</v>
      </c>
      <c r="L46">
        <v>0</v>
      </c>
      <c r="M46">
        <v>0</v>
      </c>
      <c r="N46">
        <v>2200</v>
      </c>
    </row>
    <row r="47" spans="1:14" x14ac:dyDescent="0.25">
      <c r="A47">
        <v>0.71611899999999995</v>
      </c>
      <c r="B47" s="1">
        <f>DATE(2010,5,1) + TIME(17,11,12)</f>
        <v>40299.716111111113</v>
      </c>
      <c r="C47">
        <v>80</v>
      </c>
      <c r="D47">
        <v>50.001178740999997</v>
      </c>
      <c r="E47">
        <v>50</v>
      </c>
      <c r="F47">
        <v>14.993782997</v>
      </c>
      <c r="G47">
        <v>1411.7110596</v>
      </c>
      <c r="H47">
        <v>1393.3836670000001</v>
      </c>
      <c r="I47">
        <v>1257.8553466999999</v>
      </c>
      <c r="J47">
        <v>1221.7047118999999</v>
      </c>
      <c r="K47">
        <v>2200</v>
      </c>
      <c r="L47">
        <v>0</v>
      </c>
      <c r="M47">
        <v>0</v>
      </c>
      <c r="N47">
        <v>2200</v>
      </c>
    </row>
    <row r="48" spans="1:14" x14ac:dyDescent="0.25">
      <c r="A48">
        <v>0.74536100000000005</v>
      </c>
      <c r="B48" s="1">
        <f>DATE(2010,5,1) + TIME(17,53,19)</f>
        <v>40299.745358796295</v>
      </c>
      <c r="C48">
        <v>80</v>
      </c>
      <c r="D48">
        <v>50.971237183</v>
      </c>
      <c r="E48">
        <v>50</v>
      </c>
      <c r="F48">
        <v>14.993815422000001</v>
      </c>
      <c r="G48">
        <v>1411.3240966999999</v>
      </c>
      <c r="H48">
        <v>1393.2443848</v>
      </c>
      <c r="I48">
        <v>1257.8563231999999</v>
      </c>
      <c r="J48">
        <v>1221.7054443</v>
      </c>
      <c r="K48">
        <v>2200</v>
      </c>
      <c r="L48">
        <v>0</v>
      </c>
      <c r="M48">
        <v>0</v>
      </c>
      <c r="N48">
        <v>2200</v>
      </c>
    </row>
    <row r="49" spans="1:14" x14ac:dyDescent="0.25">
      <c r="A49">
        <v>0.77550600000000003</v>
      </c>
      <c r="B49" s="1">
        <f>DATE(2010,5,1) + TIME(18,36,43)</f>
        <v>40299.775497685187</v>
      </c>
      <c r="C49">
        <v>80</v>
      </c>
      <c r="D49">
        <v>51.940685272000003</v>
      </c>
      <c r="E49">
        <v>50</v>
      </c>
      <c r="F49">
        <v>14.993848801</v>
      </c>
      <c r="G49">
        <v>1410.9466553</v>
      </c>
      <c r="H49">
        <v>1393.1070557</v>
      </c>
      <c r="I49">
        <v>1257.8571777</v>
      </c>
      <c r="J49">
        <v>1221.7061768000001</v>
      </c>
      <c r="K49">
        <v>2200</v>
      </c>
      <c r="L49">
        <v>0</v>
      </c>
      <c r="M49">
        <v>0</v>
      </c>
      <c r="N49">
        <v>2200</v>
      </c>
    </row>
    <row r="50" spans="1:14" x14ac:dyDescent="0.25">
      <c r="A50">
        <v>0.80659999999999998</v>
      </c>
      <c r="B50" s="1">
        <f>DATE(2010,5,1) + TIME(19,21,30)</f>
        <v>40299.806597222225</v>
      </c>
      <c r="C50">
        <v>80</v>
      </c>
      <c r="D50">
        <v>52.909027100000003</v>
      </c>
      <c r="E50">
        <v>50</v>
      </c>
      <c r="F50">
        <v>14.993883133000001</v>
      </c>
      <c r="G50">
        <v>1410.5783690999999</v>
      </c>
      <c r="H50">
        <v>1392.9715576000001</v>
      </c>
      <c r="I50">
        <v>1257.8580322</v>
      </c>
      <c r="J50">
        <v>1221.7069091999999</v>
      </c>
      <c r="K50">
        <v>2200</v>
      </c>
      <c r="L50">
        <v>0</v>
      </c>
      <c r="M50">
        <v>0</v>
      </c>
      <c r="N50">
        <v>2200</v>
      </c>
    </row>
    <row r="51" spans="1:14" x14ac:dyDescent="0.25">
      <c r="A51">
        <v>0.83871099999999998</v>
      </c>
      <c r="B51" s="1">
        <f>DATE(2010,5,1) + TIME(20,7,44)</f>
        <v>40299.838703703703</v>
      </c>
      <c r="C51">
        <v>80</v>
      </c>
      <c r="D51">
        <v>53.876186371000003</v>
      </c>
      <c r="E51">
        <v>50</v>
      </c>
      <c r="F51">
        <v>14.993916512</v>
      </c>
      <c r="G51">
        <v>1410.2185059000001</v>
      </c>
      <c r="H51">
        <v>1392.8375243999999</v>
      </c>
      <c r="I51">
        <v>1257.8590088000001</v>
      </c>
      <c r="J51">
        <v>1221.7075195</v>
      </c>
      <c r="K51">
        <v>2200</v>
      </c>
      <c r="L51">
        <v>0</v>
      </c>
      <c r="M51">
        <v>0</v>
      </c>
      <c r="N51">
        <v>2200</v>
      </c>
    </row>
    <row r="52" spans="1:14" x14ac:dyDescent="0.25">
      <c r="A52">
        <v>0.87191300000000005</v>
      </c>
      <c r="B52" s="1">
        <f>DATE(2010,5,1) + TIME(20,55,33)</f>
        <v>40299.87190972222</v>
      </c>
      <c r="C52">
        <v>80</v>
      </c>
      <c r="D52">
        <v>54.842075348000002</v>
      </c>
      <c r="E52">
        <v>50</v>
      </c>
      <c r="F52">
        <v>14.993950844</v>
      </c>
      <c r="G52">
        <v>1409.8666992000001</v>
      </c>
      <c r="H52">
        <v>1392.7047118999999</v>
      </c>
      <c r="I52">
        <v>1257.8598632999999</v>
      </c>
      <c r="J52">
        <v>1221.7082519999999</v>
      </c>
      <c r="K52">
        <v>2200</v>
      </c>
      <c r="L52">
        <v>0</v>
      </c>
      <c r="M52">
        <v>0</v>
      </c>
      <c r="N52">
        <v>2200</v>
      </c>
    </row>
    <row r="53" spans="1:14" x14ac:dyDescent="0.25">
      <c r="A53">
        <v>0.90628699999999995</v>
      </c>
      <c r="B53" s="1">
        <f>DATE(2010,5,1) + TIME(21,45,3)</f>
        <v>40299.906284722223</v>
      </c>
      <c r="C53">
        <v>80</v>
      </c>
      <c r="D53">
        <v>55.806598663000003</v>
      </c>
      <c r="E53">
        <v>50</v>
      </c>
      <c r="F53">
        <v>14.993985176000001</v>
      </c>
      <c r="G53">
        <v>1409.5224608999999</v>
      </c>
      <c r="H53">
        <v>1392.572876</v>
      </c>
      <c r="I53">
        <v>1257.8607178</v>
      </c>
      <c r="J53">
        <v>1221.7089844</v>
      </c>
      <c r="K53">
        <v>2200</v>
      </c>
      <c r="L53">
        <v>0</v>
      </c>
      <c r="M53">
        <v>0</v>
      </c>
      <c r="N53">
        <v>2200</v>
      </c>
    </row>
    <row r="54" spans="1:14" x14ac:dyDescent="0.25">
      <c r="A54">
        <v>0.94192500000000001</v>
      </c>
      <c r="B54" s="1">
        <f>DATE(2010,5,1) + TIME(22,36,22)</f>
        <v>40299.941921296297</v>
      </c>
      <c r="C54">
        <v>80</v>
      </c>
      <c r="D54">
        <v>56.769657135000003</v>
      </c>
      <c r="E54">
        <v>50</v>
      </c>
      <c r="F54">
        <v>14.994019507999999</v>
      </c>
      <c r="G54">
        <v>1409.1851807</v>
      </c>
      <c r="H54">
        <v>1392.4416504000001</v>
      </c>
      <c r="I54">
        <v>1257.8615723</v>
      </c>
      <c r="J54">
        <v>1221.7095947</v>
      </c>
      <c r="K54">
        <v>2200</v>
      </c>
      <c r="L54">
        <v>0</v>
      </c>
      <c r="M54">
        <v>0</v>
      </c>
      <c r="N54">
        <v>2200</v>
      </c>
    </row>
    <row r="55" spans="1:14" x14ac:dyDescent="0.25">
      <c r="A55">
        <v>0.97892999999999997</v>
      </c>
      <c r="B55" s="1">
        <f>DATE(2010,5,1) + TIME(23,29,39)</f>
        <v>40299.97892361111</v>
      </c>
      <c r="C55">
        <v>80</v>
      </c>
      <c r="D55">
        <v>57.731132506999998</v>
      </c>
      <c r="E55">
        <v>50</v>
      </c>
      <c r="F55">
        <v>14.994054794</v>
      </c>
      <c r="G55">
        <v>1408.8544922000001</v>
      </c>
      <c r="H55">
        <v>1392.3109131000001</v>
      </c>
      <c r="I55">
        <v>1257.8624268000001</v>
      </c>
      <c r="J55">
        <v>1221.7102050999999</v>
      </c>
      <c r="K55">
        <v>2200</v>
      </c>
      <c r="L55">
        <v>0</v>
      </c>
      <c r="M55">
        <v>0</v>
      </c>
      <c r="N55">
        <v>2200</v>
      </c>
    </row>
    <row r="56" spans="1:14" x14ac:dyDescent="0.25">
      <c r="A56">
        <v>1.0174190000000001</v>
      </c>
      <c r="B56" s="1">
        <f>DATE(2010,5,2) + TIME(0,25,4)</f>
        <v>40300.017407407409</v>
      </c>
      <c r="C56">
        <v>80</v>
      </c>
      <c r="D56">
        <v>58.690891266000001</v>
      </c>
      <c r="E56">
        <v>50</v>
      </c>
      <c r="F56">
        <v>14.994090079999999</v>
      </c>
      <c r="G56">
        <v>1408.5299072</v>
      </c>
      <c r="H56">
        <v>1392.1802978999999</v>
      </c>
      <c r="I56">
        <v>1257.8632812000001</v>
      </c>
      <c r="J56">
        <v>1221.7109375</v>
      </c>
      <c r="K56">
        <v>2200</v>
      </c>
      <c r="L56">
        <v>0</v>
      </c>
      <c r="M56">
        <v>0</v>
      </c>
      <c r="N56">
        <v>2200</v>
      </c>
    </row>
    <row r="57" spans="1:14" x14ac:dyDescent="0.25">
      <c r="A57">
        <v>1.05752</v>
      </c>
      <c r="B57" s="1">
        <f>DATE(2010,5,2) + TIME(1,22,49)</f>
        <v>40300.057511574072</v>
      </c>
      <c r="C57">
        <v>80</v>
      </c>
      <c r="D57">
        <v>59.648788451999998</v>
      </c>
      <c r="E57">
        <v>50</v>
      </c>
      <c r="F57">
        <v>14.994126319999999</v>
      </c>
      <c r="G57">
        <v>1408.2106934000001</v>
      </c>
      <c r="H57">
        <v>1392.0494385</v>
      </c>
      <c r="I57">
        <v>1257.8641356999999</v>
      </c>
      <c r="J57">
        <v>1221.7115478999999</v>
      </c>
      <c r="K57">
        <v>2200</v>
      </c>
      <c r="L57">
        <v>0</v>
      </c>
      <c r="M57">
        <v>0</v>
      </c>
      <c r="N57">
        <v>2200</v>
      </c>
    </row>
    <row r="58" spans="1:14" x14ac:dyDescent="0.25">
      <c r="A58">
        <v>1.0993850000000001</v>
      </c>
      <c r="B58" s="1">
        <f>DATE(2010,5,2) + TIME(2,23,6)</f>
        <v>40300.099374999998</v>
      </c>
      <c r="C58">
        <v>80</v>
      </c>
      <c r="D58">
        <v>60.604217529000003</v>
      </c>
      <c r="E58">
        <v>50</v>
      </c>
      <c r="F58">
        <v>14.994162559999999</v>
      </c>
      <c r="G58">
        <v>1407.8967285000001</v>
      </c>
      <c r="H58">
        <v>1391.9178466999999</v>
      </c>
      <c r="I58">
        <v>1257.8651123</v>
      </c>
      <c r="J58">
        <v>1221.7122803</v>
      </c>
      <c r="K58">
        <v>2200</v>
      </c>
      <c r="L58">
        <v>0</v>
      </c>
      <c r="M58">
        <v>0</v>
      </c>
      <c r="N58">
        <v>2200</v>
      </c>
    </row>
    <row r="59" spans="1:14" x14ac:dyDescent="0.25">
      <c r="A59">
        <v>1.1432020000000001</v>
      </c>
      <c r="B59" s="1">
        <f>DATE(2010,5,2) + TIME(3,26,12)</f>
        <v>40300.143194444441</v>
      </c>
      <c r="C59">
        <v>80</v>
      </c>
      <c r="D59">
        <v>61.557567595999998</v>
      </c>
      <c r="E59">
        <v>50</v>
      </c>
      <c r="F59">
        <v>14.994199753</v>
      </c>
      <c r="G59">
        <v>1407.5870361</v>
      </c>
      <c r="H59">
        <v>1391.7852783000001</v>
      </c>
      <c r="I59">
        <v>1257.8659668</v>
      </c>
      <c r="J59">
        <v>1221.7130127</v>
      </c>
      <c r="K59">
        <v>2200</v>
      </c>
      <c r="L59">
        <v>0</v>
      </c>
      <c r="M59">
        <v>0</v>
      </c>
      <c r="N59">
        <v>2200</v>
      </c>
    </row>
    <row r="60" spans="1:14" x14ac:dyDescent="0.25">
      <c r="A60">
        <v>1.1891640000000001</v>
      </c>
      <c r="B60" s="1">
        <f>DATE(2010,5,2) + TIME(4,32,23)</f>
        <v>40300.189155092594</v>
      </c>
      <c r="C60">
        <v>80</v>
      </c>
      <c r="D60">
        <v>62.508712768999999</v>
      </c>
      <c r="E60">
        <v>50</v>
      </c>
      <c r="F60">
        <v>14.994236945999999</v>
      </c>
      <c r="G60">
        <v>1407.2813721</v>
      </c>
      <c r="H60">
        <v>1391.6514893000001</v>
      </c>
      <c r="I60">
        <v>1257.8669434000001</v>
      </c>
      <c r="J60">
        <v>1221.7137451000001</v>
      </c>
      <c r="K60">
        <v>2200</v>
      </c>
      <c r="L60">
        <v>0</v>
      </c>
      <c r="M60">
        <v>0</v>
      </c>
      <c r="N60">
        <v>2200</v>
      </c>
    </row>
    <row r="61" spans="1:14" x14ac:dyDescent="0.25">
      <c r="A61">
        <v>1.2374860000000001</v>
      </c>
      <c r="B61" s="1">
        <f>DATE(2010,5,2) + TIME(5,41,58)</f>
        <v>40300.237476851849</v>
      </c>
      <c r="C61">
        <v>80</v>
      </c>
      <c r="D61">
        <v>63.457172393999997</v>
      </c>
      <c r="E61">
        <v>50</v>
      </c>
      <c r="F61">
        <v>14.994275093000001</v>
      </c>
      <c r="G61">
        <v>1406.979126</v>
      </c>
      <c r="H61">
        <v>1391.5158690999999</v>
      </c>
      <c r="I61">
        <v>1257.8680420000001</v>
      </c>
      <c r="J61">
        <v>1221.7144774999999</v>
      </c>
      <c r="K61">
        <v>2200</v>
      </c>
      <c r="L61">
        <v>0</v>
      </c>
      <c r="M61">
        <v>0</v>
      </c>
      <c r="N61">
        <v>2200</v>
      </c>
    </row>
    <row r="62" spans="1:14" x14ac:dyDescent="0.25">
      <c r="A62">
        <v>1.2884340000000001</v>
      </c>
      <c r="B62" s="1">
        <f>DATE(2010,5,2) + TIME(6,55,20)</f>
        <v>40300.288425925923</v>
      </c>
      <c r="C62">
        <v>80</v>
      </c>
      <c r="D62">
        <v>64.402656554999993</v>
      </c>
      <c r="E62">
        <v>50</v>
      </c>
      <c r="F62">
        <v>14.994314193999999</v>
      </c>
      <c r="G62">
        <v>1406.6795654</v>
      </c>
      <c r="H62">
        <v>1391.3780518000001</v>
      </c>
      <c r="I62">
        <v>1257.8690185999999</v>
      </c>
      <c r="J62">
        <v>1221.715332</v>
      </c>
      <c r="K62">
        <v>2200</v>
      </c>
      <c r="L62">
        <v>0</v>
      </c>
      <c r="M62">
        <v>0</v>
      </c>
      <c r="N62">
        <v>2200</v>
      </c>
    </row>
    <row r="63" spans="1:14" x14ac:dyDescent="0.25">
      <c r="A63">
        <v>1.34232</v>
      </c>
      <c r="B63" s="1">
        <f>DATE(2010,5,2) + TIME(8,12,56)</f>
        <v>40300.342314814814</v>
      </c>
      <c r="C63">
        <v>80</v>
      </c>
      <c r="D63">
        <v>65.344917296999995</v>
      </c>
      <c r="E63">
        <v>50</v>
      </c>
      <c r="F63">
        <v>14.994353294</v>
      </c>
      <c r="G63">
        <v>1406.3822021000001</v>
      </c>
      <c r="H63">
        <v>1391.2373047000001</v>
      </c>
      <c r="I63">
        <v>1257.8701172000001</v>
      </c>
      <c r="J63">
        <v>1221.7161865</v>
      </c>
      <c r="K63">
        <v>2200</v>
      </c>
      <c r="L63">
        <v>0</v>
      </c>
      <c r="M63">
        <v>0</v>
      </c>
      <c r="N63">
        <v>2200</v>
      </c>
    </row>
    <row r="64" spans="1:14" x14ac:dyDescent="0.25">
      <c r="A64">
        <v>1.399508</v>
      </c>
      <c r="B64" s="1">
        <f>DATE(2010,5,2) + TIME(9,35,17)</f>
        <v>40300.399502314816</v>
      </c>
      <c r="C64">
        <v>80</v>
      </c>
      <c r="D64">
        <v>66.283554077000005</v>
      </c>
      <c r="E64">
        <v>50</v>
      </c>
      <c r="F64">
        <v>14.994394302</v>
      </c>
      <c r="G64">
        <v>1406.0863036999999</v>
      </c>
      <c r="H64">
        <v>1391.0932617000001</v>
      </c>
      <c r="I64">
        <v>1257.8713379000001</v>
      </c>
      <c r="J64">
        <v>1221.7171631000001</v>
      </c>
      <c r="K64">
        <v>2200</v>
      </c>
      <c r="L64">
        <v>0</v>
      </c>
      <c r="M64">
        <v>0</v>
      </c>
      <c r="N64">
        <v>2200</v>
      </c>
    </row>
    <row r="65" spans="1:14" x14ac:dyDescent="0.25">
      <c r="A65">
        <v>1.4604349999999999</v>
      </c>
      <c r="B65" s="1">
        <f>DATE(2010,5,2) + TIME(11,3,1)</f>
        <v>40300.460428240738</v>
      </c>
      <c r="C65">
        <v>80</v>
      </c>
      <c r="D65">
        <v>67.217895507999998</v>
      </c>
      <c r="E65">
        <v>50</v>
      </c>
      <c r="F65">
        <v>14.99443531</v>
      </c>
      <c r="G65">
        <v>1405.7911377</v>
      </c>
      <c r="H65">
        <v>1390.9450684000001</v>
      </c>
      <c r="I65">
        <v>1257.8725586</v>
      </c>
      <c r="J65">
        <v>1221.7181396000001</v>
      </c>
      <c r="K65">
        <v>2200</v>
      </c>
      <c r="L65">
        <v>0</v>
      </c>
      <c r="M65">
        <v>0</v>
      </c>
      <c r="N65">
        <v>2200</v>
      </c>
    </row>
    <row r="66" spans="1:14" x14ac:dyDescent="0.25">
      <c r="A66">
        <v>1.49092</v>
      </c>
      <c r="B66" s="1">
        <f>DATE(2010,5,2) + TIME(11,46,55)</f>
        <v>40300.490914351853</v>
      </c>
      <c r="C66">
        <v>80</v>
      </c>
      <c r="D66">
        <v>67.670318604000002</v>
      </c>
      <c r="E66">
        <v>50</v>
      </c>
      <c r="F66">
        <v>14.994456291000001</v>
      </c>
      <c r="G66">
        <v>1405.6306152</v>
      </c>
      <c r="H66">
        <v>1390.8287353999999</v>
      </c>
      <c r="I66">
        <v>1257.8736572</v>
      </c>
      <c r="J66">
        <v>1221.7189940999999</v>
      </c>
      <c r="K66">
        <v>2200</v>
      </c>
      <c r="L66">
        <v>0</v>
      </c>
      <c r="M66">
        <v>0</v>
      </c>
      <c r="N66">
        <v>2200</v>
      </c>
    </row>
    <row r="67" spans="1:14" x14ac:dyDescent="0.25">
      <c r="A67">
        <v>1.5214049999999999</v>
      </c>
      <c r="B67" s="1">
        <f>DATE(2010,5,2) + TIME(12,30,49)</f>
        <v>40300.52140046296</v>
      </c>
      <c r="C67">
        <v>80</v>
      </c>
      <c r="D67">
        <v>68.107246399000005</v>
      </c>
      <c r="E67">
        <v>50</v>
      </c>
      <c r="F67">
        <v>14.994476318</v>
      </c>
      <c r="G67">
        <v>1405.4903564000001</v>
      </c>
      <c r="H67">
        <v>1390.7547606999999</v>
      </c>
      <c r="I67">
        <v>1257.8745117000001</v>
      </c>
      <c r="J67">
        <v>1221.7197266000001</v>
      </c>
      <c r="K67">
        <v>2200</v>
      </c>
      <c r="L67">
        <v>0</v>
      </c>
      <c r="M67">
        <v>0</v>
      </c>
      <c r="N67">
        <v>2200</v>
      </c>
    </row>
    <row r="68" spans="1:14" x14ac:dyDescent="0.25">
      <c r="A68">
        <v>1.5518909999999999</v>
      </c>
      <c r="B68" s="1">
        <f>DATE(2010,5,2) + TIME(13,14,43)</f>
        <v>40300.551886574074</v>
      </c>
      <c r="C68">
        <v>80</v>
      </c>
      <c r="D68">
        <v>68.529167174999998</v>
      </c>
      <c r="E68">
        <v>50</v>
      </c>
      <c r="F68">
        <v>14.994496346</v>
      </c>
      <c r="G68">
        <v>1405.3549805</v>
      </c>
      <c r="H68">
        <v>1390.682251</v>
      </c>
      <c r="I68">
        <v>1257.8752440999999</v>
      </c>
      <c r="J68">
        <v>1221.7203368999999</v>
      </c>
      <c r="K68">
        <v>2200</v>
      </c>
      <c r="L68">
        <v>0</v>
      </c>
      <c r="M68">
        <v>0</v>
      </c>
      <c r="N68">
        <v>2200</v>
      </c>
    </row>
    <row r="69" spans="1:14" x14ac:dyDescent="0.25">
      <c r="A69">
        <v>1.582376</v>
      </c>
      <c r="B69" s="1">
        <f>DATE(2010,5,2) + TIME(13,58,37)</f>
        <v>40300.582372685189</v>
      </c>
      <c r="C69">
        <v>80</v>
      </c>
      <c r="D69">
        <v>68.936553954999994</v>
      </c>
      <c r="E69">
        <v>50</v>
      </c>
      <c r="F69">
        <v>14.994515419000001</v>
      </c>
      <c r="G69">
        <v>1405.2236327999999</v>
      </c>
      <c r="H69">
        <v>1390.6108397999999</v>
      </c>
      <c r="I69">
        <v>1257.8759766000001</v>
      </c>
      <c r="J69">
        <v>1221.7208252</v>
      </c>
      <c r="K69">
        <v>2200</v>
      </c>
      <c r="L69">
        <v>0</v>
      </c>
      <c r="M69">
        <v>0</v>
      </c>
      <c r="N69">
        <v>2200</v>
      </c>
    </row>
    <row r="70" spans="1:14" x14ac:dyDescent="0.25">
      <c r="A70">
        <v>1.643346</v>
      </c>
      <c r="B70" s="1">
        <f>DATE(2010,5,2) + TIME(15,26,25)</f>
        <v>40300.64334490741</v>
      </c>
      <c r="C70">
        <v>80</v>
      </c>
      <c r="D70">
        <v>69.695625304999993</v>
      </c>
      <c r="E70">
        <v>50</v>
      </c>
      <c r="F70">
        <v>14.994552612</v>
      </c>
      <c r="G70">
        <v>1404.9964600000001</v>
      </c>
      <c r="H70">
        <v>1390.5150146000001</v>
      </c>
      <c r="I70">
        <v>1257.8767089999999</v>
      </c>
      <c r="J70">
        <v>1221.7215576000001</v>
      </c>
      <c r="K70">
        <v>2200</v>
      </c>
      <c r="L70">
        <v>0</v>
      </c>
      <c r="M70">
        <v>0</v>
      </c>
      <c r="N70">
        <v>2200</v>
      </c>
    </row>
    <row r="71" spans="1:14" x14ac:dyDescent="0.25">
      <c r="A71">
        <v>1.7043729999999999</v>
      </c>
      <c r="B71" s="1">
        <f>DATE(2010,5,2) + TIME(16,54,17)</f>
        <v>40300.704363425924</v>
      </c>
      <c r="C71">
        <v>80</v>
      </c>
      <c r="D71">
        <v>70.404129028</v>
      </c>
      <c r="E71">
        <v>50</v>
      </c>
      <c r="F71">
        <v>14.994587898000001</v>
      </c>
      <c r="G71">
        <v>1404.7607422000001</v>
      </c>
      <c r="H71">
        <v>1390.3781738</v>
      </c>
      <c r="I71">
        <v>1257.8779297000001</v>
      </c>
      <c r="J71">
        <v>1221.7225341999999</v>
      </c>
      <c r="K71">
        <v>2200</v>
      </c>
      <c r="L71">
        <v>0</v>
      </c>
      <c r="M71">
        <v>0</v>
      </c>
      <c r="N71">
        <v>2200</v>
      </c>
    </row>
    <row r="72" spans="1:14" x14ac:dyDescent="0.25">
      <c r="A72">
        <v>1.765673</v>
      </c>
      <c r="B72" s="1">
        <f>DATE(2010,5,2) + TIME(18,22,34)</f>
        <v>40300.7656712963</v>
      </c>
      <c r="C72">
        <v>80</v>
      </c>
      <c r="D72">
        <v>71.067382812000005</v>
      </c>
      <c r="E72">
        <v>50</v>
      </c>
      <c r="F72">
        <v>14.994622230999999</v>
      </c>
      <c r="G72">
        <v>1404.5355225000001</v>
      </c>
      <c r="H72">
        <v>1390.2437743999999</v>
      </c>
      <c r="I72">
        <v>1257.8792725000001</v>
      </c>
      <c r="J72">
        <v>1221.7236327999999</v>
      </c>
      <c r="K72">
        <v>2200</v>
      </c>
      <c r="L72">
        <v>0</v>
      </c>
      <c r="M72">
        <v>0</v>
      </c>
      <c r="N72">
        <v>2200</v>
      </c>
    </row>
    <row r="73" spans="1:14" x14ac:dyDescent="0.25">
      <c r="A73">
        <v>1.8273360000000001</v>
      </c>
      <c r="B73" s="1">
        <f>DATE(2010,5,2) + TIME(19,51,21)</f>
        <v>40300.827326388891</v>
      </c>
      <c r="C73">
        <v>80</v>
      </c>
      <c r="D73">
        <v>71.688888550000001</v>
      </c>
      <c r="E73">
        <v>50</v>
      </c>
      <c r="F73">
        <v>14.994656562999999</v>
      </c>
      <c r="G73">
        <v>1404.3197021000001</v>
      </c>
      <c r="H73">
        <v>1390.1115723</v>
      </c>
      <c r="I73">
        <v>1257.8806152</v>
      </c>
      <c r="J73">
        <v>1221.7247314000001</v>
      </c>
      <c r="K73">
        <v>2200</v>
      </c>
      <c r="L73">
        <v>0</v>
      </c>
      <c r="M73">
        <v>0</v>
      </c>
      <c r="N73">
        <v>2200</v>
      </c>
    </row>
    <row r="74" spans="1:14" x14ac:dyDescent="0.25">
      <c r="A74">
        <v>1.889454</v>
      </c>
      <c r="B74" s="1">
        <f>DATE(2010,5,2) + TIME(21,20,48)</f>
        <v>40300.889444444445</v>
      </c>
      <c r="C74">
        <v>80</v>
      </c>
      <c r="D74">
        <v>72.271652222</v>
      </c>
      <c r="E74">
        <v>50</v>
      </c>
      <c r="F74">
        <v>14.994688988</v>
      </c>
      <c r="G74">
        <v>1404.1125488</v>
      </c>
      <c r="H74">
        <v>1389.9810791</v>
      </c>
      <c r="I74">
        <v>1257.8818358999999</v>
      </c>
      <c r="J74">
        <v>1221.7258300999999</v>
      </c>
      <c r="K74">
        <v>2200</v>
      </c>
      <c r="L74">
        <v>0</v>
      </c>
      <c r="M74">
        <v>0</v>
      </c>
      <c r="N74">
        <v>2200</v>
      </c>
    </row>
    <row r="75" spans="1:14" x14ac:dyDescent="0.25">
      <c r="A75">
        <v>1.952116</v>
      </c>
      <c r="B75" s="1">
        <f>DATE(2010,5,2) + TIME(22,51,2)</f>
        <v>40300.952106481483</v>
      </c>
      <c r="C75">
        <v>80</v>
      </c>
      <c r="D75">
        <v>72.818328856999997</v>
      </c>
      <c r="E75">
        <v>50</v>
      </c>
      <c r="F75">
        <v>14.994720459</v>
      </c>
      <c r="G75">
        <v>1403.9128418</v>
      </c>
      <c r="H75">
        <v>1389.8521728999999</v>
      </c>
      <c r="I75">
        <v>1257.8831786999999</v>
      </c>
      <c r="J75">
        <v>1221.7270507999999</v>
      </c>
      <c r="K75">
        <v>2200</v>
      </c>
      <c r="L75">
        <v>0</v>
      </c>
      <c r="M75">
        <v>0</v>
      </c>
      <c r="N75">
        <v>2200</v>
      </c>
    </row>
    <row r="76" spans="1:14" x14ac:dyDescent="0.25">
      <c r="A76">
        <v>2.0154130000000001</v>
      </c>
      <c r="B76" s="1">
        <f>DATE(2010,5,3) + TIME(0,22,11)</f>
        <v>40301.015405092592</v>
      </c>
      <c r="C76">
        <v>80</v>
      </c>
      <c r="D76">
        <v>73.331336974999999</v>
      </c>
      <c r="E76">
        <v>50</v>
      </c>
      <c r="F76">
        <v>14.99475193</v>
      </c>
      <c r="G76">
        <v>1403.7199707</v>
      </c>
      <c r="H76">
        <v>1389.7246094</v>
      </c>
      <c r="I76">
        <v>1257.8845214999999</v>
      </c>
      <c r="J76">
        <v>1221.7281493999999</v>
      </c>
      <c r="K76">
        <v>2200</v>
      </c>
      <c r="L76">
        <v>0</v>
      </c>
      <c r="M76">
        <v>0</v>
      </c>
      <c r="N76">
        <v>2200</v>
      </c>
    </row>
    <row r="77" spans="1:14" x14ac:dyDescent="0.25">
      <c r="A77">
        <v>2.0794280000000001</v>
      </c>
      <c r="B77" s="1">
        <f>DATE(2010,5,3) + TIME(1,54,22)</f>
        <v>40301.079421296294</v>
      </c>
      <c r="C77">
        <v>80</v>
      </c>
      <c r="D77">
        <v>73.812805175999998</v>
      </c>
      <c r="E77">
        <v>50</v>
      </c>
      <c r="F77">
        <v>14.994782448</v>
      </c>
      <c r="G77">
        <v>1403.5330810999999</v>
      </c>
      <c r="H77">
        <v>1389.5979004000001</v>
      </c>
      <c r="I77">
        <v>1257.8858643000001</v>
      </c>
      <c r="J77">
        <v>1221.7292480000001</v>
      </c>
      <c r="K77">
        <v>2200</v>
      </c>
      <c r="L77">
        <v>0</v>
      </c>
      <c r="M77">
        <v>0</v>
      </c>
      <c r="N77">
        <v>2200</v>
      </c>
    </row>
    <row r="78" spans="1:14" x14ac:dyDescent="0.25">
      <c r="A78">
        <v>2.1442489999999998</v>
      </c>
      <c r="B78" s="1">
        <f>DATE(2010,5,3) + TIME(3,27,43)</f>
        <v>40301.144247685188</v>
      </c>
      <c r="C78">
        <v>80</v>
      </c>
      <c r="D78">
        <v>74.264694214000002</v>
      </c>
      <c r="E78">
        <v>50</v>
      </c>
      <c r="F78">
        <v>14.994812012000001</v>
      </c>
      <c r="G78">
        <v>1403.3515625</v>
      </c>
      <c r="H78">
        <v>1389.4719238</v>
      </c>
      <c r="I78">
        <v>1257.887207</v>
      </c>
      <c r="J78">
        <v>1221.7304687999999</v>
      </c>
      <c r="K78">
        <v>2200</v>
      </c>
      <c r="L78">
        <v>0</v>
      </c>
      <c r="M78">
        <v>0</v>
      </c>
      <c r="N78">
        <v>2200</v>
      </c>
    </row>
    <row r="79" spans="1:14" x14ac:dyDescent="0.25">
      <c r="A79">
        <v>2.209978</v>
      </c>
      <c r="B79" s="1">
        <f>DATE(2010,5,3) + TIME(5,2,22)</f>
        <v>40301.209976851853</v>
      </c>
      <c r="C79">
        <v>80</v>
      </c>
      <c r="D79">
        <v>74.688880920000003</v>
      </c>
      <c r="E79">
        <v>50</v>
      </c>
      <c r="F79">
        <v>14.994841576000001</v>
      </c>
      <c r="G79">
        <v>1403.1746826000001</v>
      </c>
      <c r="H79">
        <v>1389.3465576000001</v>
      </c>
      <c r="I79">
        <v>1257.8885498</v>
      </c>
      <c r="J79">
        <v>1221.7316894999999</v>
      </c>
      <c r="K79">
        <v>2200</v>
      </c>
      <c r="L79">
        <v>0</v>
      </c>
      <c r="M79">
        <v>0</v>
      </c>
      <c r="N79">
        <v>2200</v>
      </c>
    </row>
    <row r="80" spans="1:14" x14ac:dyDescent="0.25">
      <c r="A80">
        <v>2.2767089999999999</v>
      </c>
      <c r="B80" s="1">
        <f>DATE(2010,5,3) + TIME(6,38,27)</f>
        <v>40301.276701388888</v>
      </c>
      <c r="C80">
        <v>80</v>
      </c>
      <c r="D80">
        <v>75.086936950999998</v>
      </c>
      <c r="E80">
        <v>50</v>
      </c>
      <c r="F80">
        <v>14.994870186</v>
      </c>
      <c r="G80">
        <v>1403.0020752</v>
      </c>
      <c r="H80">
        <v>1389.2214355000001</v>
      </c>
      <c r="I80">
        <v>1257.8898925999999</v>
      </c>
      <c r="J80">
        <v>1221.7327881000001</v>
      </c>
      <c r="K80">
        <v>2200</v>
      </c>
      <c r="L80">
        <v>0</v>
      </c>
      <c r="M80">
        <v>0</v>
      </c>
      <c r="N80">
        <v>2200</v>
      </c>
    </row>
    <row r="81" spans="1:14" x14ac:dyDescent="0.25">
      <c r="A81">
        <v>2.3445429999999998</v>
      </c>
      <c r="B81" s="1">
        <f>DATE(2010,5,3) + TIME(8,16,8)</f>
        <v>40301.344537037039</v>
      </c>
      <c r="C81">
        <v>80</v>
      </c>
      <c r="D81">
        <v>75.460220336999996</v>
      </c>
      <c r="E81">
        <v>50</v>
      </c>
      <c r="F81">
        <v>14.994897842</v>
      </c>
      <c r="G81">
        <v>1402.8331298999999</v>
      </c>
      <c r="H81">
        <v>1389.0965576000001</v>
      </c>
      <c r="I81">
        <v>1257.8912353999999</v>
      </c>
      <c r="J81">
        <v>1221.7340088000001</v>
      </c>
      <c r="K81">
        <v>2200</v>
      </c>
      <c r="L81">
        <v>0</v>
      </c>
      <c r="M81">
        <v>0</v>
      </c>
      <c r="N81">
        <v>2200</v>
      </c>
    </row>
    <row r="82" spans="1:14" x14ac:dyDescent="0.25">
      <c r="A82">
        <v>2.4135840000000002</v>
      </c>
      <c r="B82" s="1">
        <f>DATE(2010,5,3) + TIME(9,55,33)</f>
        <v>40301.413576388892</v>
      </c>
      <c r="C82">
        <v>80</v>
      </c>
      <c r="D82">
        <v>75.810340881000002</v>
      </c>
      <c r="E82">
        <v>50</v>
      </c>
      <c r="F82">
        <v>14.994925499000001</v>
      </c>
      <c r="G82">
        <v>1402.6676024999999</v>
      </c>
      <c r="H82">
        <v>1388.9715576000001</v>
      </c>
      <c r="I82">
        <v>1257.8925781</v>
      </c>
      <c r="J82">
        <v>1221.7352295000001</v>
      </c>
      <c r="K82">
        <v>2200</v>
      </c>
      <c r="L82">
        <v>0</v>
      </c>
      <c r="M82">
        <v>0</v>
      </c>
      <c r="N82">
        <v>2200</v>
      </c>
    </row>
    <row r="83" spans="1:14" x14ac:dyDescent="0.25">
      <c r="A83">
        <v>2.48394</v>
      </c>
      <c r="B83" s="1">
        <f>DATE(2010,5,3) + TIME(11,36,52)</f>
        <v>40301.483935185184</v>
      </c>
      <c r="C83">
        <v>80</v>
      </c>
      <c r="D83">
        <v>76.138595581000004</v>
      </c>
      <c r="E83">
        <v>50</v>
      </c>
      <c r="F83">
        <v>14.994953155999999</v>
      </c>
      <c r="G83">
        <v>1402.5047606999999</v>
      </c>
      <c r="H83">
        <v>1388.8463135</v>
      </c>
      <c r="I83">
        <v>1257.8939209</v>
      </c>
      <c r="J83">
        <v>1221.7364502</v>
      </c>
      <c r="K83">
        <v>2200</v>
      </c>
      <c r="L83">
        <v>0</v>
      </c>
      <c r="M83">
        <v>0</v>
      </c>
      <c r="N83">
        <v>2200</v>
      </c>
    </row>
    <row r="84" spans="1:14" x14ac:dyDescent="0.25">
      <c r="A84">
        <v>2.5557280000000002</v>
      </c>
      <c r="B84" s="1">
        <f>DATE(2010,5,3) + TIME(13,20,14)</f>
        <v>40301.555717592593</v>
      </c>
      <c r="C84">
        <v>80</v>
      </c>
      <c r="D84">
        <v>76.446166992000002</v>
      </c>
      <c r="E84">
        <v>50</v>
      </c>
      <c r="F84">
        <v>14.994980812</v>
      </c>
      <c r="G84">
        <v>1402.3444824000001</v>
      </c>
      <c r="H84">
        <v>1388.7207031</v>
      </c>
      <c r="I84">
        <v>1257.8953856999999</v>
      </c>
      <c r="J84">
        <v>1221.737793</v>
      </c>
      <c r="K84">
        <v>2200</v>
      </c>
      <c r="L84">
        <v>0</v>
      </c>
      <c r="M84">
        <v>0</v>
      </c>
      <c r="N84">
        <v>2200</v>
      </c>
    </row>
    <row r="85" spans="1:14" x14ac:dyDescent="0.25">
      <c r="A85">
        <v>2.6290710000000002</v>
      </c>
      <c r="B85" s="1">
        <f>DATE(2010,5,3) + TIME(15,5,51)</f>
        <v>40301.629062499997</v>
      </c>
      <c r="C85">
        <v>80</v>
      </c>
      <c r="D85">
        <v>76.734184264999996</v>
      </c>
      <c r="E85">
        <v>50</v>
      </c>
      <c r="F85">
        <v>14.995007514999999</v>
      </c>
      <c r="G85">
        <v>1402.1862793</v>
      </c>
      <c r="H85">
        <v>1388.5947266000001</v>
      </c>
      <c r="I85">
        <v>1257.8967285000001</v>
      </c>
      <c r="J85">
        <v>1221.7390137</v>
      </c>
      <c r="K85">
        <v>2200</v>
      </c>
      <c r="L85">
        <v>0</v>
      </c>
      <c r="M85">
        <v>0</v>
      </c>
      <c r="N85">
        <v>2200</v>
      </c>
    </row>
    <row r="86" spans="1:14" x14ac:dyDescent="0.25">
      <c r="A86">
        <v>2.7041019999999998</v>
      </c>
      <c r="B86" s="1">
        <f>DATE(2010,5,3) + TIME(16,53,54)</f>
        <v>40301.704097222224</v>
      </c>
      <c r="C86">
        <v>80</v>
      </c>
      <c r="D86">
        <v>77.003662109000004</v>
      </c>
      <c r="E86">
        <v>50</v>
      </c>
      <c r="F86">
        <v>14.995033264</v>
      </c>
      <c r="G86">
        <v>1402.0297852000001</v>
      </c>
      <c r="H86">
        <v>1388.4678954999999</v>
      </c>
      <c r="I86">
        <v>1257.8981934000001</v>
      </c>
      <c r="J86">
        <v>1221.7403564000001</v>
      </c>
      <c r="K86">
        <v>2200</v>
      </c>
      <c r="L86">
        <v>0</v>
      </c>
      <c r="M86">
        <v>0</v>
      </c>
      <c r="N86">
        <v>2200</v>
      </c>
    </row>
    <row r="87" spans="1:14" x14ac:dyDescent="0.25">
      <c r="A87">
        <v>2.7809720000000002</v>
      </c>
      <c r="B87" s="1">
        <f>DATE(2010,5,3) + TIME(18,44,35)</f>
        <v>40301.780960648146</v>
      </c>
      <c r="C87">
        <v>80</v>
      </c>
      <c r="D87">
        <v>77.255607604999994</v>
      </c>
      <c r="E87">
        <v>50</v>
      </c>
      <c r="F87">
        <v>14.995059967</v>
      </c>
      <c r="G87">
        <v>1401.8748779</v>
      </c>
      <c r="H87">
        <v>1388.340332</v>
      </c>
      <c r="I87">
        <v>1257.8995361</v>
      </c>
      <c r="J87">
        <v>1221.7415771000001</v>
      </c>
      <c r="K87">
        <v>2200</v>
      </c>
      <c r="L87">
        <v>0</v>
      </c>
      <c r="M87">
        <v>0</v>
      </c>
      <c r="N87">
        <v>2200</v>
      </c>
    </row>
    <row r="88" spans="1:14" x14ac:dyDescent="0.25">
      <c r="A88">
        <v>2.8598539999999999</v>
      </c>
      <c r="B88" s="1">
        <f>DATE(2010,5,3) + TIME(20,38,11)</f>
        <v>40301.859849537039</v>
      </c>
      <c r="C88">
        <v>80</v>
      </c>
      <c r="D88">
        <v>77.490966796999999</v>
      </c>
      <c r="E88">
        <v>50</v>
      </c>
      <c r="F88">
        <v>14.995086669999999</v>
      </c>
      <c r="G88">
        <v>1401.7210693</v>
      </c>
      <c r="H88">
        <v>1388.2117920000001</v>
      </c>
      <c r="I88">
        <v>1257.901001</v>
      </c>
      <c r="J88">
        <v>1221.7429199000001</v>
      </c>
      <c r="K88">
        <v>2200</v>
      </c>
      <c r="L88">
        <v>0</v>
      </c>
      <c r="M88">
        <v>0</v>
      </c>
      <c r="N88">
        <v>2200</v>
      </c>
    </row>
    <row r="89" spans="1:14" x14ac:dyDescent="0.25">
      <c r="A89">
        <v>2.9408889999999999</v>
      </c>
      <c r="B89" s="1">
        <f>DATE(2010,5,3) + TIME(22,34,52)</f>
        <v>40301.940879629627</v>
      </c>
      <c r="C89">
        <v>80</v>
      </c>
      <c r="D89">
        <v>77.710510253999999</v>
      </c>
      <c r="E89">
        <v>50</v>
      </c>
      <c r="F89">
        <v>14.995112419</v>
      </c>
      <c r="G89">
        <v>1401.5679932</v>
      </c>
      <c r="H89">
        <v>1388.0820312000001</v>
      </c>
      <c r="I89">
        <v>1257.9024658000001</v>
      </c>
      <c r="J89">
        <v>1221.7442627</v>
      </c>
      <c r="K89">
        <v>2200</v>
      </c>
      <c r="L89">
        <v>0</v>
      </c>
      <c r="M89">
        <v>0</v>
      </c>
      <c r="N89">
        <v>2200</v>
      </c>
    </row>
    <row r="90" spans="1:14" x14ac:dyDescent="0.25">
      <c r="A90">
        <v>3.0242629999999999</v>
      </c>
      <c r="B90" s="1">
        <f>DATE(2010,5,4) + TIME(0,34,56)</f>
        <v>40302.024259259262</v>
      </c>
      <c r="C90">
        <v>80</v>
      </c>
      <c r="D90">
        <v>77.915031432999996</v>
      </c>
      <c r="E90">
        <v>50</v>
      </c>
      <c r="F90">
        <v>14.995138168</v>
      </c>
      <c r="G90">
        <v>1401.4155272999999</v>
      </c>
      <c r="H90">
        <v>1387.9510498</v>
      </c>
      <c r="I90">
        <v>1257.9039307</v>
      </c>
      <c r="J90">
        <v>1221.7456055</v>
      </c>
      <c r="K90">
        <v>2200</v>
      </c>
      <c r="L90">
        <v>0</v>
      </c>
      <c r="M90">
        <v>0</v>
      </c>
      <c r="N90">
        <v>2200</v>
      </c>
    </row>
    <row r="91" spans="1:14" x14ac:dyDescent="0.25">
      <c r="A91">
        <v>3.1101760000000001</v>
      </c>
      <c r="B91" s="1">
        <f>DATE(2010,5,4) + TIME(2,38,39)</f>
        <v>40302.110173611109</v>
      </c>
      <c r="C91">
        <v>80</v>
      </c>
      <c r="D91">
        <v>78.105293274000005</v>
      </c>
      <c r="E91">
        <v>50</v>
      </c>
      <c r="F91">
        <v>14.995163917999999</v>
      </c>
      <c r="G91">
        <v>1401.2634277</v>
      </c>
      <c r="H91">
        <v>1387.8184814000001</v>
      </c>
      <c r="I91">
        <v>1257.9055175999999</v>
      </c>
      <c r="J91">
        <v>1221.7470702999999</v>
      </c>
      <c r="K91">
        <v>2200</v>
      </c>
      <c r="L91">
        <v>0</v>
      </c>
      <c r="M91">
        <v>0</v>
      </c>
      <c r="N91">
        <v>2200</v>
      </c>
    </row>
    <row r="92" spans="1:14" x14ac:dyDescent="0.25">
      <c r="A92">
        <v>3.1988509999999999</v>
      </c>
      <c r="B92" s="1">
        <f>DATE(2010,5,4) + TIME(4,46,20)</f>
        <v>40302.198842592596</v>
      </c>
      <c r="C92">
        <v>80</v>
      </c>
      <c r="D92">
        <v>78.282005310000002</v>
      </c>
      <c r="E92">
        <v>50</v>
      </c>
      <c r="F92">
        <v>14.995189667</v>
      </c>
      <c r="G92">
        <v>1401.1113281</v>
      </c>
      <c r="H92">
        <v>1387.6844481999999</v>
      </c>
      <c r="I92">
        <v>1257.9069824000001</v>
      </c>
      <c r="J92">
        <v>1221.7485352000001</v>
      </c>
      <c r="K92">
        <v>2200</v>
      </c>
      <c r="L92">
        <v>0</v>
      </c>
      <c r="M92">
        <v>0</v>
      </c>
      <c r="N92">
        <v>2200</v>
      </c>
    </row>
    <row r="93" spans="1:14" x14ac:dyDescent="0.25">
      <c r="A93">
        <v>3.2905329999999999</v>
      </c>
      <c r="B93" s="1">
        <f>DATE(2010,5,4) + TIME(6,58,22)</f>
        <v>40302.290532407409</v>
      </c>
      <c r="C93">
        <v>80</v>
      </c>
      <c r="D93">
        <v>78.445854186999995</v>
      </c>
      <c r="E93">
        <v>50</v>
      </c>
      <c r="F93">
        <v>14.99521637</v>
      </c>
      <c r="G93">
        <v>1400.9588623</v>
      </c>
      <c r="H93">
        <v>1387.5484618999999</v>
      </c>
      <c r="I93">
        <v>1257.9085693</v>
      </c>
      <c r="J93">
        <v>1221.75</v>
      </c>
      <c r="K93">
        <v>2200</v>
      </c>
      <c r="L93">
        <v>0</v>
      </c>
      <c r="M93">
        <v>0</v>
      </c>
      <c r="N93">
        <v>2200</v>
      </c>
    </row>
    <row r="94" spans="1:14" x14ac:dyDescent="0.25">
      <c r="A94">
        <v>3.3854109999999999</v>
      </c>
      <c r="B94" s="1">
        <f>DATE(2010,5,4) + TIME(9,14,59)</f>
        <v>40302.385405092595</v>
      </c>
      <c r="C94">
        <v>80</v>
      </c>
      <c r="D94">
        <v>78.597351074000002</v>
      </c>
      <c r="E94">
        <v>50</v>
      </c>
      <c r="F94">
        <v>14.995242119</v>
      </c>
      <c r="G94">
        <v>1400.8060303</v>
      </c>
      <c r="H94">
        <v>1387.4106445</v>
      </c>
      <c r="I94">
        <v>1257.9102783000001</v>
      </c>
      <c r="J94">
        <v>1221.7514647999999</v>
      </c>
      <c r="K94">
        <v>2200</v>
      </c>
      <c r="L94">
        <v>0</v>
      </c>
      <c r="M94">
        <v>0</v>
      </c>
      <c r="N94">
        <v>2200</v>
      </c>
    </row>
    <row r="95" spans="1:14" x14ac:dyDescent="0.25">
      <c r="A95">
        <v>3.4831910000000001</v>
      </c>
      <c r="B95" s="1">
        <f>DATE(2010,5,4) + TIME(11,35,47)</f>
        <v>40302.483182870368</v>
      </c>
      <c r="C95">
        <v>80</v>
      </c>
      <c r="D95">
        <v>78.736404418999996</v>
      </c>
      <c r="E95">
        <v>50</v>
      </c>
      <c r="F95">
        <v>14.995267867999999</v>
      </c>
      <c r="G95">
        <v>1400.6524658000001</v>
      </c>
      <c r="H95">
        <v>1387.2706298999999</v>
      </c>
      <c r="I95">
        <v>1257.9118652</v>
      </c>
      <c r="J95">
        <v>1221.7530518000001</v>
      </c>
      <c r="K95">
        <v>2200</v>
      </c>
      <c r="L95">
        <v>0</v>
      </c>
      <c r="M95">
        <v>0</v>
      </c>
      <c r="N95">
        <v>2200</v>
      </c>
    </row>
    <row r="96" spans="1:14" x14ac:dyDescent="0.25">
      <c r="A96">
        <v>3.5841449999999999</v>
      </c>
      <c r="B96" s="1">
        <f>DATE(2010,5,4) + TIME(14,1,10)</f>
        <v>40302.584143518521</v>
      </c>
      <c r="C96">
        <v>80</v>
      </c>
      <c r="D96">
        <v>78.863807678000001</v>
      </c>
      <c r="E96">
        <v>50</v>
      </c>
      <c r="F96">
        <v>14.995293617</v>
      </c>
      <c r="G96">
        <v>1400.4989014</v>
      </c>
      <c r="H96">
        <v>1387.1292725000001</v>
      </c>
      <c r="I96">
        <v>1257.9135742000001</v>
      </c>
      <c r="J96">
        <v>1221.7546387</v>
      </c>
      <c r="K96">
        <v>2200</v>
      </c>
      <c r="L96">
        <v>0</v>
      </c>
      <c r="M96">
        <v>0</v>
      </c>
      <c r="N96">
        <v>2200</v>
      </c>
    </row>
    <row r="97" spans="1:14" x14ac:dyDescent="0.25">
      <c r="A97">
        <v>3.688453</v>
      </c>
      <c r="B97" s="1">
        <f>DATE(2010,5,4) + TIME(16,31,22)</f>
        <v>40302.688449074078</v>
      </c>
      <c r="C97">
        <v>80</v>
      </c>
      <c r="D97">
        <v>78.980186462000006</v>
      </c>
      <c r="E97">
        <v>50</v>
      </c>
      <c r="F97">
        <v>14.995320319999999</v>
      </c>
      <c r="G97">
        <v>1400.3448486</v>
      </c>
      <c r="H97">
        <v>1386.9860839999999</v>
      </c>
      <c r="I97">
        <v>1257.9152832</v>
      </c>
      <c r="J97">
        <v>1221.7562256000001</v>
      </c>
      <c r="K97">
        <v>2200</v>
      </c>
      <c r="L97">
        <v>0</v>
      </c>
      <c r="M97">
        <v>0</v>
      </c>
      <c r="N97">
        <v>2200</v>
      </c>
    </row>
    <row r="98" spans="1:14" x14ac:dyDescent="0.25">
      <c r="A98">
        <v>3.7963149999999999</v>
      </c>
      <c r="B98" s="1">
        <f>DATE(2010,5,4) + TIME(19,6,41)</f>
        <v>40302.796307870369</v>
      </c>
      <c r="C98">
        <v>80</v>
      </c>
      <c r="D98">
        <v>79.086166382000002</v>
      </c>
      <c r="E98">
        <v>50</v>
      </c>
      <c r="F98">
        <v>14.995346069</v>
      </c>
      <c r="G98">
        <v>1400.1901855000001</v>
      </c>
      <c r="H98">
        <v>1386.8413086</v>
      </c>
      <c r="I98">
        <v>1257.9171143000001</v>
      </c>
      <c r="J98">
        <v>1221.7579346</v>
      </c>
      <c r="K98">
        <v>2200</v>
      </c>
      <c r="L98">
        <v>0</v>
      </c>
      <c r="M98">
        <v>0</v>
      </c>
      <c r="N98">
        <v>2200</v>
      </c>
    </row>
    <row r="99" spans="1:14" x14ac:dyDescent="0.25">
      <c r="A99">
        <v>3.9080520000000001</v>
      </c>
      <c r="B99" s="1">
        <f>DATE(2010,5,4) + TIME(21,47,35)</f>
        <v>40302.908043981479</v>
      </c>
      <c r="C99">
        <v>80</v>
      </c>
      <c r="D99">
        <v>79.182456970000004</v>
      </c>
      <c r="E99">
        <v>50</v>
      </c>
      <c r="F99">
        <v>14.995371819000001</v>
      </c>
      <c r="G99">
        <v>1400.0347899999999</v>
      </c>
      <c r="H99">
        <v>1386.6947021000001</v>
      </c>
      <c r="I99">
        <v>1257.9188231999999</v>
      </c>
      <c r="J99">
        <v>1221.7596435999999</v>
      </c>
      <c r="K99">
        <v>2200</v>
      </c>
      <c r="L99">
        <v>0</v>
      </c>
      <c r="M99">
        <v>0</v>
      </c>
      <c r="N99">
        <v>2200</v>
      </c>
    </row>
    <row r="100" spans="1:14" x14ac:dyDescent="0.25">
      <c r="A100">
        <v>4.0240179999999999</v>
      </c>
      <c r="B100" s="1">
        <f>DATE(2010,5,5) + TIME(0,34,35)</f>
        <v>40303.024016203701</v>
      </c>
      <c r="C100">
        <v>80</v>
      </c>
      <c r="D100">
        <v>79.269699097</v>
      </c>
      <c r="E100">
        <v>50</v>
      </c>
      <c r="F100">
        <v>14.995398521</v>
      </c>
      <c r="G100">
        <v>1399.878418</v>
      </c>
      <c r="H100">
        <v>1386.5460204999999</v>
      </c>
      <c r="I100">
        <v>1257.9207764</v>
      </c>
      <c r="J100">
        <v>1221.7614745999999</v>
      </c>
      <c r="K100">
        <v>2200</v>
      </c>
      <c r="L100">
        <v>0</v>
      </c>
      <c r="M100">
        <v>0</v>
      </c>
      <c r="N100">
        <v>2200</v>
      </c>
    </row>
    <row r="101" spans="1:14" x14ac:dyDescent="0.25">
      <c r="A101">
        <v>4.1446149999999999</v>
      </c>
      <c r="B101" s="1">
        <f>DATE(2010,5,5) + TIME(3,28,14)</f>
        <v>40303.144606481481</v>
      </c>
      <c r="C101">
        <v>80</v>
      </c>
      <c r="D101">
        <v>79.348526000999996</v>
      </c>
      <c r="E101">
        <v>50</v>
      </c>
      <c r="F101">
        <v>14.995425224</v>
      </c>
      <c r="G101">
        <v>1399.7205810999999</v>
      </c>
      <c r="H101">
        <v>1386.3951416</v>
      </c>
      <c r="I101">
        <v>1257.9226074000001</v>
      </c>
      <c r="J101">
        <v>1221.7631836</v>
      </c>
      <c r="K101">
        <v>2200</v>
      </c>
      <c r="L101">
        <v>0</v>
      </c>
      <c r="M101">
        <v>0</v>
      </c>
      <c r="N101">
        <v>2200</v>
      </c>
    </row>
    <row r="102" spans="1:14" x14ac:dyDescent="0.25">
      <c r="A102">
        <v>4.2699420000000003</v>
      </c>
      <c r="B102" s="1">
        <f>DATE(2010,5,5) + TIME(6,28,42)</f>
        <v>40303.269930555558</v>
      </c>
      <c r="C102">
        <v>80</v>
      </c>
      <c r="D102">
        <v>79.419342040999993</v>
      </c>
      <c r="E102">
        <v>50</v>
      </c>
      <c r="F102">
        <v>14.995451927</v>
      </c>
      <c r="G102">
        <v>1399.5612793</v>
      </c>
      <c r="H102">
        <v>1386.2419434000001</v>
      </c>
      <c r="I102">
        <v>1257.9245605000001</v>
      </c>
      <c r="J102">
        <v>1221.7651367000001</v>
      </c>
      <c r="K102">
        <v>2200</v>
      </c>
      <c r="L102">
        <v>0</v>
      </c>
      <c r="M102">
        <v>0</v>
      </c>
      <c r="N102">
        <v>2200</v>
      </c>
    </row>
    <row r="103" spans="1:14" x14ac:dyDescent="0.25">
      <c r="A103">
        <v>4.3336449999999997</v>
      </c>
      <c r="B103" s="1">
        <f>DATE(2010,5,5) + TIME(8,0,26)</f>
        <v>40303.333634259259</v>
      </c>
      <c r="C103">
        <v>80</v>
      </c>
      <c r="D103">
        <v>79.452690125000004</v>
      </c>
      <c r="E103">
        <v>50</v>
      </c>
      <c r="F103">
        <v>14.995466232</v>
      </c>
      <c r="G103">
        <v>1399.4075928</v>
      </c>
      <c r="H103">
        <v>1386.0861815999999</v>
      </c>
      <c r="I103">
        <v>1257.9262695</v>
      </c>
      <c r="J103">
        <v>1221.7666016000001</v>
      </c>
      <c r="K103">
        <v>2200</v>
      </c>
      <c r="L103">
        <v>0</v>
      </c>
      <c r="M103">
        <v>0</v>
      </c>
      <c r="N103">
        <v>2200</v>
      </c>
    </row>
    <row r="104" spans="1:14" x14ac:dyDescent="0.25">
      <c r="A104">
        <v>4.4610500000000002</v>
      </c>
      <c r="B104" s="1">
        <f>DATE(2010,5,5) + TIME(11,3,54)</f>
        <v>40303.461041666669</v>
      </c>
      <c r="C104">
        <v>80</v>
      </c>
      <c r="D104">
        <v>79.510253906000003</v>
      </c>
      <c r="E104">
        <v>50</v>
      </c>
      <c r="F104">
        <v>14.995491982000001</v>
      </c>
      <c r="G104">
        <v>1399.3203125</v>
      </c>
      <c r="H104">
        <v>1386.0083007999999</v>
      </c>
      <c r="I104">
        <v>1257.9276123</v>
      </c>
      <c r="J104">
        <v>1221.7680664</v>
      </c>
      <c r="K104">
        <v>2200</v>
      </c>
      <c r="L104">
        <v>0</v>
      </c>
      <c r="M104">
        <v>0</v>
      </c>
      <c r="N104">
        <v>2200</v>
      </c>
    </row>
    <row r="105" spans="1:14" x14ac:dyDescent="0.25">
      <c r="A105">
        <v>4.5885160000000003</v>
      </c>
      <c r="B105" s="1">
        <f>DATE(2010,5,5) + TIME(14,7,27)</f>
        <v>40303.588506944441</v>
      </c>
      <c r="C105">
        <v>80</v>
      </c>
      <c r="D105">
        <v>79.559951781999999</v>
      </c>
      <c r="E105">
        <v>50</v>
      </c>
      <c r="F105">
        <v>14.995517731</v>
      </c>
      <c r="G105">
        <v>1399.1645507999999</v>
      </c>
      <c r="H105">
        <v>1385.8563231999999</v>
      </c>
      <c r="I105">
        <v>1257.9295654</v>
      </c>
      <c r="J105">
        <v>1221.7698975000001</v>
      </c>
      <c r="K105">
        <v>2200</v>
      </c>
      <c r="L105">
        <v>0</v>
      </c>
      <c r="M105">
        <v>0</v>
      </c>
      <c r="N105">
        <v>2200</v>
      </c>
    </row>
    <row r="106" spans="1:14" x14ac:dyDescent="0.25">
      <c r="A106">
        <v>4.7162879999999996</v>
      </c>
      <c r="B106" s="1">
        <f>DATE(2010,5,5) + TIME(17,11,27)</f>
        <v>40303.716284722221</v>
      </c>
      <c r="C106">
        <v>80</v>
      </c>
      <c r="D106">
        <v>79.602958678999997</v>
      </c>
      <c r="E106">
        <v>50</v>
      </c>
      <c r="F106">
        <v>14.995542525999999</v>
      </c>
      <c r="G106">
        <v>1399.0123291</v>
      </c>
      <c r="H106">
        <v>1385.7072754000001</v>
      </c>
      <c r="I106">
        <v>1257.9316406</v>
      </c>
      <c r="J106">
        <v>1221.7718506000001</v>
      </c>
      <c r="K106">
        <v>2200</v>
      </c>
      <c r="L106">
        <v>0</v>
      </c>
      <c r="M106">
        <v>0</v>
      </c>
      <c r="N106">
        <v>2200</v>
      </c>
    </row>
    <row r="107" spans="1:14" x14ac:dyDescent="0.25">
      <c r="A107">
        <v>4.8445660000000004</v>
      </c>
      <c r="B107" s="1">
        <f>DATE(2010,5,5) + TIME(20,16,10)</f>
        <v>40303.844560185185</v>
      </c>
      <c r="C107">
        <v>80</v>
      </c>
      <c r="D107">
        <v>79.640235900999997</v>
      </c>
      <c r="E107">
        <v>50</v>
      </c>
      <c r="F107">
        <v>14.995566368</v>
      </c>
      <c r="G107">
        <v>1398.8635254000001</v>
      </c>
      <c r="H107">
        <v>1385.5612793</v>
      </c>
      <c r="I107">
        <v>1257.9335937999999</v>
      </c>
      <c r="J107">
        <v>1221.7738036999999</v>
      </c>
      <c r="K107">
        <v>2200</v>
      </c>
      <c r="L107">
        <v>0</v>
      </c>
      <c r="M107">
        <v>0</v>
      </c>
      <c r="N107">
        <v>2200</v>
      </c>
    </row>
    <row r="108" spans="1:14" x14ac:dyDescent="0.25">
      <c r="A108">
        <v>4.9735449999999997</v>
      </c>
      <c r="B108" s="1">
        <f>DATE(2010,5,5) + TIME(23,21,54)</f>
        <v>40303.973541666666</v>
      </c>
      <c r="C108">
        <v>80</v>
      </c>
      <c r="D108">
        <v>79.672576903999996</v>
      </c>
      <c r="E108">
        <v>50</v>
      </c>
      <c r="F108">
        <v>14.99559021</v>
      </c>
      <c r="G108">
        <v>1398.7180175999999</v>
      </c>
      <c r="H108">
        <v>1385.4180908000001</v>
      </c>
      <c r="I108">
        <v>1257.9356689000001</v>
      </c>
      <c r="J108">
        <v>1221.7756348</v>
      </c>
      <c r="K108">
        <v>2200</v>
      </c>
      <c r="L108">
        <v>0</v>
      </c>
      <c r="M108">
        <v>0</v>
      </c>
      <c r="N108">
        <v>2200</v>
      </c>
    </row>
    <row r="109" spans="1:14" x14ac:dyDescent="0.25">
      <c r="A109">
        <v>5.1033970000000002</v>
      </c>
      <c r="B109" s="1">
        <f>DATE(2010,5,6) + TIME(2,28,53)</f>
        <v>40304.103391203702</v>
      </c>
      <c r="C109">
        <v>80</v>
      </c>
      <c r="D109">
        <v>79.700675963999998</v>
      </c>
      <c r="E109">
        <v>50</v>
      </c>
      <c r="F109">
        <v>14.995614052000001</v>
      </c>
      <c r="G109">
        <v>1398.5751952999999</v>
      </c>
      <c r="H109">
        <v>1385.2773437999999</v>
      </c>
      <c r="I109">
        <v>1257.9376221</v>
      </c>
      <c r="J109">
        <v>1221.7775879000001</v>
      </c>
      <c r="K109">
        <v>2200</v>
      </c>
      <c r="L109">
        <v>0</v>
      </c>
      <c r="M109">
        <v>0</v>
      </c>
      <c r="N109">
        <v>2200</v>
      </c>
    </row>
    <row r="110" spans="1:14" x14ac:dyDescent="0.25">
      <c r="A110">
        <v>5.2343120000000001</v>
      </c>
      <c r="B110" s="1">
        <f>DATE(2010,5,6) + TIME(5,37,24)</f>
        <v>40304.234305555554</v>
      </c>
      <c r="C110">
        <v>80</v>
      </c>
      <c r="D110">
        <v>79.725097656000003</v>
      </c>
      <c r="E110">
        <v>50</v>
      </c>
      <c r="F110">
        <v>14.995636940000001</v>
      </c>
      <c r="G110">
        <v>1398.4349365</v>
      </c>
      <c r="H110">
        <v>1385.1387939000001</v>
      </c>
      <c r="I110">
        <v>1257.9395752</v>
      </c>
      <c r="J110">
        <v>1221.7795410000001</v>
      </c>
      <c r="K110">
        <v>2200</v>
      </c>
      <c r="L110">
        <v>0</v>
      </c>
      <c r="M110">
        <v>0</v>
      </c>
      <c r="N110">
        <v>2200</v>
      </c>
    </row>
    <row r="111" spans="1:14" x14ac:dyDescent="0.25">
      <c r="A111">
        <v>5.3664860000000001</v>
      </c>
      <c r="B111" s="1">
        <f>DATE(2010,5,6) + TIME(8,47,44)</f>
        <v>40304.366481481484</v>
      </c>
      <c r="C111">
        <v>80</v>
      </c>
      <c r="D111">
        <v>79.746353149000001</v>
      </c>
      <c r="E111">
        <v>50</v>
      </c>
      <c r="F111">
        <v>14.995659828000001</v>
      </c>
      <c r="G111">
        <v>1398.296875</v>
      </c>
      <c r="H111">
        <v>1385.0021973</v>
      </c>
      <c r="I111">
        <v>1257.9416504000001</v>
      </c>
      <c r="J111">
        <v>1221.7814940999999</v>
      </c>
      <c r="K111">
        <v>2200</v>
      </c>
      <c r="L111">
        <v>0</v>
      </c>
      <c r="M111">
        <v>0</v>
      </c>
      <c r="N111">
        <v>2200</v>
      </c>
    </row>
    <row r="112" spans="1:14" x14ac:dyDescent="0.25">
      <c r="A112">
        <v>5.5001069999999999</v>
      </c>
      <c r="B112" s="1">
        <f>DATE(2010,5,6) + TIME(12,0,9)</f>
        <v>40304.500104166669</v>
      </c>
      <c r="C112">
        <v>80</v>
      </c>
      <c r="D112">
        <v>79.764854431000003</v>
      </c>
      <c r="E112">
        <v>50</v>
      </c>
      <c r="F112">
        <v>14.995682715999999</v>
      </c>
      <c r="G112">
        <v>1398.1607666</v>
      </c>
      <c r="H112">
        <v>1384.8673096</v>
      </c>
      <c r="I112">
        <v>1257.9436035000001</v>
      </c>
      <c r="J112">
        <v>1221.7833252</v>
      </c>
      <c r="K112">
        <v>2200</v>
      </c>
      <c r="L112">
        <v>0</v>
      </c>
      <c r="M112">
        <v>0</v>
      </c>
      <c r="N112">
        <v>2200</v>
      </c>
    </row>
    <row r="113" spans="1:14" x14ac:dyDescent="0.25">
      <c r="A113">
        <v>5.6353660000000003</v>
      </c>
      <c r="B113" s="1">
        <f>DATE(2010,5,6) + TIME(15,14,55)</f>
        <v>40304.635358796295</v>
      </c>
      <c r="C113">
        <v>80</v>
      </c>
      <c r="D113">
        <v>79.780975342000005</v>
      </c>
      <c r="E113">
        <v>50</v>
      </c>
      <c r="F113">
        <v>14.995705604999999</v>
      </c>
      <c r="G113">
        <v>1398.0262451000001</v>
      </c>
      <c r="H113">
        <v>1384.7338867000001</v>
      </c>
      <c r="I113">
        <v>1257.9456786999999</v>
      </c>
      <c r="J113">
        <v>1221.7854004000001</v>
      </c>
      <c r="K113">
        <v>2200</v>
      </c>
      <c r="L113">
        <v>0</v>
      </c>
      <c r="M113">
        <v>0</v>
      </c>
      <c r="N113">
        <v>2200</v>
      </c>
    </row>
    <row r="114" spans="1:14" x14ac:dyDescent="0.25">
      <c r="A114">
        <v>5.7724580000000003</v>
      </c>
      <c r="B114" s="1">
        <f>DATE(2010,5,6) + TIME(18,32,20)</f>
        <v>40304.772453703707</v>
      </c>
      <c r="C114">
        <v>80</v>
      </c>
      <c r="D114">
        <v>79.795028686999999</v>
      </c>
      <c r="E114">
        <v>50</v>
      </c>
      <c r="F114">
        <v>14.995727539000001</v>
      </c>
      <c r="G114">
        <v>1397.8931885</v>
      </c>
      <c r="H114">
        <v>1384.6018065999999</v>
      </c>
      <c r="I114">
        <v>1257.9477539</v>
      </c>
      <c r="J114">
        <v>1221.7873535000001</v>
      </c>
      <c r="K114">
        <v>2200</v>
      </c>
      <c r="L114">
        <v>0</v>
      </c>
      <c r="M114">
        <v>0</v>
      </c>
      <c r="N114">
        <v>2200</v>
      </c>
    </row>
    <row r="115" spans="1:14" x14ac:dyDescent="0.25">
      <c r="A115">
        <v>5.9115890000000002</v>
      </c>
      <c r="B115" s="1">
        <f>DATE(2010,5,6) + TIME(21,52,41)</f>
        <v>40304.911585648151</v>
      </c>
      <c r="C115">
        <v>80</v>
      </c>
      <c r="D115">
        <v>79.807273864999999</v>
      </c>
      <c r="E115">
        <v>50</v>
      </c>
      <c r="F115">
        <v>14.995749474</v>
      </c>
      <c r="G115">
        <v>1397.7613524999999</v>
      </c>
      <c r="H115">
        <v>1384.4708252</v>
      </c>
      <c r="I115">
        <v>1257.9498291</v>
      </c>
      <c r="J115">
        <v>1221.7893065999999</v>
      </c>
      <c r="K115">
        <v>2200</v>
      </c>
      <c r="L115">
        <v>0</v>
      </c>
      <c r="M115">
        <v>0</v>
      </c>
      <c r="N115">
        <v>2200</v>
      </c>
    </row>
    <row r="116" spans="1:14" x14ac:dyDescent="0.25">
      <c r="A116">
        <v>6.0529700000000002</v>
      </c>
      <c r="B116" s="1">
        <f>DATE(2010,5,7) + TIME(1,16,16)</f>
        <v>40305.05296296296</v>
      </c>
      <c r="C116">
        <v>80</v>
      </c>
      <c r="D116">
        <v>79.817962645999998</v>
      </c>
      <c r="E116">
        <v>50</v>
      </c>
      <c r="F116">
        <v>14.995771408</v>
      </c>
      <c r="G116">
        <v>1397.6304932</v>
      </c>
      <c r="H116">
        <v>1384.3408202999999</v>
      </c>
      <c r="I116">
        <v>1257.9519043</v>
      </c>
      <c r="J116">
        <v>1221.7913818</v>
      </c>
      <c r="K116">
        <v>2200</v>
      </c>
      <c r="L116">
        <v>0</v>
      </c>
      <c r="M116">
        <v>0</v>
      </c>
      <c r="N116">
        <v>2200</v>
      </c>
    </row>
    <row r="117" spans="1:14" x14ac:dyDescent="0.25">
      <c r="A117">
        <v>6.1968269999999999</v>
      </c>
      <c r="B117" s="1">
        <f>DATE(2010,5,7) + TIME(4,43,25)</f>
        <v>40305.196817129632</v>
      </c>
      <c r="C117">
        <v>80</v>
      </c>
      <c r="D117">
        <v>79.827278136999993</v>
      </c>
      <c r="E117">
        <v>50</v>
      </c>
      <c r="F117">
        <v>14.995793343000001</v>
      </c>
      <c r="G117">
        <v>1397.5004882999999</v>
      </c>
      <c r="H117">
        <v>1384.2115478999999</v>
      </c>
      <c r="I117">
        <v>1257.9539795000001</v>
      </c>
      <c r="J117">
        <v>1221.793457</v>
      </c>
      <c r="K117">
        <v>2200</v>
      </c>
      <c r="L117">
        <v>0</v>
      </c>
      <c r="M117">
        <v>0</v>
      </c>
      <c r="N117">
        <v>2200</v>
      </c>
    </row>
    <row r="118" spans="1:14" x14ac:dyDescent="0.25">
      <c r="A118">
        <v>6.3433970000000004</v>
      </c>
      <c r="B118" s="1">
        <f>DATE(2010,5,7) + TIME(8,14,29)</f>
        <v>40305.343391203707</v>
      </c>
      <c r="C118">
        <v>80</v>
      </c>
      <c r="D118">
        <v>79.835411071999999</v>
      </c>
      <c r="E118">
        <v>50</v>
      </c>
      <c r="F118">
        <v>14.995815277</v>
      </c>
      <c r="G118">
        <v>1397.3710937999999</v>
      </c>
      <c r="H118">
        <v>1384.0827637</v>
      </c>
      <c r="I118">
        <v>1257.9561768000001</v>
      </c>
      <c r="J118">
        <v>1221.7955322</v>
      </c>
      <c r="K118">
        <v>2200</v>
      </c>
      <c r="L118">
        <v>0</v>
      </c>
      <c r="M118">
        <v>0</v>
      </c>
      <c r="N118">
        <v>2200</v>
      </c>
    </row>
    <row r="119" spans="1:14" x14ac:dyDescent="0.25">
      <c r="A119">
        <v>6.4929670000000002</v>
      </c>
      <c r="B119" s="1">
        <f>DATE(2010,5,7) + TIME(11,49,52)</f>
        <v>40305.492962962962</v>
      </c>
      <c r="C119">
        <v>80</v>
      </c>
      <c r="D119">
        <v>79.842514038000004</v>
      </c>
      <c r="E119">
        <v>50</v>
      </c>
      <c r="F119">
        <v>14.995837212</v>
      </c>
      <c r="G119">
        <v>1397.2419434000001</v>
      </c>
      <c r="H119">
        <v>1383.9543457</v>
      </c>
      <c r="I119">
        <v>1257.958374</v>
      </c>
      <c r="J119">
        <v>1221.7976074000001</v>
      </c>
      <c r="K119">
        <v>2200</v>
      </c>
      <c r="L119">
        <v>0</v>
      </c>
      <c r="M119">
        <v>0</v>
      </c>
      <c r="N119">
        <v>2200</v>
      </c>
    </row>
    <row r="120" spans="1:14" x14ac:dyDescent="0.25">
      <c r="A120">
        <v>6.6457750000000004</v>
      </c>
      <c r="B120" s="1">
        <f>DATE(2010,5,7) + TIME(15,29,54)</f>
        <v>40305.64576388889</v>
      </c>
      <c r="C120">
        <v>80</v>
      </c>
      <c r="D120">
        <v>79.848716736</v>
      </c>
      <c r="E120">
        <v>50</v>
      </c>
      <c r="F120">
        <v>14.995859146000001</v>
      </c>
      <c r="G120">
        <v>1397.1131591999999</v>
      </c>
      <c r="H120">
        <v>1383.8261719</v>
      </c>
      <c r="I120">
        <v>1257.9605713000001</v>
      </c>
      <c r="J120">
        <v>1221.7998047000001</v>
      </c>
      <c r="K120">
        <v>2200</v>
      </c>
      <c r="L120">
        <v>0</v>
      </c>
      <c r="M120">
        <v>0</v>
      </c>
      <c r="N120">
        <v>2200</v>
      </c>
    </row>
    <row r="121" spans="1:14" x14ac:dyDescent="0.25">
      <c r="A121">
        <v>6.8017690000000002</v>
      </c>
      <c r="B121" s="1">
        <f>DATE(2010,5,7) + TIME(19,14,32)</f>
        <v>40305.801759259259</v>
      </c>
      <c r="C121">
        <v>80</v>
      </c>
      <c r="D121">
        <v>79.854125976999995</v>
      </c>
      <c r="E121">
        <v>50</v>
      </c>
      <c r="F121">
        <v>14.995881081</v>
      </c>
      <c r="G121">
        <v>1396.984375</v>
      </c>
      <c r="H121">
        <v>1383.6979980000001</v>
      </c>
      <c r="I121">
        <v>1257.9628906</v>
      </c>
      <c r="J121">
        <v>1221.8020019999999</v>
      </c>
      <c r="K121">
        <v>2200</v>
      </c>
      <c r="L121">
        <v>0</v>
      </c>
      <c r="M121">
        <v>0</v>
      </c>
      <c r="N121">
        <v>2200</v>
      </c>
    </row>
    <row r="122" spans="1:14" x14ac:dyDescent="0.25">
      <c r="A122">
        <v>6.9612020000000001</v>
      </c>
      <c r="B122" s="1">
        <f>DATE(2010,5,7) + TIME(23,4,7)</f>
        <v>40305.961192129631</v>
      </c>
      <c r="C122">
        <v>80</v>
      </c>
      <c r="D122">
        <v>79.858840942</v>
      </c>
      <c r="E122">
        <v>50</v>
      </c>
      <c r="F122">
        <v>14.995903015</v>
      </c>
      <c r="G122">
        <v>1396.8557129000001</v>
      </c>
      <c r="H122">
        <v>1383.5700684000001</v>
      </c>
      <c r="I122">
        <v>1257.9652100000001</v>
      </c>
      <c r="J122">
        <v>1221.8041992000001</v>
      </c>
      <c r="K122">
        <v>2200</v>
      </c>
      <c r="L122">
        <v>0</v>
      </c>
      <c r="M122">
        <v>0</v>
      </c>
      <c r="N122">
        <v>2200</v>
      </c>
    </row>
    <row r="123" spans="1:14" x14ac:dyDescent="0.25">
      <c r="A123">
        <v>7.1243829999999999</v>
      </c>
      <c r="B123" s="1">
        <f>DATE(2010,5,8) + TIME(2,59,6)</f>
        <v>40306.124374999999</v>
      </c>
      <c r="C123">
        <v>80</v>
      </c>
      <c r="D123">
        <v>79.862960814999994</v>
      </c>
      <c r="E123">
        <v>50</v>
      </c>
      <c r="F123">
        <v>14.995924949999999</v>
      </c>
      <c r="G123">
        <v>1396.7270507999999</v>
      </c>
      <c r="H123">
        <v>1383.4421387</v>
      </c>
      <c r="I123">
        <v>1257.9675293</v>
      </c>
      <c r="J123">
        <v>1221.8065185999999</v>
      </c>
      <c r="K123">
        <v>2200</v>
      </c>
      <c r="L123">
        <v>0</v>
      </c>
      <c r="M123">
        <v>0</v>
      </c>
      <c r="N123">
        <v>2200</v>
      </c>
    </row>
    <row r="124" spans="1:14" x14ac:dyDescent="0.25">
      <c r="A124">
        <v>7.2916439999999998</v>
      </c>
      <c r="B124" s="1">
        <f>DATE(2010,5,8) + TIME(6,59,58)</f>
        <v>40306.291643518518</v>
      </c>
      <c r="C124">
        <v>80</v>
      </c>
      <c r="D124">
        <v>79.86656189</v>
      </c>
      <c r="E124">
        <v>50</v>
      </c>
      <c r="F124">
        <v>14.995946884</v>
      </c>
      <c r="G124">
        <v>1396.5981445</v>
      </c>
      <c r="H124">
        <v>1383.3139647999999</v>
      </c>
      <c r="I124">
        <v>1257.9699707</v>
      </c>
      <c r="J124">
        <v>1221.8088379000001</v>
      </c>
      <c r="K124">
        <v>2200</v>
      </c>
      <c r="L124">
        <v>0</v>
      </c>
      <c r="M124">
        <v>0</v>
      </c>
      <c r="N124">
        <v>2200</v>
      </c>
    </row>
    <row r="125" spans="1:14" x14ac:dyDescent="0.25">
      <c r="A125">
        <v>7.4633529999999997</v>
      </c>
      <c r="B125" s="1">
        <f>DATE(2010,5,8) + TIME(11,7,13)</f>
        <v>40306.46334490741</v>
      </c>
      <c r="C125">
        <v>80</v>
      </c>
      <c r="D125">
        <v>79.869712829999997</v>
      </c>
      <c r="E125">
        <v>50</v>
      </c>
      <c r="F125">
        <v>14.995968819</v>
      </c>
      <c r="G125">
        <v>1396.4688721</v>
      </c>
      <c r="H125">
        <v>1383.1854248</v>
      </c>
      <c r="I125">
        <v>1257.9725341999999</v>
      </c>
      <c r="J125">
        <v>1221.8111572</v>
      </c>
      <c r="K125">
        <v>2200</v>
      </c>
      <c r="L125">
        <v>0</v>
      </c>
      <c r="M125">
        <v>0</v>
      </c>
      <c r="N125">
        <v>2200</v>
      </c>
    </row>
    <row r="126" spans="1:14" x14ac:dyDescent="0.25">
      <c r="A126">
        <v>7.6399160000000004</v>
      </c>
      <c r="B126" s="1">
        <f>DATE(2010,5,8) + TIME(15,21,28)</f>
        <v>40306.639907407407</v>
      </c>
      <c r="C126">
        <v>80</v>
      </c>
      <c r="D126">
        <v>79.872474670000003</v>
      </c>
      <c r="E126">
        <v>50</v>
      </c>
      <c r="F126">
        <v>14.995990752999999</v>
      </c>
      <c r="G126">
        <v>1396.3391113</v>
      </c>
      <c r="H126">
        <v>1383.0565185999999</v>
      </c>
      <c r="I126">
        <v>1257.9749756000001</v>
      </c>
      <c r="J126">
        <v>1221.8135986</v>
      </c>
      <c r="K126">
        <v>2200</v>
      </c>
      <c r="L126">
        <v>0</v>
      </c>
      <c r="M126">
        <v>0</v>
      </c>
      <c r="N126">
        <v>2200</v>
      </c>
    </row>
    <row r="127" spans="1:14" x14ac:dyDescent="0.25">
      <c r="A127">
        <v>7.8217499999999998</v>
      </c>
      <c r="B127" s="1">
        <f>DATE(2010,5,8) + TIME(19,43,19)</f>
        <v>40306.821747685186</v>
      </c>
      <c r="C127">
        <v>80</v>
      </c>
      <c r="D127">
        <v>79.874893188000001</v>
      </c>
      <c r="E127">
        <v>50</v>
      </c>
      <c r="F127">
        <v>14.996013640999999</v>
      </c>
      <c r="G127">
        <v>1396.2084961</v>
      </c>
      <c r="H127">
        <v>1382.9267577999999</v>
      </c>
      <c r="I127">
        <v>1257.9776611</v>
      </c>
      <c r="J127">
        <v>1221.8161620999999</v>
      </c>
      <c r="K127">
        <v>2200</v>
      </c>
      <c r="L127">
        <v>0</v>
      </c>
      <c r="M127">
        <v>0</v>
      </c>
      <c r="N127">
        <v>2200</v>
      </c>
    </row>
    <row r="128" spans="1:14" x14ac:dyDescent="0.25">
      <c r="A128">
        <v>8.0090179999999993</v>
      </c>
      <c r="B128" s="1">
        <f>DATE(2010,5,9) + TIME(0,12,59)</f>
        <v>40307.009016203701</v>
      </c>
      <c r="C128">
        <v>80</v>
      </c>
      <c r="D128">
        <v>79.877021790000001</v>
      </c>
      <c r="E128">
        <v>50</v>
      </c>
      <c r="F128">
        <v>14.996035576000001</v>
      </c>
      <c r="G128">
        <v>1396.0769043</v>
      </c>
      <c r="H128">
        <v>1382.7961425999999</v>
      </c>
      <c r="I128">
        <v>1257.9802245999999</v>
      </c>
      <c r="J128">
        <v>1221.8187256000001</v>
      </c>
      <c r="K128">
        <v>2200</v>
      </c>
      <c r="L128">
        <v>0</v>
      </c>
      <c r="M128">
        <v>0</v>
      </c>
      <c r="N128">
        <v>2200</v>
      </c>
    </row>
    <row r="129" spans="1:14" x14ac:dyDescent="0.25">
      <c r="A129">
        <v>8.2019479999999998</v>
      </c>
      <c r="B129" s="1">
        <f>DATE(2010,5,9) + TIME(4,50,48)</f>
        <v>40307.201944444445</v>
      </c>
      <c r="C129">
        <v>80</v>
      </c>
      <c r="D129">
        <v>79.878890991000006</v>
      </c>
      <c r="E129">
        <v>50</v>
      </c>
      <c r="F129">
        <v>14.996058464000001</v>
      </c>
      <c r="G129">
        <v>1395.9443358999999</v>
      </c>
      <c r="H129">
        <v>1382.6645507999999</v>
      </c>
      <c r="I129">
        <v>1257.9830322</v>
      </c>
      <c r="J129">
        <v>1221.8214111</v>
      </c>
      <c r="K129">
        <v>2200</v>
      </c>
      <c r="L129">
        <v>0</v>
      </c>
      <c r="M129">
        <v>0</v>
      </c>
      <c r="N129">
        <v>2200</v>
      </c>
    </row>
    <row r="130" spans="1:14" x14ac:dyDescent="0.25">
      <c r="A130">
        <v>8.4007670000000001</v>
      </c>
      <c r="B130" s="1">
        <f>DATE(2010,5,9) + TIME(9,37,6)</f>
        <v>40307.400763888887</v>
      </c>
      <c r="C130">
        <v>80</v>
      </c>
      <c r="D130">
        <v>79.880531310999999</v>
      </c>
      <c r="E130">
        <v>50</v>
      </c>
      <c r="F130">
        <v>14.996081351999999</v>
      </c>
      <c r="G130">
        <v>1395.8107910000001</v>
      </c>
      <c r="H130">
        <v>1382.5322266000001</v>
      </c>
      <c r="I130">
        <v>1257.9858397999999</v>
      </c>
      <c r="J130">
        <v>1221.8240966999999</v>
      </c>
      <c r="K130">
        <v>2200</v>
      </c>
      <c r="L130">
        <v>0</v>
      </c>
      <c r="M130">
        <v>0</v>
      </c>
      <c r="N130">
        <v>2200</v>
      </c>
    </row>
    <row r="131" spans="1:14" x14ac:dyDescent="0.25">
      <c r="A131">
        <v>8.6014850000000003</v>
      </c>
      <c r="B131" s="1">
        <f>DATE(2010,5,9) + TIME(14,26,8)</f>
        <v>40307.601481481484</v>
      </c>
      <c r="C131">
        <v>80</v>
      </c>
      <c r="D131">
        <v>79.881958007999998</v>
      </c>
      <c r="E131">
        <v>50</v>
      </c>
      <c r="F131">
        <v>14.996104239999999</v>
      </c>
      <c r="G131">
        <v>1395.6761475000001</v>
      </c>
      <c r="H131">
        <v>1382.3988036999999</v>
      </c>
      <c r="I131">
        <v>1257.9887695</v>
      </c>
      <c r="J131">
        <v>1221.8269043</v>
      </c>
      <c r="K131">
        <v>2200</v>
      </c>
      <c r="L131">
        <v>0</v>
      </c>
      <c r="M131">
        <v>0</v>
      </c>
      <c r="N131">
        <v>2200</v>
      </c>
    </row>
    <row r="132" spans="1:14" x14ac:dyDescent="0.25">
      <c r="A132">
        <v>8.8022410000000004</v>
      </c>
      <c r="B132" s="1">
        <f>DATE(2010,5,9) + TIME(19,15,13)</f>
        <v>40307.802233796298</v>
      </c>
      <c r="C132">
        <v>80</v>
      </c>
      <c r="D132">
        <v>79.883178710999999</v>
      </c>
      <c r="E132">
        <v>50</v>
      </c>
      <c r="F132">
        <v>14.996126175000001</v>
      </c>
      <c r="G132">
        <v>1395.5432129000001</v>
      </c>
      <c r="H132">
        <v>1382.2670897999999</v>
      </c>
      <c r="I132">
        <v>1257.9916992000001</v>
      </c>
      <c r="J132">
        <v>1221.8297118999999</v>
      </c>
      <c r="K132">
        <v>2200</v>
      </c>
      <c r="L132">
        <v>0</v>
      </c>
      <c r="M132">
        <v>0</v>
      </c>
      <c r="N132">
        <v>2200</v>
      </c>
    </row>
    <row r="133" spans="1:14" x14ac:dyDescent="0.25">
      <c r="A133">
        <v>9.0033700000000003</v>
      </c>
      <c r="B133" s="1">
        <f>DATE(2010,5,10) + TIME(0,4,51)</f>
        <v>40308.003368055557</v>
      </c>
      <c r="C133">
        <v>80</v>
      </c>
      <c r="D133">
        <v>79.884239196999999</v>
      </c>
      <c r="E133">
        <v>50</v>
      </c>
      <c r="F133">
        <v>14.996149063000001</v>
      </c>
      <c r="G133">
        <v>1395.4130858999999</v>
      </c>
      <c r="H133">
        <v>1382.1383057</v>
      </c>
      <c r="I133">
        <v>1257.9945068</v>
      </c>
      <c r="J133">
        <v>1221.8325195</v>
      </c>
      <c r="K133">
        <v>2200</v>
      </c>
      <c r="L133">
        <v>0</v>
      </c>
      <c r="M133">
        <v>0</v>
      </c>
      <c r="N133">
        <v>2200</v>
      </c>
    </row>
    <row r="134" spans="1:14" x14ac:dyDescent="0.25">
      <c r="A134">
        <v>9.2051820000000006</v>
      </c>
      <c r="B134" s="1">
        <f>DATE(2010,5,10) + TIME(4,55,27)</f>
        <v>40308.20517361111</v>
      </c>
      <c r="C134">
        <v>80</v>
      </c>
      <c r="D134">
        <v>79.885169982999997</v>
      </c>
      <c r="E134">
        <v>50</v>
      </c>
      <c r="F134">
        <v>14.996170043999999</v>
      </c>
      <c r="G134">
        <v>1395.2855225000001</v>
      </c>
      <c r="H134">
        <v>1382.012207</v>
      </c>
      <c r="I134">
        <v>1257.9974365</v>
      </c>
      <c r="J134">
        <v>1221.8353271000001</v>
      </c>
      <c r="K134">
        <v>2200</v>
      </c>
      <c r="L134">
        <v>0</v>
      </c>
      <c r="M134">
        <v>0</v>
      </c>
      <c r="N134">
        <v>2200</v>
      </c>
    </row>
    <row r="135" spans="1:14" x14ac:dyDescent="0.25">
      <c r="A135">
        <v>9.4079700000000006</v>
      </c>
      <c r="B135" s="1">
        <f>DATE(2010,5,10) + TIME(9,47,28)</f>
        <v>40308.407962962963</v>
      </c>
      <c r="C135">
        <v>80</v>
      </c>
      <c r="D135">
        <v>79.885986328000001</v>
      </c>
      <c r="E135">
        <v>50</v>
      </c>
      <c r="F135">
        <v>14.996191978000001</v>
      </c>
      <c r="G135">
        <v>1395.1602783000001</v>
      </c>
      <c r="H135">
        <v>1381.8884277</v>
      </c>
      <c r="I135">
        <v>1258.0003661999999</v>
      </c>
      <c r="J135">
        <v>1221.8381348</v>
      </c>
      <c r="K135">
        <v>2200</v>
      </c>
      <c r="L135">
        <v>0</v>
      </c>
      <c r="M135">
        <v>0</v>
      </c>
      <c r="N135">
        <v>2200</v>
      </c>
    </row>
    <row r="136" spans="1:14" x14ac:dyDescent="0.25">
      <c r="A136">
        <v>9.6120739999999998</v>
      </c>
      <c r="B136" s="1">
        <f>DATE(2010,5,10) + TIME(14,41,23)</f>
        <v>40308.612071759257</v>
      </c>
      <c r="C136">
        <v>80</v>
      </c>
      <c r="D136">
        <v>79.886711121000005</v>
      </c>
      <c r="E136">
        <v>50</v>
      </c>
      <c r="F136">
        <v>14.996212958999999</v>
      </c>
      <c r="G136">
        <v>1395.0369873</v>
      </c>
      <c r="H136">
        <v>1381.7666016000001</v>
      </c>
      <c r="I136">
        <v>1258.0032959</v>
      </c>
      <c r="J136">
        <v>1221.8409423999999</v>
      </c>
      <c r="K136">
        <v>2200</v>
      </c>
      <c r="L136">
        <v>0</v>
      </c>
      <c r="M136">
        <v>0</v>
      </c>
      <c r="N136">
        <v>2200</v>
      </c>
    </row>
    <row r="137" spans="1:14" x14ac:dyDescent="0.25">
      <c r="A137">
        <v>9.8178029999999996</v>
      </c>
      <c r="B137" s="1">
        <f>DATE(2010,5,10) + TIME(19,37,38)</f>
        <v>40308.817800925928</v>
      </c>
      <c r="C137">
        <v>80</v>
      </c>
      <c r="D137">
        <v>79.88734436</v>
      </c>
      <c r="E137">
        <v>50</v>
      </c>
      <c r="F137">
        <v>14.99623394</v>
      </c>
      <c r="G137">
        <v>1394.9152832</v>
      </c>
      <c r="H137">
        <v>1381.6466064000001</v>
      </c>
      <c r="I137">
        <v>1258.0062256000001</v>
      </c>
      <c r="J137">
        <v>1221.84375</v>
      </c>
      <c r="K137">
        <v>2200</v>
      </c>
      <c r="L137">
        <v>0</v>
      </c>
      <c r="M137">
        <v>0</v>
      </c>
      <c r="N137">
        <v>2200</v>
      </c>
    </row>
    <row r="138" spans="1:14" x14ac:dyDescent="0.25">
      <c r="A138">
        <v>10.025467000000001</v>
      </c>
      <c r="B138" s="1">
        <f>DATE(2010,5,11) + TIME(0,36,40)</f>
        <v>40309.025462962964</v>
      </c>
      <c r="C138">
        <v>80</v>
      </c>
      <c r="D138">
        <v>79.887924193999993</v>
      </c>
      <c r="E138">
        <v>50</v>
      </c>
      <c r="F138">
        <v>14.996254921</v>
      </c>
      <c r="G138">
        <v>1394.7952881000001</v>
      </c>
      <c r="H138">
        <v>1381.5281981999999</v>
      </c>
      <c r="I138">
        <v>1258.0092772999999</v>
      </c>
      <c r="J138">
        <v>1221.8466797000001</v>
      </c>
      <c r="K138">
        <v>2200</v>
      </c>
      <c r="L138">
        <v>0</v>
      </c>
      <c r="M138">
        <v>0</v>
      </c>
      <c r="N138">
        <v>2200</v>
      </c>
    </row>
    <row r="139" spans="1:14" x14ac:dyDescent="0.25">
      <c r="A139">
        <v>10.235379</v>
      </c>
      <c r="B139" s="1">
        <f>DATE(2010,5,11) + TIME(5,38,56)</f>
        <v>40309.23537037037</v>
      </c>
      <c r="C139">
        <v>80</v>
      </c>
      <c r="D139">
        <v>79.888435364000003</v>
      </c>
      <c r="E139">
        <v>50</v>
      </c>
      <c r="F139">
        <v>14.996274948</v>
      </c>
      <c r="G139">
        <v>1394.6763916</v>
      </c>
      <c r="H139">
        <v>1381.4111327999999</v>
      </c>
      <c r="I139">
        <v>1258.012207</v>
      </c>
      <c r="J139">
        <v>1221.8494873</v>
      </c>
      <c r="K139">
        <v>2200</v>
      </c>
      <c r="L139">
        <v>0</v>
      </c>
      <c r="M139">
        <v>0</v>
      </c>
      <c r="N139">
        <v>2200</v>
      </c>
    </row>
    <row r="140" spans="1:14" x14ac:dyDescent="0.25">
      <c r="A140">
        <v>10.447863</v>
      </c>
      <c r="B140" s="1">
        <f>DATE(2010,5,11) + TIME(10,44,55)</f>
        <v>40309.447858796295</v>
      </c>
      <c r="C140">
        <v>80</v>
      </c>
      <c r="D140">
        <v>79.888900757000002</v>
      </c>
      <c r="E140">
        <v>50</v>
      </c>
      <c r="F140">
        <v>14.996295929</v>
      </c>
      <c r="G140">
        <v>1394.5585937999999</v>
      </c>
      <c r="H140">
        <v>1381.2950439000001</v>
      </c>
      <c r="I140">
        <v>1258.0152588000001</v>
      </c>
      <c r="J140">
        <v>1221.8524170000001</v>
      </c>
      <c r="K140">
        <v>2200</v>
      </c>
      <c r="L140">
        <v>0</v>
      </c>
      <c r="M140">
        <v>0</v>
      </c>
      <c r="N140">
        <v>2200</v>
      </c>
    </row>
    <row r="141" spans="1:14" x14ac:dyDescent="0.25">
      <c r="A141">
        <v>10.663252999999999</v>
      </c>
      <c r="B141" s="1">
        <f>DATE(2010,5,11) + TIME(15,55,5)</f>
        <v>40309.663252314815</v>
      </c>
      <c r="C141">
        <v>80</v>
      </c>
      <c r="D141">
        <v>79.889312743999994</v>
      </c>
      <c r="E141">
        <v>50</v>
      </c>
      <c r="F141">
        <v>14.996315956</v>
      </c>
      <c r="G141">
        <v>1394.4417725000001</v>
      </c>
      <c r="H141">
        <v>1381.1800536999999</v>
      </c>
      <c r="I141">
        <v>1258.0183105000001</v>
      </c>
      <c r="J141">
        <v>1221.8554687999999</v>
      </c>
      <c r="K141">
        <v>2200</v>
      </c>
      <c r="L141">
        <v>0</v>
      </c>
      <c r="M141">
        <v>0</v>
      </c>
      <c r="N141">
        <v>2200</v>
      </c>
    </row>
    <row r="142" spans="1:14" x14ac:dyDescent="0.25">
      <c r="A142">
        <v>10.881898</v>
      </c>
      <c r="B142" s="1">
        <f>DATE(2010,5,11) + TIME(21,9,55)</f>
        <v>40309.881886574076</v>
      </c>
      <c r="C142">
        <v>80</v>
      </c>
      <c r="D142">
        <v>79.889694214000002</v>
      </c>
      <c r="E142">
        <v>50</v>
      </c>
      <c r="F142">
        <v>14.996335983</v>
      </c>
      <c r="G142">
        <v>1394.3255615</v>
      </c>
      <c r="H142">
        <v>1381.0657959</v>
      </c>
      <c r="I142">
        <v>1258.0213623</v>
      </c>
      <c r="J142">
        <v>1221.8583983999999</v>
      </c>
      <c r="K142">
        <v>2200</v>
      </c>
      <c r="L142">
        <v>0</v>
      </c>
      <c r="M142">
        <v>0</v>
      </c>
      <c r="N142">
        <v>2200</v>
      </c>
    </row>
    <row r="143" spans="1:14" x14ac:dyDescent="0.25">
      <c r="A143">
        <v>11.103617</v>
      </c>
      <c r="B143" s="1">
        <f>DATE(2010,5,12) + TIME(2,29,12)</f>
        <v>40310.10361111111</v>
      </c>
      <c r="C143">
        <v>80</v>
      </c>
      <c r="D143">
        <v>79.890045165999993</v>
      </c>
      <c r="E143">
        <v>50</v>
      </c>
      <c r="F143">
        <v>14.99635601</v>
      </c>
      <c r="G143">
        <v>1394.2098389</v>
      </c>
      <c r="H143">
        <v>1380.9520264</v>
      </c>
      <c r="I143">
        <v>1258.0245361</v>
      </c>
      <c r="J143">
        <v>1221.8614502</v>
      </c>
      <c r="K143">
        <v>2200</v>
      </c>
      <c r="L143">
        <v>0</v>
      </c>
      <c r="M143">
        <v>0</v>
      </c>
      <c r="N143">
        <v>2200</v>
      </c>
    </row>
    <row r="144" spans="1:14" x14ac:dyDescent="0.25">
      <c r="A144">
        <v>11.328580000000001</v>
      </c>
      <c r="B144" s="1">
        <f>DATE(2010,5,12) + TIME(7,53,9)</f>
        <v>40310.328576388885</v>
      </c>
      <c r="C144">
        <v>80</v>
      </c>
      <c r="D144">
        <v>79.890357971</v>
      </c>
      <c r="E144">
        <v>50</v>
      </c>
      <c r="F144">
        <v>14.996376037999999</v>
      </c>
      <c r="G144">
        <v>1394.0947266000001</v>
      </c>
      <c r="H144">
        <v>1380.8389893000001</v>
      </c>
      <c r="I144">
        <v>1258.0277100000001</v>
      </c>
      <c r="J144">
        <v>1221.8645019999999</v>
      </c>
      <c r="K144">
        <v>2200</v>
      </c>
      <c r="L144">
        <v>0</v>
      </c>
      <c r="M144">
        <v>0</v>
      </c>
      <c r="N144">
        <v>2200</v>
      </c>
    </row>
    <row r="145" spans="1:14" x14ac:dyDescent="0.25">
      <c r="A145">
        <v>11.557143999999999</v>
      </c>
      <c r="B145" s="1">
        <f>DATE(2010,5,12) + TIME(13,22,17)</f>
        <v>40310.557141203702</v>
      </c>
      <c r="C145">
        <v>80</v>
      </c>
      <c r="D145">
        <v>79.890647888000004</v>
      </c>
      <c r="E145">
        <v>50</v>
      </c>
      <c r="F145">
        <v>14.996396065000001</v>
      </c>
      <c r="G145">
        <v>1393.9802245999999</v>
      </c>
      <c r="H145">
        <v>1380.7265625</v>
      </c>
      <c r="I145">
        <v>1258.0310059000001</v>
      </c>
      <c r="J145">
        <v>1221.8676757999999</v>
      </c>
      <c r="K145">
        <v>2200</v>
      </c>
      <c r="L145">
        <v>0</v>
      </c>
      <c r="M145">
        <v>0</v>
      </c>
      <c r="N145">
        <v>2200</v>
      </c>
    </row>
    <row r="146" spans="1:14" x14ac:dyDescent="0.25">
      <c r="A146">
        <v>11.789781</v>
      </c>
      <c r="B146" s="1">
        <f>DATE(2010,5,12) + TIME(18,57,17)</f>
        <v>40310.789780092593</v>
      </c>
      <c r="C146">
        <v>80</v>
      </c>
      <c r="D146">
        <v>79.890914917000003</v>
      </c>
      <c r="E146">
        <v>50</v>
      </c>
      <c r="F146">
        <v>14.996416092</v>
      </c>
      <c r="G146">
        <v>1393.8659668</v>
      </c>
      <c r="H146">
        <v>1380.614624</v>
      </c>
      <c r="I146">
        <v>1258.0343018000001</v>
      </c>
      <c r="J146">
        <v>1221.8708495999999</v>
      </c>
      <c r="K146">
        <v>2200</v>
      </c>
      <c r="L146">
        <v>0</v>
      </c>
      <c r="M146">
        <v>0</v>
      </c>
      <c r="N146">
        <v>2200</v>
      </c>
    </row>
    <row r="147" spans="1:14" x14ac:dyDescent="0.25">
      <c r="A147">
        <v>12.026824</v>
      </c>
      <c r="B147" s="1">
        <f>DATE(2010,5,13) + TIME(0,38,37)</f>
        <v>40311.026817129627</v>
      </c>
      <c r="C147">
        <v>80</v>
      </c>
      <c r="D147">
        <v>79.891159058</v>
      </c>
      <c r="E147">
        <v>50</v>
      </c>
      <c r="F147">
        <v>14.996436119</v>
      </c>
      <c r="G147">
        <v>1393.7519531</v>
      </c>
      <c r="H147">
        <v>1380.5028076000001</v>
      </c>
      <c r="I147">
        <v>1258.0375977000001</v>
      </c>
      <c r="J147">
        <v>1221.8740233999999</v>
      </c>
      <c r="K147">
        <v>2200</v>
      </c>
      <c r="L147">
        <v>0</v>
      </c>
      <c r="M147">
        <v>0</v>
      </c>
      <c r="N147">
        <v>2200</v>
      </c>
    </row>
    <row r="148" spans="1:14" x14ac:dyDescent="0.25">
      <c r="A148">
        <v>12.268694</v>
      </c>
      <c r="B148" s="1">
        <f>DATE(2010,5,13) + TIME(6,26,55)</f>
        <v>40311.268692129626</v>
      </c>
      <c r="C148">
        <v>80</v>
      </c>
      <c r="D148">
        <v>79.891387938999998</v>
      </c>
      <c r="E148">
        <v>50</v>
      </c>
      <c r="F148">
        <v>14.996456146</v>
      </c>
      <c r="G148">
        <v>1393.6379394999999</v>
      </c>
      <c r="H148">
        <v>1380.3912353999999</v>
      </c>
      <c r="I148">
        <v>1258.0410156</v>
      </c>
      <c r="J148">
        <v>1221.8773193</v>
      </c>
      <c r="K148">
        <v>2200</v>
      </c>
      <c r="L148">
        <v>0</v>
      </c>
      <c r="M148">
        <v>0</v>
      </c>
      <c r="N148">
        <v>2200</v>
      </c>
    </row>
    <row r="149" spans="1:14" x14ac:dyDescent="0.25">
      <c r="A149">
        <v>12.515852000000001</v>
      </c>
      <c r="B149" s="1">
        <f>DATE(2010,5,13) + TIME(12,22,49)</f>
        <v>40311.515844907408</v>
      </c>
      <c r="C149">
        <v>80</v>
      </c>
      <c r="D149">
        <v>79.891593932999996</v>
      </c>
      <c r="E149">
        <v>50</v>
      </c>
      <c r="F149">
        <v>14.996476173</v>
      </c>
      <c r="G149">
        <v>1393.5238036999999</v>
      </c>
      <c r="H149">
        <v>1380.2794189000001</v>
      </c>
      <c r="I149">
        <v>1258.0445557</v>
      </c>
      <c r="J149">
        <v>1221.8807373</v>
      </c>
      <c r="K149">
        <v>2200</v>
      </c>
      <c r="L149">
        <v>0</v>
      </c>
      <c r="M149">
        <v>0</v>
      </c>
      <c r="N149">
        <v>2200</v>
      </c>
    </row>
    <row r="150" spans="1:14" x14ac:dyDescent="0.25">
      <c r="A150">
        <v>12.76882</v>
      </c>
      <c r="B150" s="1">
        <f>DATE(2010,5,13) + TIME(18,27,6)</f>
        <v>40311.768819444442</v>
      </c>
      <c r="C150">
        <v>80</v>
      </c>
      <c r="D150">
        <v>79.891784668</v>
      </c>
      <c r="E150">
        <v>50</v>
      </c>
      <c r="F150">
        <v>14.996496200999999</v>
      </c>
      <c r="G150">
        <v>1393.4093018000001</v>
      </c>
      <c r="H150">
        <v>1380.1674805</v>
      </c>
      <c r="I150">
        <v>1258.0480957</v>
      </c>
      <c r="J150">
        <v>1221.8841553</v>
      </c>
      <c r="K150">
        <v>2200</v>
      </c>
      <c r="L150">
        <v>0</v>
      </c>
      <c r="M150">
        <v>0</v>
      </c>
      <c r="N150">
        <v>2200</v>
      </c>
    </row>
    <row r="151" spans="1:14" x14ac:dyDescent="0.25">
      <c r="A151">
        <v>13.027964000000001</v>
      </c>
      <c r="B151" s="1">
        <f>DATE(2010,5,14) + TIME(0,40,16)</f>
        <v>40312.027962962966</v>
      </c>
      <c r="C151">
        <v>80</v>
      </c>
      <c r="D151">
        <v>79.891967773000005</v>
      </c>
      <c r="E151">
        <v>50</v>
      </c>
      <c r="F151">
        <v>14.996517181</v>
      </c>
      <c r="G151">
        <v>1393.2943115</v>
      </c>
      <c r="H151">
        <v>1380.0551757999999</v>
      </c>
      <c r="I151">
        <v>1258.0517577999999</v>
      </c>
      <c r="J151">
        <v>1221.8876952999999</v>
      </c>
      <c r="K151">
        <v>2200</v>
      </c>
      <c r="L151">
        <v>0</v>
      </c>
      <c r="M151">
        <v>0</v>
      </c>
      <c r="N151">
        <v>2200</v>
      </c>
    </row>
    <row r="152" spans="1:14" x14ac:dyDescent="0.25">
      <c r="A152">
        <v>13.293405999999999</v>
      </c>
      <c r="B152" s="1">
        <f>DATE(2010,5,14) + TIME(7,2,30)</f>
        <v>40312.293402777781</v>
      </c>
      <c r="C152">
        <v>80</v>
      </c>
      <c r="D152">
        <v>79.892135620000005</v>
      </c>
      <c r="E152">
        <v>50</v>
      </c>
      <c r="F152">
        <v>14.996537209</v>
      </c>
      <c r="G152">
        <v>1393.1788329999999</v>
      </c>
      <c r="H152">
        <v>1379.9423827999999</v>
      </c>
      <c r="I152">
        <v>1258.0555420000001</v>
      </c>
      <c r="J152">
        <v>1221.8912353999999</v>
      </c>
      <c r="K152">
        <v>2200</v>
      </c>
      <c r="L152">
        <v>0</v>
      </c>
      <c r="M152">
        <v>0</v>
      </c>
      <c r="N152">
        <v>2200</v>
      </c>
    </row>
    <row r="153" spans="1:14" x14ac:dyDescent="0.25">
      <c r="A153">
        <v>13.565238000000001</v>
      </c>
      <c r="B153" s="1">
        <f>DATE(2010,5,14) + TIME(13,33,56)</f>
        <v>40312.56523148148</v>
      </c>
      <c r="C153">
        <v>80</v>
      </c>
      <c r="D153">
        <v>79.892288207999997</v>
      </c>
      <c r="E153">
        <v>50</v>
      </c>
      <c r="F153">
        <v>14.996557235999999</v>
      </c>
      <c r="G153">
        <v>1393.0627440999999</v>
      </c>
      <c r="H153">
        <v>1379.8291016000001</v>
      </c>
      <c r="I153">
        <v>1258.0593262</v>
      </c>
      <c r="J153">
        <v>1221.8948975000001</v>
      </c>
      <c r="K153">
        <v>2200</v>
      </c>
      <c r="L153">
        <v>0</v>
      </c>
      <c r="M153">
        <v>0</v>
      </c>
      <c r="N153">
        <v>2200</v>
      </c>
    </row>
    <row r="154" spans="1:14" x14ac:dyDescent="0.25">
      <c r="A154">
        <v>13.842663999999999</v>
      </c>
      <c r="B154" s="1">
        <f>DATE(2010,5,14) + TIME(20,13,26)</f>
        <v>40312.842662037037</v>
      </c>
      <c r="C154">
        <v>80</v>
      </c>
      <c r="D154">
        <v>79.892433166999993</v>
      </c>
      <c r="E154">
        <v>50</v>
      </c>
      <c r="F154">
        <v>14.996578217</v>
      </c>
      <c r="G154">
        <v>1392.9461670000001</v>
      </c>
      <c r="H154">
        <v>1379.7154541</v>
      </c>
      <c r="I154">
        <v>1258.0632324000001</v>
      </c>
      <c r="J154">
        <v>1221.8986815999999</v>
      </c>
      <c r="K154">
        <v>2200</v>
      </c>
      <c r="L154">
        <v>0</v>
      </c>
      <c r="M154">
        <v>0</v>
      </c>
      <c r="N154">
        <v>2200</v>
      </c>
    </row>
    <row r="155" spans="1:14" x14ac:dyDescent="0.25">
      <c r="A155">
        <v>14.120291</v>
      </c>
      <c r="B155" s="1">
        <f>DATE(2010,5,15) + TIME(2,53,13)</f>
        <v>40313.120289351849</v>
      </c>
      <c r="C155">
        <v>80</v>
      </c>
      <c r="D155">
        <v>79.892562866000006</v>
      </c>
      <c r="E155">
        <v>50</v>
      </c>
      <c r="F155">
        <v>14.996598243999999</v>
      </c>
      <c r="G155">
        <v>1392.8294678</v>
      </c>
      <c r="H155">
        <v>1379.6016846</v>
      </c>
      <c r="I155">
        <v>1258.0672606999999</v>
      </c>
      <c r="J155">
        <v>1221.9025879000001</v>
      </c>
      <c r="K155">
        <v>2200</v>
      </c>
      <c r="L155">
        <v>0</v>
      </c>
      <c r="M155">
        <v>0</v>
      </c>
      <c r="N155">
        <v>2200</v>
      </c>
    </row>
    <row r="156" spans="1:14" x14ac:dyDescent="0.25">
      <c r="A156">
        <v>14.398529</v>
      </c>
      <c r="B156" s="1">
        <f>DATE(2010,5,15) + TIME(9,33,52)</f>
        <v>40313.398518518516</v>
      </c>
      <c r="C156">
        <v>80</v>
      </c>
      <c r="D156">
        <v>79.892684936999999</v>
      </c>
      <c r="E156">
        <v>50</v>
      </c>
      <c r="F156">
        <v>14.996618270999999</v>
      </c>
      <c r="G156">
        <v>1392.7147216999999</v>
      </c>
      <c r="H156">
        <v>1379.4899902</v>
      </c>
      <c r="I156">
        <v>1258.0711670000001</v>
      </c>
      <c r="J156">
        <v>1221.9063721</v>
      </c>
      <c r="K156">
        <v>2200</v>
      </c>
      <c r="L156">
        <v>0</v>
      </c>
      <c r="M156">
        <v>0</v>
      </c>
      <c r="N156">
        <v>2200</v>
      </c>
    </row>
    <row r="157" spans="1:14" x14ac:dyDescent="0.25">
      <c r="A157">
        <v>14.677854999999999</v>
      </c>
      <c r="B157" s="1">
        <f>DATE(2010,5,15) + TIME(16,16,6)</f>
        <v>40313.677847222221</v>
      </c>
      <c r="C157">
        <v>80</v>
      </c>
      <c r="D157">
        <v>79.892791747999993</v>
      </c>
      <c r="E157">
        <v>50</v>
      </c>
      <c r="F157">
        <v>14.996638298000001</v>
      </c>
      <c r="G157">
        <v>1392.6020507999999</v>
      </c>
      <c r="H157">
        <v>1379.380249</v>
      </c>
      <c r="I157">
        <v>1258.0751952999999</v>
      </c>
      <c r="J157">
        <v>1221.9101562000001</v>
      </c>
      <c r="K157">
        <v>2200</v>
      </c>
      <c r="L157">
        <v>0</v>
      </c>
      <c r="M157">
        <v>0</v>
      </c>
      <c r="N157">
        <v>2200</v>
      </c>
    </row>
    <row r="158" spans="1:14" x14ac:dyDescent="0.25">
      <c r="A158">
        <v>14.958729</v>
      </c>
      <c r="B158" s="1">
        <f>DATE(2010,5,15) + TIME(23,0,34)</f>
        <v>40313.958726851852</v>
      </c>
      <c r="C158">
        <v>80</v>
      </c>
      <c r="D158">
        <v>79.892898560000006</v>
      </c>
      <c r="E158">
        <v>50</v>
      </c>
      <c r="F158">
        <v>14.996657372</v>
      </c>
      <c r="G158">
        <v>1392.4909668</v>
      </c>
      <c r="H158">
        <v>1379.2722168</v>
      </c>
      <c r="I158">
        <v>1258.0792236</v>
      </c>
      <c r="J158">
        <v>1221.9140625</v>
      </c>
      <c r="K158">
        <v>2200</v>
      </c>
      <c r="L158">
        <v>0</v>
      </c>
      <c r="M158">
        <v>0</v>
      </c>
      <c r="N158">
        <v>2200</v>
      </c>
    </row>
    <row r="159" spans="1:14" x14ac:dyDescent="0.25">
      <c r="A159">
        <v>15.241592000000001</v>
      </c>
      <c r="B159" s="1">
        <f>DATE(2010,5,16) + TIME(5,47,53)</f>
        <v>40314.241585648146</v>
      </c>
      <c r="C159">
        <v>80</v>
      </c>
      <c r="D159">
        <v>79.892990112000007</v>
      </c>
      <c r="E159">
        <v>50</v>
      </c>
      <c r="F159">
        <v>14.996676445</v>
      </c>
      <c r="G159">
        <v>1392.3812256000001</v>
      </c>
      <c r="H159">
        <v>1379.1656493999999</v>
      </c>
      <c r="I159">
        <v>1258.0832519999999</v>
      </c>
      <c r="J159">
        <v>1221.9179687999999</v>
      </c>
      <c r="K159">
        <v>2200</v>
      </c>
      <c r="L159">
        <v>0</v>
      </c>
      <c r="M159">
        <v>0</v>
      </c>
      <c r="N159">
        <v>2200</v>
      </c>
    </row>
    <row r="160" spans="1:14" x14ac:dyDescent="0.25">
      <c r="A160">
        <v>15.526892</v>
      </c>
      <c r="B160" s="1">
        <f>DATE(2010,5,16) + TIME(12,38,43)</f>
        <v>40314.526886574073</v>
      </c>
      <c r="C160">
        <v>80</v>
      </c>
      <c r="D160">
        <v>79.893074036000002</v>
      </c>
      <c r="E160">
        <v>50</v>
      </c>
      <c r="F160">
        <v>14.996695517999999</v>
      </c>
      <c r="G160">
        <v>1392.2727050999999</v>
      </c>
      <c r="H160">
        <v>1379.0603027</v>
      </c>
      <c r="I160">
        <v>1258.0874022999999</v>
      </c>
      <c r="J160">
        <v>1221.921875</v>
      </c>
      <c r="K160">
        <v>2200</v>
      </c>
      <c r="L160">
        <v>0</v>
      </c>
      <c r="M160">
        <v>0</v>
      </c>
      <c r="N160">
        <v>2200</v>
      </c>
    </row>
    <row r="161" spans="1:14" x14ac:dyDescent="0.25">
      <c r="A161">
        <v>15.815079000000001</v>
      </c>
      <c r="B161" s="1">
        <f>DATE(2010,5,16) + TIME(19,33,42)</f>
        <v>40314.815069444441</v>
      </c>
      <c r="C161">
        <v>80</v>
      </c>
      <c r="D161">
        <v>79.893157959000007</v>
      </c>
      <c r="E161">
        <v>50</v>
      </c>
      <c r="F161">
        <v>14.996714592</v>
      </c>
      <c r="G161">
        <v>1392.1652832</v>
      </c>
      <c r="H161">
        <v>1378.9559326000001</v>
      </c>
      <c r="I161">
        <v>1258.0914307</v>
      </c>
      <c r="J161">
        <v>1221.9259033000001</v>
      </c>
      <c r="K161">
        <v>2200</v>
      </c>
      <c r="L161">
        <v>0</v>
      </c>
      <c r="M161">
        <v>0</v>
      </c>
      <c r="N161">
        <v>2200</v>
      </c>
    </row>
    <row r="162" spans="1:14" x14ac:dyDescent="0.25">
      <c r="A162">
        <v>16.106618000000001</v>
      </c>
      <c r="B162" s="1">
        <f>DATE(2010,5,17) + TIME(2,33,31)</f>
        <v>40315.106608796297</v>
      </c>
      <c r="C162">
        <v>80</v>
      </c>
      <c r="D162">
        <v>79.893234253000003</v>
      </c>
      <c r="E162">
        <v>50</v>
      </c>
      <c r="F162">
        <v>14.996733665000001</v>
      </c>
      <c r="G162">
        <v>1392.0585937999999</v>
      </c>
      <c r="H162">
        <v>1378.8524170000001</v>
      </c>
      <c r="I162">
        <v>1258.0957031</v>
      </c>
      <c r="J162">
        <v>1221.9298096</v>
      </c>
      <c r="K162">
        <v>2200</v>
      </c>
      <c r="L162">
        <v>0</v>
      </c>
      <c r="M162">
        <v>0</v>
      </c>
      <c r="N162">
        <v>2200</v>
      </c>
    </row>
    <row r="163" spans="1:14" x14ac:dyDescent="0.25">
      <c r="A163">
        <v>16.401019999999999</v>
      </c>
      <c r="B163" s="1">
        <f>DATE(2010,5,17) + TIME(9,37,28)</f>
        <v>40315.401018518518</v>
      </c>
      <c r="C163">
        <v>80</v>
      </c>
      <c r="D163">
        <v>79.893310546999999</v>
      </c>
      <c r="E163">
        <v>50</v>
      </c>
      <c r="F163">
        <v>14.996752739</v>
      </c>
      <c r="G163">
        <v>1391.9525146000001</v>
      </c>
      <c r="H163">
        <v>1378.7496338000001</v>
      </c>
      <c r="I163">
        <v>1258.0998535000001</v>
      </c>
      <c r="J163">
        <v>1221.9339600000001</v>
      </c>
      <c r="K163">
        <v>2200</v>
      </c>
      <c r="L163">
        <v>0</v>
      </c>
      <c r="M163">
        <v>0</v>
      </c>
      <c r="N163">
        <v>2200</v>
      </c>
    </row>
    <row r="164" spans="1:14" x14ac:dyDescent="0.25">
      <c r="A164">
        <v>16.698440999999999</v>
      </c>
      <c r="B164" s="1">
        <f>DATE(2010,5,17) + TIME(16,45,45)</f>
        <v>40315.698437500003</v>
      </c>
      <c r="C164">
        <v>80</v>
      </c>
      <c r="D164">
        <v>79.893379210999996</v>
      </c>
      <c r="E164">
        <v>50</v>
      </c>
      <c r="F164">
        <v>14.996771812</v>
      </c>
      <c r="G164">
        <v>1391.8472899999999</v>
      </c>
      <c r="H164">
        <v>1378.6478271000001</v>
      </c>
      <c r="I164">
        <v>1258.104126</v>
      </c>
      <c r="J164">
        <v>1221.9379882999999</v>
      </c>
      <c r="K164">
        <v>2200</v>
      </c>
      <c r="L164">
        <v>0</v>
      </c>
      <c r="M164">
        <v>0</v>
      </c>
      <c r="N164">
        <v>2200</v>
      </c>
    </row>
    <row r="165" spans="1:14" x14ac:dyDescent="0.25">
      <c r="A165">
        <v>16.99933</v>
      </c>
      <c r="B165" s="1">
        <f>DATE(2010,5,17) + TIME(23,59,2)</f>
        <v>40315.999328703707</v>
      </c>
      <c r="C165">
        <v>80</v>
      </c>
      <c r="D165">
        <v>79.893440247000001</v>
      </c>
      <c r="E165">
        <v>50</v>
      </c>
      <c r="F165">
        <v>14.996789932</v>
      </c>
      <c r="G165">
        <v>1391.7427978999999</v>
      </c>
      <c r="H165">
        <v>1378.5466309000001</v>
      </c>
      <c r="I165">
        <v>1258.1083983999999</v>
      </c>
      <c r="J165">
        <v>1221.9421387</v>
      </c>
      <c r="K165">
        <v>2200</v>
      </c>
      <c r="L165">
        <v>0</v>
      </c>
      <c r="M165">
        <v>0</v>
      </c>
      <c r="N165">
        <v>2200</v>
      </c>
    </row>
    <row r="166" spans="1:14" x14ac:dyDescent="0.25">
      <c r="A166">
        <v>17.304148999999999</v>
      </c>
      <c r="B166" s="1">
        <f>DATE(2010,5,18) + TIME(7,17,58)</f>
        <v>40316.304143518515</v>
      </c>
      <c r="C166">
        <v>80</v>
      </c>
      <c r="D166">
        <v>79.893501282000003</v>
      </c>
      <c r="E166">
        <v>50</v>
      </c>
      <c r="F166">
        <v>14.996809005999999</v>
      </c>
      <c r="G166">
        <v>1391.6389160000001</v>
      </c>
      <c r="H166">
        <v>1378.4461670000001</v>
      </c>
      <c r="I166">
        <v>1258.112793</v>
      </c>
      <c r="J166">
        <v>1221.9462891000001</v>
      </c>
      <c r="K166">
        <v>2200</v>
      </c>
      <c r="L166">
        <v>0</v>
      </c>
      <c r="M166">
        <v>0</v>
      </c>
      <c r="N166">
        <v>2200</v>
      </c>
    </row>
    <row r="167" spans="1:14" x14ac:dyDescent="0.25">
      <c r="A167">
        <v>17.613392999999999</v>
      </c>
      <c r="B167" s="1">
        <f>DATE(2010,5,18) + TIME(14,43,17)</f>
        <v>40316.613391203704</v>
      </c>
      <c r="C167">
        <v>80</v>
      </c>
      <c r="D167">
        <v>79.893562317000004</v>
      </c>
      <c r="E167">
        <v>50</v>
      </c>
      <c r="F167">
        <v>14.996827125999999</v>
      </c>
      <c r="G167">
        <v>1391.5355225000001</v>
      </c>
      <c r="H167">
        <v>1378.3460693</v>
      </c>
      <c r="I167">
        <v>1258.1171875</v>
      </c>
      <c r="J167">
        <v>1221.9505615</v>
      </c>
      <c r="K167">
        <v>2200</v>
      </c>
      <c r="L167">
        <v>0</v>
      </c>
      <c r="M167">
        <v>0</v>
      </c>
      <c r="N167">
        <v>2200</v>
      </c>
    </row>
    <row r="168" spans="1:14" x14ac:dyDescent="0.25">
      <c r="A168">
        <v>17.927696000000001</v>
      </c>
      <c r="B168" s="1">
        <f>DATE(2010,5,18) + TIME(22,15,52)</f>
        <v>40316.927685185183</v>
      </c>
      <c r="C168">
        <v>80</v>
      </c>
      <c r="D168">
        <v>79.893623352000006</v>
      </c>
      <c r="E168">
        <v>50</v>
      </c>
      <c r="F168">
        <v>14.996845244999999</v>
      </c>
      <c r="G168">
        <v>1391.432251</v>
      </c>
      <c r="H168">
        <v>1378.2464600000001</v>
      </c>
      <c r="I168">
        <v>1258.1217041</v>
      </c>
      <c r="J168">
        <v>1221.9549560999999</v>
      </c>
      <c r="K168">
        <v>2200</v>
      </c>
      <c r="L168">
        <v>0</v>
      </c>
      <c r="M168">
        <v>0</v>
      </c>
      <c r="N168">
        <v>2200</v>
      </c>
    </row>
    <row r="169" spans="1:14" x14ac:dyDescent="0.25">
      <c r="A169">
        <v>18.247479999999999</v>
      </c>
      <c r="B169" s="1">
        <f>DATE(2010,5,19) + TIME(5,56,22)</f>
        <v>40317.247476851851</v>
      </c>
      <c r="C169">
        <v>80</v>
      </c>
      <c r="D169">
        <v>79.893676757999998</v>
      </c>
      <c r="E169">
        <v>50</v>
      </c>
      <c r="F169">
        <v>14.996864319</v>
      </c>
      <c r="G169">
        <v>1391.3292236</v>
      </c>
      <c r="H169">
        <v>1378.1468506000001</v>
      </c>
      <c r="I169">
        <v>1258.1263428</v>
      </c>
      <c r="J169">
        <v>1221.9593506000001</v>
      </c>
      <c r="K169">
        <v>2200</v>
      </c>
      <c r="L169">
        <v>0</v>
      </c>
      <c r="M169">
        <v>0</v>
      </c>
      <c r="N169">
        <v>2200</v>
      </c>
    </row>
    <row r="170" spans="1:14" x14ac:dyDescent="0.25">
      <c r="A170">
        <v>18.573311</v>
      </c>
      <c r="B170" s="1">
        <f>DATE(2010,5,19) + TIME(13,45,34)</f>
        <v>40317.573310185187</v>
      </c>
      <c r="C170">
        <v>80</v>
      </c>
      <c r="D170">
        <v>79.893730164000004</v>
      </c>
      <c r="E170">
        <v>50</v>
      </c>
      <c r="F170">
        <v>14.996882439</v>
      </c>
      <c r="G170">
        <v>1391.2260742000001</v>
      </c>
      <c r="H170">
        <v>1378.0473632999999</v>
      </c>
      <c r="I170">
        <v>1258.1309814000001</v>
      </c>
      <c r="J170">
        <v>1221.9637451000001</v>
      </c>
      <c r="K170">
        <v>2200</v>
      </c>
      <c r="L170">
        <v>0</v>
      </c>
      <c r="M170">
        <v>0</v>
      </c>
      <c r="N170">
        <v>2200</v>
      </c>
    </row>
    <row r="171" spans="1:14" x14ac:dyDescent="0.25">
      <c r="A171">
        <v>18.905833000000001</v>
      </c>
      <c r="B171" s="1">
        <f>DATE(2010,5,19) + TIME(21,44,23)</f>
        <v>40317.905821759261</v>
      </c>
      <c r="C171">
        <v>80</v>
      </c>
      <c r="D171">
        <v>79.893783568999993</v>
      </c>
      <c r="E171">
        <v>50</v>
      </c>
      <c r="F171">
        <v>14.996900558</v>
      </c>
      <c r="G171">
        <v>1391.1226807</v>
      </c>
      <c r="H171">
        <v>1377.9477539</v>
      </c>
      <c r="I171">
        <v>1258.1357422000001</v>
      </c>
      <c r="J171">
        <v>1221.9683838000001</v>
      </c>
      <c r="K171">
        <v>2200</v>
      </c>
      <c r="L171">
        <v>0</v>
      </c>
      <c r="M171">
        <v>0</v>
      </c>
      <c r="N171">
        <v>2200</v>
      </c>
    </row>
    <row r="172" spans="1:14" x14ac:dyDescent="0.25">
      <c r="A172">
        <v>19.245736999999998</v>
      </c>
      <c r="B172" s="1">
        <f>DATE(2010,5,20) + TIME(5,53,51)</f>
        <v>40318.245729166665</v>
      </c>
      <c r="C172">
        <v>80</v>
      </c>
      <c r="D172">
        <v>79.893829346000004</v>
      </c>
      <c r="E172">
        <v>50</v>
      </c>
      <c r="F172">
        <v>14.996919632000001</v>
      </c>
      <c r="G172">
        <v>1391.019043</v>
      </c>
      <c r="H172">
        <v>1377.8477783000001</v>
      </c>
      <c r="I172">
        <v>1258.140625</v>
      </c>
      <c r="J172">
        <v>1221.9730225000001</v>
      </c>
      <c r="K172">
        <v>2200</v>
      </c>
      <c r="L172">
        <v>0</v>
      </c>
      <c r="M172">
        <v>0</v>
      </c>
      <c r="N172">
        <v>2200</v>
      </c>
    </row>
    <row r="173" spans="1:14" x14ac:dyDescent="0.25">
      <c r="A173">
        <v>19.592776000000001</v>
      </c>
      <c r="B173" s="1">
        <f>DATE(2010,5,20) + TIME(14,13,35)</f>
        <v>40318.592766203707</v>
      </c>
      <c r="C173">
        <v>80</v>
      </c>
      <c r="D173">
        <v>79.893882751000007</v>
      </c>
      <c r="E173">
        <v>50</v>
      </c>
      <c r="F173">
        <v>14.996938705</v>
      </c>
      <c r="G173">
        <v>1390.9147949000001</v>
      </c>
      <c r="H173">
        <v>1377.7474365</v>
      </c>
      <c r="I173">
        <v>1258.1456298999999</v>
      </c>
      <c r="J173">
        <v>1221.9777832</v>
      </c>
      <c r="K173">
        <v>2200</v>
      </c>
      <c r="L173">
        <v>0</v>
      </c>
      <c r="M173">
        <v>0</v>
      </c>
      <c r="N173">
        <v>2200</v>
      </c>
    </row>
    <row r="174" spans="1:14" x14ac:dyDescent="0.25">
      <c r="A174">
        <v>19.947066</v>
      </c>
      <c r="B174" s="1">
        <f>DATE(2010,5,20) + TIME(22,43,46)</f>
        <v>40318.947060185186</v>
      </c>
      <c r="C174">
        <v>80</v>
      </c>
      <c r="D174">
        <v>79.893928528000004</v>
      </c>
      <c r="E174">
        <v>50</v>
      </c>
      <c r="F174">
        <v>14.996956825</v>
      </c>
      <c r="G174">
        <v>1390.8103027</v>
      </c>
      <c r="H174">
        <v>1377.6468506000001</v>
      </c>
      <c r="I174">
        <v>1258.1507568</v>
      </c>
      <c r="J174">
        <v>1221.9826660000001</v>
      </c>
      <c r="K174">
        <v>2200</v>
      </c>
      <c r="L174">
        <v>0</v>
      </c>
      <c r="M174">
        <v>0</v>
      </c>
      <c r="N174">
        <v>2200</v>
      </c>
    </row>
    <row r="175" spans="1:14" x14ac:dyDescent="0.25">
      <c r="A175">
        <v>20.305143000000001</v>
      </c>
      <c r="B175" s="1">
        <f>DATE(2010,5,21) + TIME(7,19,24)</f>
        <v>40319.305138888885</v>
      </c>
      <c r="C175">
        <v>80</v>
      </c>
      <c r="D175">
        <v>79.893981933999996</v>
      </c>
      <c r="E175">
        <v>50</v>
      </c>
      <c r="F175">
        <v>14.996975899000001</v>
      </c>
      <c r="G175">
        <v>1390.7053223</v>
      </c>
      <c r="H175">
        <v>1377.5458983999999</v>
      </c>
      <c r="I175">
        <v>1258.1558838000001</v>
      </c>
      <c r="J175">
        <v>1221.9876709</v>
      </c>
      <c r="K175">
        <v>2200</v>
      </c>
      <c r="L175">
        <v>0</v>
      </c>
      <c r="M175">
        <v>0</v>
      </c>
      <c r="N175">
        <v>2200</v>
      </c>
    </row>
    <row r="176" spans="1:14" x14ac:dyDescent="0.25">
      <c r="A176">
        <v>20.663847000000001</v>
      </c>
      <c r="B176" s="1">
        <f>DATE(2010,5,21) + TIME(15,55,56)</f>
        <v>40319.663842592592</v>
      </c>
      <c r="C176">
        <v>80</v>
      </c>
      <c r="D176">
        <v>79.894027710000003</v>
      </c>
      <c r="E176">
        <v>50</v>
      </c>
      <c r="F176">
        <v>14.996994019000001</v>
      </c>
      <c r="G176">
        <v>1390.6009521000001</v>
      </c>
      <c r="H176">
        <v>1377.4456786999999</v>
      </c>
      <c r="I176">
        <v>1258.1611327999999</v>
      </c>
      <c r="J176">
        <v>1221.9926757999999</v>
      </c>
      <c r="K176">
        <v>2200</v>
      </c>
      <c r="L176">
        <v>0</v>
      </c>
      <c r="M176">
        <v>0</v>
      </c>
      <c r="N176">
        <v>2200</v>
      </c>
    </row>
    <row r="177" spans="1:14" x14ac:dyDescent="0.25">
      <c r="A177">
        <v>21.023854</v>
      </c>
      <c r="B177" s="1">
        <f>DATE(2010,5,22) + TIME(0,34,20)</f>
        <v>40320.023842592593</v>
      </c>
      <c r="C177">
        <v>80</v>
      </c>
      <c r="D177">
        <v>79.894073485999996</v>
      </c>
      <c r="E177">
        <v>50</v>
      </c>
      <c r="F177">
        <v>14.997013092</v>
      </c>
      <c r="G177">
        <v>1390.4981689000001</v>
      </c>
      <c r="H177">
        <v>1377.3469238</v>
      </c>
      <c r="I177">
        <v>1258.1663818</v>
      </c>
      <c r="J177">
        <v>1221.9978027</v>
      </c>
      <c r="K177">
        <v>2200</v>
      </c>
      <c r="L177">
        <v>0</v>
      </c>
      <c r="M177">
        <v>0</v>
      </c>
      <c r="N177">
        <v>2200</v>
      </c>
    </row>
    <row r="178" spans="1:14" x14ac:dyDescent="0.25">
      <c r="A178">
        <v>21.385755</v>
      </c>
      <c r="B178" s="1">
        <f>DATE(2010,5,22) + TIME(9,15,29)</f>
        <v>40320.385752314818</v>
      </c>
      <c r="C178">
        <v>80</v>
      </c>
      <c r="D178">
        <v>79.894119262999993</v>
      </c>
      <c r="E178">
        <v>50</v>
      </c>
      <c r="F178">
        <v>14.997031212</v>
      </c>
      <c r="G178">
        <v>1390.3968506000001</v>
      </c>
      <c r="H178">
        <v>1377.2495117000001</v>
      </c>
      <c r="I178">
        <v>1258.1717529</v>
      </c>
      <c r="J178">
        <v>1222.0028076000001</v>
      </c>
      <c r="K178">
        <v>2200</v>
      </c>
      <c r="L178">
        <v>0</v>
      </c>
      <c r="M178">
        <v>0</v>
      </c>
      <c r="N178">
        <v>2200</v>
      </c>
    </row>
    <row r="179" spans="1:14" x14ac:dyDescent="0.25">
      <c r="A179">
        <v>21.750143999999999</v>
      </c>
      <c r="B179" s="1">
        <f>DATE(2010,5,22) + TIME(18,0,12)</f>
        <v>40320.750138888892</v>
      </c>
      <c r="C179">
        <v>80</v>
      </c>
      <c r="D179">
        <v>79.894165039000001</v>
      </c>
      <c r="E179">
        <v>50</v>
      </c>
      <c r="F179">
        <v>14.997049332</v>
      </c>
      <c r="G179">
        <v>1390.2965088000001</v>
      </c>
      <c r="H179">
        <v>1377.1533202999999</v>
      </c>
      <c r="I179">
        <v>1258.1770019999999</v>
      </c>
      <c r="J179">
        <v>1222.0079346</v>
      </c>
      <c r="K179">
        <v>2200</v>
      </c>
      <c r="L179">
        <v>0</v>
      </c>
      <c r="M179">
        <v>0</v>
      </c>
      <c r="N179">
        <v>2200</v>
      </c>
    </row>
    <row r="180" spans="1:14" x14ac:dyDescent="0.25">
      <c r="A180">
        <v>22.117616000000002</v>
      </c>
      <c r="B180" s="1">
        <f>DATE(2010,5,23) + TIME(2,49,21)</f>
        <v>40321.117604166669</v>
      </c>
      <c r="C180">
        <v>80</v>
      </c>
      <c r="D180">
        <v>79.894210814999994</v>
      </c>
      <c r="E180">
        <v>50</v>
      </c>
      <c r="F180">
        <v>14.997066498000001</v>
      </c>
      <c r="G180">
        <v>1390.1971435999999</v>
      </c>
      <c r="H180">
        <v>1377.0581055</v>
      </c>
      <c r="I180">
        <v>1258.1823730000001</v>
      </c>
      <c r="J180">
        <v>1222.0130615</v>
      </c>
      <c r="K180">
        <v>2200</v>
      </c>
      <c r="L180">
        <v>0</v>
      </c>
      <c r="M180">
        <v>0</v>
      </c>
      <c r="N180">
        <v>2200</v>
      </c>
    </row>
    <row r="181" spans="1:14" x14ac:dyDescent="0.25">
      <c r="A181">
        <v>22.487413</v>
      </c>
      <c r="B181" s="1">
        <f>DATE(2010,5,23) + TIME(11,41,52)</f>
        <v>40321.487407407411</v>
      </c>
      <c r="C181">
        <v>80</v>
      </c>
      <c r="D181">
        <v>79.894248962000006</v>
      </c>
      <c r="E181">
        <v>50</v>
      </c>
      <c r="F181">
        <v>14.997084618000001</v>
      </c>
      <c r="G181">
        <v>1390.0985106999999</v>
      </c>
      <c r="H181">
        <v>1376.9636230000001</v>
      </c>
      <c r="I181">
        <v>1258.1878661999999</v>
      </c>
      <c r="J181">
        <v>1222.0183105000001</v>
      </c>
      <c r="K181">
        <v>2200</v>
      </c>
      <c r="L181">
        <v>0</v>
      </c>
      <c r="M181">
        <v>0</v>
      </c>
      <c r="N181">
        <v>2200</v>
      </c>
    </row>
    <row r="182" spans="1:14" x14ac:dyDescent="0.25">
      <c r="A182">
        <v>22.859541</v>
      </c>
      <c r="B182" s="1">
        <f>DATE(2010,5,23) + TIME(20,37,44)</f>
        <v>40321.859537037039</v>
      </c>
      <c r="C182">
        <v>80</v>
      </c>
      <c r="D182">
        <v>79.894294739000003</v>
      </c>
      <c r="E182">
        <v>50</v>
      </c>
      <c r="F182">
        <v>14.997102737000001</v>
      </c>
      <c r="G182">
        <v>1390.0009766000001</v>
      </c>
      <c r="H182">
        <v>1376.8701172000001</v>
      </c>
      <c r="I182">
        <v>1258.1933594</v>
      </c>
      <c r="J182">
        <v>1222.0235596</v>
      </c>
      <c r="K182">
        <v>2200</v>
      </c>
      <c r="L182">
        <v>0</v>
      </c>
      <c r="M182">
        <v>0</v>
      </c>
      <c r="N182">
        <v>2200</v>
      </c>
    </row>
    <row r="183" spans="1:14" x14ac:dyDescent="0.25">
      <c r="A183">
        <v>23.234555</v>
      </c>
      <c r="B183" s="1">
        <f>DATE(2010,5,24) + TIME(5,37,45)</f>
        <v>40322.234548611108</v>
      </c>
      <c r="C183">
        <v>80</v>
      </c>
      <c r="D183">
        <v>79.894340514999996</v>
      </c>
      <c r="E183">
        <v>50</v>
      </c>
      <c r="F183">
        <v>14.997119904</v>
      </c>
      <c r="G183">
        <v>1389.9041748</v>
      </c>
      <c r="H183">
        <v>1376.7774658000001</v>
      </c>
      <c r="I183">
        <v>1258.1988524999999</v>
      </c>
      <c r="J183">
        <v>1222.0288086</v>
      </c>
      <c r="K183">
        <v>2200</v>
      </c>
      <c r="L183">
        <v>0</v>
      </c>
      <c r="M183">
        <v>0</v>
      </c>
      <c r="N183">
        <v>2200</v>
      </c>
    </row>
    <row r="184" spans="1:14" x14ac:dyDescent="0.25">
      <c r="A184">
        <v>23.613012000000001</v>
      </c>
      <c r="B184" s="1">
        <f>DATE(2010,5,24) + TIME(14,42,44)</f>
        <v>40322.613009259258</v>
      </c>
      <c r="C184">
        <v>80</v>
      </c>
      <c r="D184">
        <v>79.894378661999994</v>
      </c>
      <c r="E184">
        <v>50</v>
      </c>
      <c r="F184">
        <v>14.997137070000001</v>
      </c>
      <c r="G184">
        <v>1389.8082274999999</v>
      </c>
      <c r="H184">
        <v>1376.6856689000001</v>
      </c>
      <c r="I184">
        <v>1258.2044678</v>
      </c>
      <c r="J184">
        <v>1222.0341797000001</v>
      </c>
      <c r="K184">
        <v>2200</v>
      </c>
      <c r="L184">
        <v>0</v>
      </c>
      <c r="M184">
        <v>0</v>
      </c>
      <c r="N184">
        <v>2200</v>
      </c>
    </row>
    <row r="185" spans="1:14" x14ac:dyDescent="0.25">
      <c r="A185">
        <v>23.995487000000001</v>
      </c>
      <c r="B185" s="1">
        <f>DATE(2010,5,24) + TIME(23,53,30)</f>
        <v>40322.995486111111</v>
      </c>
      <c r="C185">
        <v>80</v>
      </c>
      <c r="D185">
        <v>79.894424438000001</v>
      </c>
      <c r="E185">
        <v>50</v>
      </c>
      <c r="F185">
        <v>14.997154236</v>
      </c>
      <c r="G185">
        <v>1389.7128906</v>
      </c>
      <c r="H185">
        <v>1376.5946045000001</v>
      </c>
      <c r="I185">
        <v>1258.2100829999999</v>
      </c>
      <c r="J185">
        <v>1222.0395507999999</v>
      </c>
      <c r="K185">
        <v>2200</v>
      </c>
      <c r="L185">
        <v>0</v>
      </c>
      <c r="M185">
        <v>0</v>
      </c>
      <c r="N185">
        <v>2200</v>
      </c>
    </row>
    <row r="186" spans="1:14" x14ac:dyDescent="0.25">
      <c r="A186">
        <v>24.382573000000001</v>
      </c>
      <c r="B186" s="1">
        <f>DATE(2010,5,25) + TIME(9,10,54)</f>
        <v>40323.382569444446</v>
      </c>
      <c r="C186">
        <v>80</v>
      </c>
      <c r="D186">
        <v>79.894470214999998</v>
      </c>
      <c r="E186">
        <v>50</v>
      </c>
      <c r="F186">
        <v>14.997171401999999</v>
      </c>
      <c r="G186">
        <v>1389.6180420000001</v>
      </c>
      <c r="H186">
        <v>1376.5039062000001</v>
      </c>
      <c r="I186">
        <v>1258.2158202999999</v>
      </c>
      <c r="J186">
        <v>1222.0449219</v>
      </c>
      <c r="K186">
        <v>2200</v>
      </c>
      <c r="L186">
        <v>0</v>
      </c>
      <c r="M186">
        <v>0</v>
      </c>
      <c r="N186">
        <v>2200</v>
      </c>
    </row>
    <row r="187" spans="1:14" x14ac:dyDescent="0.25">
      <c r="A187">
        <v>24.774933000000001</v>
      </c>
      <c r="B187" s="1">
        <f>DATE(2010,5,25) + TIME(18,35,54)</f>
        <v>40323.774930555555</v>
      </c>
      <c r="C187">
        <v>80</v>
      </c>
      <c r="D187">
        <v>79.894515991000006</v>
      </c>
      <c r="E187">
        <v>50</v>
      </c>
      <c r="F187">
        <v>14.997189521999999</v>
      </c>
      <c r="G187">
        <v>1389.5235596</v>
      </c>
      <c r="H187">
        <v>1376.4135742000001</v>
      </c>
      <c r="I187">
        <v>1258.2215576000001</v>
      </c>
      <c r="J187">
        <v>1222.0505370999999</v>
      </c>
      <c r="K187">
        <v>2200</v>
      </c>
      <c r="L187">
        <v>0</v>
      </c>
      <c r="M187">
        <v>0</v>
      </c>
      <c r="N187">
        <v>2200</v>
      </c>
    </row>
    <row r="188" spans="1:14" x14ac:dyDescent="0.25">
      <c r="A188">
        <v>25.173317000000001</v>
      </c>
      <c r="B188" s="1">
        <f>DATE(2010,5,26) + TIME(4,9,34)</f>
        <v>40324.173310185186</v>
      </c>
      <c r="C188">
        <v>80</v>
      </c>
      <c r="D188">
        <v>79.894561768000003</v>
      </c>
      <c r="E188">
        <v>50</v>
      </c>
      <c r="F188">
        <v>14.997206688</v>
      </c>
      <c r="G188">
        <v>1389.4290771000001</v>
      </c>
      <c r="H188">
        <v>1376.3234863</v>
      </c>
      <c r="I188">
        <v>1258.2274170000001</v>
      </c>
      <c r="J188">
        <v>1222.0561522999999</v>
      </c>
      <c r="K188">
        <v>2200</v>
      </c>
      <c r="L188">
        <v>0</v>
      </c>
      <c r="M188">
        <v>0</v>
      </c>
      <c r="N188">
        <v>2200</v>
      </c>
    </row>
    <row r="189" spans="1:14" x14ac:dyDescent="0.25">
      <c r="A189">
        <v>25.578285999999999</v>
      </c>
      <c r="B189" s="1">
        <f>DATE(2010,5,26) + TIME(13,52,43)</f>
        <v>40324.578275462962</v>
      </c>
      <c r="C189">
        <v>80</v>
      </c>
      <c r="D189">
        <v>79.894607543999996</v>
      </c>
      <c r="E189">
        <v>50</v>
      </c>
      <c r="F189">
        <v>14.997223854</v>
      </c>
      <c r="G189">
        <v>1389.3347168</v>
      </c>
      <c r="H189">
        <v>1376.2335204999999</v>
      </c>
      <c r="I189">
        <v>1258.2333983999999</v>
      </c>
      <c r="J189">
        <v>1222.0617675999999</v>
      </c>
      <c r="K189">
        <v>2200</v>
      </c>
      <c r="L189">
        <v>0</v>
      </c>
      <c r="M189">
        <v>0</v>
      </c>
      <c r="N189">
        <v>2200</v>
      </c>
    </row>
    <row r="190" spans="1:14" x14ac:dyDescent="0.25">
      <c r="A190">
        <v>25.990552000000001</v>
      </c>
      <c r="B190" s="1">
        <f>DATE(2010,5,26) + TIME(23,46,23)</f>
        <v>40324.990543981483</v>
      </c>
      <c r="C190">
        <v>80</v>
      </c>
      <c r="D190">
        <v>79.894653320000003</v>
      </c>
      <c r="E190">
        <v>50</v>
      </c>
      <c r="F190">
        <v>14.997241020000001</v>
      </c>
      <c r="G190">
        <v>1389.2403564000001</v>
      </c>
      <c r="H190">
        <v>1376.1434326000001</v>
      </c>
      <c r="I190">
        <v>1258.2395019999999</v>
      </c>
      <c r="J190">
        <v>1222.0676269999999</v>
      </c>
      <c r="K190">
        <v>2200</v>
      </c>
      <c r="L190">
        <v>0</v>
      </c>
      <c r="M190">
        <v>0</v>
      </c>
      <c r="N190">
        <v>2200</v>
      </c>
    </row>
    <row r="191" spans="1:14" x14ac:dyDescent="0.25">
      <c r="A191">
        <v>26.410966999999999</v>
      </c>
      <c r="B191" s="1">
        <f>DATE(2010,5,27) + TIME(9,51,47)</f>
        <v>40325.410960648151</v>
      </c>
      <c r="C191">
        <v>80</v>
      </c>
      <c r="D191">
        <v>79.894699097</v>
      </c>
      <c r="E191">
        <v>50</v>
      </c>
      <c r="F191">
        <v>14.997258186</v>
      </c>
      <c r="G191">
        <v>1389.1456298999999</v>
      </c>
      <c r="H191">
        <v>1376.0532227000001</v>
      </c>
      <c r="I191">
        <v>1258.2457274999999</v>
      </c>
      <c r="J191">
        <v>1222.0736084</v>
      </c>
      <c r="K191">
        <v>2200</v>
      </c>
      <c r="L191">
        <v>0</v>
      </c>
      <c r="M191">
        <v>0</v>
      </c>
      <c r="N191">
        <v>2200</v>
      </c>
    </row>
    <row r="192" spans="1:14" x14ac:dyDescent="0.25">
      <c r="A192">
        <v>26.839763999999999</v>
      </c>
      <c r="B192" s="1">
        <f>DATE(2010,5,27) + TIME(20,9,15)</f>
        <v>40325.839756944442</v>
      </c>
      <c r="C192">
        <v>80</v>
      </c>
      <c r="D192">
        <v>79.894744872999993</v>
      </c>
      <c r="E192">
        <v>50</v>
      </c>
      <c r="F192">
        <v>14.997275352000001</v>
      </c>
      <c r="G192">
        <v>1389.0505370999999</v>
      </c>
      <c r="H192">
        <v>1375.9626464999999</v>
      </c>
      <c r="I192">
        <v>1258.2520752</v>
      </c>
      <c r="J192">
        <v>1222.0795897999999</v>
      </c>
      <c r="K192">
        <v>2200</v>
      </c>
      <c r="L192">
        <v>0</v>
      </c>
      <c r="M192">
        <v>0</v>
      </c>
      <c r="N192">
        <v>2200</v>
      </c>
    </row>
    <row r="193" spans="1:14" x14ac:dyDescent="0.25">
      <c r="A193">
        <v>27.276935999999999</v>
      </c>
      <c r="B193" s="1">
        <f>DATE(2010,5,28) + TIME(6,38,47)</f>
        <v>40326.276932870373</v>
      </c>
      <c r="C193">
        <v>80</v>
      </c>
      <c r="D193">
        <v>79.894790649000001</v>
      </c>
      <c r="E193">
        <v>50</v>
      </c>
      <c r="F193">
        <v>14.997293472000001</v>
      </c>
      <c r="G193">
        <v>1388.9550781</v>
      </c>
      <c r="H193">
        <v>1375.8717041</v>
      </c>
      <c r="I193">
        <v>1258.2585449000001</v>
      </c>
      <c r="J193">
        <v>1222.0858154</v>
      </c>
      <c r="K193">
        <v>2200</v>
      </c>
      <c r="L193">
        <v>0</v>
      </c>
      <c r="M193">
        <v>0</v>
      </c>
      <c r="N193">
        <v>2200</v>
      </c>
    </row>
    <row r="194" spans="1:14" x14ac:dyDescent="0.25">
      <c r="A194">
        <v>27.722211000000001</v>
      </c>
      <c r="B194" s="1">
        <f>DATE(2010,5,28) + TIME(17,19,59)</f>
        <v>40326.722210648149</v>
      </c>
      <c r="C194">
        <v>80</v>
      </c>
      <c r="D194">
        <v>79.894844054999993</v>
      </c>
      <c r="E194">
        <v>50</v>
      </c>
      <c r="F194">
        <v>14.997310638</v>
      </c>
      <c r="G194">
        <v>1388.8591309000001</v>
      </c>
      <c r="H194">
        <v>1375.7805175999999</v>
      </c>
      <c r="I194">
        <v>1258.2652588000001</v>
      </c>
      <c r="J194">
        <v>1222.0921631000001</v>
      </c>
      <c r="K194">
        <v>2200</v>
      </c>
      <c r="L194">
        <v>0</v>
      </c>
      <c r="M194">
        <v>0</v>
      </c>
      <c r="N194">
        <v>2200</v>
      </c>
    </row>
    <row r="195" spans="1:14" x14ac:dyDescent="0.25">
      <c r="A195">
        <v>28.169661000000001</v>
      </c>
      <c r="B195" s="1">
        <f>DATE(2010,5,29) + TIME(4,4,18)</f>
        <v>40327.169652777775</v>
      </c>
      <c r="C195">
        <v>80</v>
      </c>
      <c r="D195">
        <v>79.894889832000004</v>
      </c>
      <c r="E195">
        <v>50</v>
      </c>
      <c r="F195">
        <v>14.997327804999999</v>
      </c>
      <c r="G195">
        <v>1388.7629394999999</v>
      </c>
      <c r="H195">
        <v>1375.6890868999999</v>
      </c>
      <c r="I195">
        <v>1258.2719727000001</v>
      </c>
      <c r="J195">
        <v>1222.0986327999999</v>
      </c>
      <c r="K195">
        <v>2200</v>
      </c>
      <c r="L195">
        <v>0</v>
      </c>
      <c r="M195">
        <v>0</v>
      </c>
      <c r="N195">
        <v>2200</v>
      </c>
    </row>
    <row r="196" spans="1:14" x14ac:dyDescent="0.25">
      <c r="A196">
        <v>28.619050999999999</v>
      </c>
      <c r="B196" s="1">
        <f>DATE(2010,5,29) + TIME(14,51,25)</f>
        <v>40327.619039351855</v>
      </c>
      <c r="C196">
        <v>80</v>
      </c>
      <c r="D196">
        <v>79.894943237000007</v>
      </c>
      <c r="E196">
        <v>50</v>
      </c>
      <c r="F196">
        <v>14.997345923999999</v>
      </c>
      <c r="G196">
        <v>1388.6678466999999</v>
      </c>
      <c r="H196">
        <v>1375.5986327999999</v>
      </c>
      <c r="I196">
        <v>1258.2788086</v>
      </c>
      <c r="J196">
        <v>1222.1052245999999</v>
      </c>
      <c r="K196">
        <v>2200</v>
      </c>
      <c r="L196">
        <v>0</v>
      </c>
      <c r="M196">
        <v>0</v>
      </c>
      <c r="N196">
        <v>2200</v>
      </c>
    </row>
    <row r="197" spans="1:14" x14ac:dyDescent="0.25">
      <c r="A197">
        <v>29.071155000000001</v>
      </c>
      <c r="B197" s="1">
        <f>DATE(2010,5,30) + TIME(1,42,27)</f>
        <v>40328.071145833332</v>
      </c>
      <c r="C197">
        <v>80</v>
      </c>
      <c r="D197">
        <v>79.894996642999999</v>
      </c>
      <c r="E197">
        <v>50</v>
      </c>
      <c r="F197">
        <v>14.997363091</v>
      </c>
      <c r="G197">
        <v>1388.5737305</v>
      </c>
      <c r="H197">
        <v>1375.5091553</v>
      </c>
      <c r="I197">
        <v>1258.2857666</v>
      </c>
      <c r="J197">
        <v>1222.1118164</v>
      </c>
      <c r="K197">
        <v>2200</v>
      </c>
      <c r="L197">
        <v>0</v>
      </c>
      <c r="M197">
        <v>0</v>
      </c>
      <c r="N197">
        <v>2200</v>
      </c>
    </row>
    <row r="198" spans="1:14" x14ac:dyDescent="0.25">
      <c r="A198">
        <v>29.524114000000001</v>
      </c>
      <c r="B198" s="1">
        <f>DATE(2010,5,30) + TIME(12,34,43)</f>
        <v>40328.524108796293</v>
      </c>
      <c r="C198">
        <v>80</v>
      </c>
      <c r="D198">
        <v>79.895042419000006</v>
      </c>
      <c r="E198">
        <v>50</v>
      </c>
      <c r="F198">
        <v>14.997380257</v>
      </c>
      <c r="G198">
        <v>1388.4803466999999</v>
      </c>
      <c r="H198">
        <v>1375.4205322</v>
      </c>
      <c r="I198">
        <v>1258.2927245999999</v>
      </c>
      <c r="J198">
        <v>1222.1184082</v>
      </c>
      <c r="K198">
        <v>2200</v>
      </c>
      <c r="L198">
        <v>0</v>
      </c>
      <c r="M198">
        <v>0</v>
      </c>
      <c r="N198">
        <v>2200</v>
      </c>
    </row>
    <row r="199" spans="1:14" x14ac:dyDescent="0.25">
      <c r="A199">
        <v>29.978501999999999</v>
      </c>
      <c r="B199" s="1">
        <f>DATE(2010,5,30) + TIME(23,29,2)</f>
        <v>40328.978495370371</v>
      </c>
      <c r="C199">
        <v>80</v>
      </c>
      <c r="D199">
        <v>79.895095824999999</v>
      </c>
      <c r="E199">
        <v>50</v>
      </c>
      <c r="F199">
        <v>14.997396469</v>
      </c>
      <c r="G199">
        <v>1388.3883057</v>
      </c>
      <c r="H199">
        <v>1375.3332519999999</v>
      </c>
      <c r="I199">
        <v>1258.2996826000001</v>
      </c>
      <c r="J199">
        <v>1222.125</v>
      </c>
      <c r="K199">
        <v>2200</v>
      </c>
      <c r="L199">
        <v>0</v>
      </c>
      <c r="M199">
        <v>0</v>
      </c>
      <c r="N199">
        <v>2200</v>
      </c>
    </row>
    <row r="200" spans="1:14" x14ac:dyDescent="0.25">
      <c r="A200">
        <v>30.435008</v>
      </c>
      <c r="B200" s="1">
        <f>DATE(2010,5,31) + TIME(10,26,24)</f>
        <v>40329.434999999998</v>
      </c>
      <c r="C200">
        <v>80</v>
      </c>
      <c r="D200">
        <v>79.895141601999995</v>
      </c>
      <c r="E200">
        <v>50</v>
      </c>
      <c r="F200">
        <v>14.997413634999999</v>
      </c>
      <c r="G200">
        <v>1388.2972411999999</v>
      </c>
      <c r="H200">
        <v>1375.2468262</v>
      </c>
      <c r="I200">
        <v>1258.3066406</v>
      </c>
      <c r="J200">
        <v>1222.1317139</v>
      </c>
      <c r="K200">
        <v>2200</v>
      </c>
      <c r="L200">
        <v>0</v>
      </c>
      <c r="M200">
        <v>0</v>
      </c>
      <c r="N200">
        <v>2200</v>
      </c>
    </row>
    <row r="201" spans="1:14" x14ac:dyDescent="0.25">
      <c r="A201">
        <v>30.894317999999998</v>
      </c>
      <c r="B201" s="1">
        <f>DATE(2010,5,31) + TIME(21,27,49)</f>
        <v>40329.894317129627</v>
      </c>
      <c r="C201">
        <v>80</v>
      </c>
      <c r="D201">
        <v>79.895195006999998</v>
      </c>
      <c r="E201">
        <v>50</v>
      </c>
      <c r="F201">
        <v>14.997429847999999</v>
      </c>
      <c r="G201">
        <v>1388.2071533000001</v>
      </c>
      <c r="H201">
        <v>1375.1613769999999</v>
      </c>
      <c r="I201">
        <v>1258.3137207</v>
      </c>
      <c r="J201">
        <v>1222.1384277</v>
      </c>
      <c r="K201">
        <v>2200</v>
      </c>
      <c r="L201">
        <v>0</v>
      </c>
      <c r="M201">
        <v>0</v>
      </c>
      <c r="N201">
        <v>2200</v>
      </c>
    </row>
    <row r="202" spans="1:14" x14ac:dyDescent="0.25">
      <c r="A202">
        <v>31</v>
      </c>
      <c r="B202" s="1">
        <f>DATE(2010,6,1) + TIME(0,0,0)</f>
        <v>40330</v>
      </c>
      <c r="C202">
        <v>80</v>
      </c>
      <c r="D202">
        <v>79.895195006999998</v>
      </c>
      <c r="E202">
        <v>50</v>
      </c>
      <c r="F202">
        <v>14.99743557</v>
      </c>
      <c r="G202">
        <v>1388.1184082</v>
      </c>
      <c r="H202">
        <v>1375.0771483999999</v>
      </c>
      <c r="I202">
        <v>1258.3199463000001</v>
      </c>
      <c r="J202">
        <v>1222.1442870999999</v>
      </c>
      <c r="K202">
        <v>2200</v>
      </c>
      <c r="L202">
        <v>0</v>
      </c>
      <c r="M202">
        <v>0</v>
      </c>
      <c r="N202">
        <v>2200</v>
      </c>
    </row>
    <row r="203" spans="1:14" x14ac:dyDescent="0.25">
      <c r="A203">
        <v>31.462803000000001</v>
      </c>
      <c r="B203" s="1">
        <f>DATE(2010,6,1) + TIME(11,6,26)</f>
        <v>40330.462800925925</v>
      </c>
      <c r="C203">
        <v>80</v>
      </c>
      <c r="D203">
        <v>79.895256042</v>
      </c>
      <c r="E203">
        <v>50</v>
      </c>
      <c r="F203">
        <v>14.997451782000001</v>
      </c>
      <c r="G203">
        <v>1388.0968018000001</v>
      </c>
      <c r="H203">
        <v>1375.0567627</v>
      </c>
      <c r="I203">
        <v>1258.3226318</v>
      </c>
      <c r="J203">
        <v>1222.1468506000001</v>
      </c>
      <c r="K203">
        <v>2200</v>
      </c>
      <c r="L203">
        <v>0</v>
      </c>
      <c r="M203">
        <v>0</v>
      </c>
      <c r="N203">
        <v>2200</v>
      </c>
    </row>
    <row r="204" spans="1:14" x14ac:dyDescent="0.25">
      <c r="A204">
        <v>31.930911999999999</v>
      </c>
      <c r="B204" s="1">
        <f>DATE(2010,6,1) + TIME(22,20,30)</f>
        <v>40330.930902777778</v>
      </c>
      <c r="C204">
        <v>80</v>
      </c>
      <c r="D204">
        <v>79.895309448000006</v>
      </c>
      <c r="E204">
        <v>50</v>
      </c>
      <c r="F204">
        <v>14.997467994999999</v>
      </c>
      <c r="G204">
        <v>1388.0089111</v>
      </c>
      <c r="H204">
        <v>1374.9735106999999</v>
      </c>
      <c r="I204">
        <v>1258.3297118999999</v>
      </c>
      <c r="J204">
        <v>1222.1536865</v>
      </c>
      <c r="K204">
        <v>2200</v>
      </c>
      <c r="L204">
        <v>0</v>
      </c>
      <c r="M204">
        <v>0</v>
      </c>
      <c r="N204">
        <v>2200</v>
      </c>
    </row>
    <row r="205" spans="1:14" x14ac:dyDescent="0.25">
      <c r="A205">
        <v>32.404091000000001</v>
      </c>
      <c r="B205" s="1">
        <f>DATE(2010,6,2) + TIME(9,41,53)</f>
        <v>40331.404085648152</v>
      </c>
      <c r="C205">
        <v>80</v>
      </c>
      <c r="D205">
        <v>79.895362853999998</v>
      </c>
      <c r="E205">
        <v>50</v>
      </c>
      <c r="F205">
        <v>14.997484206999999</v>
      </c>
      <c r="G205">
        <v>1387.9206543</v>
      </c>
      <c r="H205">
        <v>1374.8900146000001</v>
      </c>
      <c r="I205">
        <v>1258.3370361</v>
      </c>
      <c r="J205">
        <v>1222.1606445</v>
      </c>
      <c r="K205">
        <v>2200</v>
      </c>
      <c r="L205">
        <v>0</v>
      </c>
      <c r="M205">
        <v>0</v>
      </c>
      <c r="N205">
        <v>2200</v>
      </c>
    </row>
    <row r="206" spans="1:14" x14ac:dyDescent="0.25">
      <c r="A206">
        <v>32.883107000000003</v>
      </c>
      <c r="B206" s="1">
        <f>DATE(2010,6,2) + TIME(21,11,40)</f>
        <v>40331.883101851854</v>
      </c>
      <c r="C206">
        <v>80</v>
      </c>
      <c r="D206">
        <v>79.895416260000005</v>
      </c>
      <c r="E206">
        <v>50</v>
      </c>
      <c r="F206">
        <v>14.99750042</v>
      </c>
      <c r="G206">
        <v>1387.8327637</v>
      </c>
      <c r="H206">
        <v>1374.8067627</v>
      </c>
      <c r="I206">
        <v>1258.3444824000001</v>
      </c>
      <c r="J206">
        <v>1222.1677245999999</v>
      </c>
      <c r="K206">
        <v>2200</v>
      </c>
      <c r="L206">
        <v>0</v>
      </c>
      <c r="M206">
        <v>0</v>
      </c>
      <c r="N206">
        <v>2200</v>
      </c>
    </row>
    <row r="207" spans="1:14" x14ac:dyDescent="0.25">
      <c r="A207">
        <v>33.368937000000003</v>
      </c>
      <c r="B207" s="1">
        <f>DATE(2010,6,3) + TIME(8,51,16)</f>
        <v>40332.368935185186</v>
      </c>
      <c r="C207">
        <v>80</v>
      </c>
      <c r="D207">
        <v>79.895469665999997</v>
      </c>
      <c r="E207">
        <v>50</v>
      </c>
      <c r="F207">
        <v>14.997516632</v>
      </c>
      <c r="G207">
        <v>1387.7449951000001</v>
      </c>
      <c r="H207">
        <v>1374.7237548999999</v>
      </c>
      <c r="I207">
        <v>1258.3520507999999</v>
      </c>
      <c r="J207">
        <v>1222.1749268000001</v>
      </c>
      <c r="K207">
        <v>2200</v>
      </c>
      <c r="L207">
        <v>0</v>
      </c>
      <c r="M207">
        <v>0</v>
      </c>
      <c r="N207">
        <v>2200</v>
      </c>
    </row>
    <row r="208" spans="1:14" x14ac:dyDescent="0.25">
      <c r="A208">
        <v>33.862271999999997</v>
      </c>
      <c r="B208" s="1">
        <f>DATE(2010,6,3) + TIME(20,41,40)</f>
        <v>40332.862268518518</v>
      </c>
      <c r="C208">
        <v>80</v>
      </c>
      <c r="D208">
        <v>79.895530700999998</v>
      </c>
      <c r="E208">
        <v>50</v>
      </c>
      <c r="F208">
        <v>14.997532845</v>
      </c>
      <c r="G208">
        <v>1387.6571045000001</v>
      </c>
      <c r="H208">
        <v>1374.6407471</v>
      </c>
      <c r="I208">
        <v>1258.3597411999999</v>
      </c>
      <c r="J208">
        <v>1222.182251</v>
      </c>
      <c r="K208">
        <v>2200</v>
      </c>
      <c r="L208">
        <v>0</v>
      </c>
      <c r="M208">
        <v>0</v>
      </c>
      <c r="N208">
        <v>2200</v>
      </c>
    </row>
    <row r="209" spans="1:14" x14ac:dyDescent="0.25">
      <c r="A209">
        <v>34.363911999999999</v>
      </c>
      <c r="B209" s="1">
        <f>DATE(2010,6,4) + TIME(8,44,1)</f>
        <v>40333.363900462966</v>
      </c>
      <c r="C209">
        <v>80</v>
      </c>
      <c r="D209">
        <v>79.895584106000001</v>
      </c>
      <c r="E209">
        <v>50</v>
      </c>
      <c r="F209">
        <v>14.997549057000001</v>
      </c>
      <c r="G209">
        <v>1387.5692139</v>
      </c>
      <c r="H209">
        <v>1374.5577393000001</v>
      </c>
      <c r="I209">
        <v>1258.3675536999999</v>
      </c>
      <c r="J209">
        <v>1222.1896973</v>
      </c>
      <c r="K209">
        <v>2200</v>
      </c>
      <c r="L209">
        <v>0</v>
      </c>
      <c r="M209">
        <v>0</v>
      </c>
      <c r="N209">
        <v>2200</v>
      </c>
    </row>
    <row r="210" spans="1:14" x14ac:dyDescent="0.25">
      <c r="A210">
        <v>34.874898999999999</v>
      </c>
      <c r="B210" s="1">
        <f>DATE(2010,6,4) + TIME(20,59,51)</f>
        <v>40333.874895833331</v>
      </c>
      <c r="C210">
        <v>80</v>
      </c>
      <c r="D210">
        <v>79.895645142000006</v>
      </c>
      <c r="E210">
        <v>50</v>
      </c>
      <c r="F210">
        <v>14.997565269000001</v>
      </c>
      <c r="G210">
        <v>1387.4812012</v>
      </c>
      <c r="H210">
        <v>1374.4744873</v>
      </c>
      <c r="I210">
        <v>1258.3756103999999</v>
      </c>
      <c r="J210">
        <v>1222.1972656</v>
      </c>
      <c r="K210">
        <v>2200</v>
      </c>
      <c r="L210">
        <v>0</v>
      </c>
      <c r="M210">
        <v>0</v>
      </c>
      <c r="N210">
        <v>2200</v>
      </c>
    </row>
    <row r="211" spans="1:14" x14ac:dyDescent="0.25">
      <c r="A211">
        <v>35.395622000000003</v>
      </c>
      <c r="B211" s="1">
        <f>DATE(2010,6,5) + TIME(9,29,41)</f>
        <v>40334.395613425928</v>
      </c>
      <c r="C211">
        <v>80</v>
      </c>
      <c r="D211">
        <v>79.895706176999994</v>
      </c>
      <c r="E211">
        <v>50</v>
      </c>
      <c r="F211">
        <v>14.997582436</v>
      </c>
      <c r="G211">
        <v>1387.3927002</v>
      </c>
      <c r="H211">
        <v>1374.3909911999999</v>
      </c>
      <c r="I211">
        <v>1258.3837891000001</v>
      </c>
      <c r="J211">
        <v>1222.2050781</v>
      </c>
      <c r="K211">
        <v>2200</v>
      </c>
      <c r="L211">
        <v>0</v>
      </c>
      <c r="M211">
        <v>0</v>
      </c>
      <c r="N211">
        <v>2200</v>
      </c>
    </row>
    <row r="212" spans="1:14" x14ac:dyDescent="0.25">
      <c r="A212">
        <v>35.925587</v>
      </c>
      <c r="B212" s="1">
        <f>DATE(2010,6,5) + TIME(22,12,50)</f>
        <v>40334.925578703704</v>
      </c>
      <c r="C212">
        <v>80</v>
      </c>
      <c r="D212">
        <v>79.895767211999996</v>
      </c>
      <c r="E212">
        <v>50</v>
      </c>
      <c r="F212">
        <v>14.997598648</v>
      </c>
      <c r="G212">
        <v>1387.3037108999999</v>
      </c>
      <c r="H212">
        <v>1374.3070068</v>
      </c>
      <c r="I212">
        <v>1258.3920897999999</v>
      </c>
      <c r="J212">
        <v>1222.2130127</v>
      </c>
      <c r="K212">
        <v>2200</v>
      </c>
      <c r="L212">
        <v>0</v>
      </c>
      <c r="M212">
        <v>0</v>
      </c>
      <c r="N212">
        <v>2200</v>
      </c>
    </row>
    <row r="213" spans="1:14" x14ac:dyDescent="0.25">
      <c r="A213">
        <v>36.462266999999997</v>
      </c>
      <c r="B213" s="1">
        <f>DATE(2010,6,6) + TIME(11,5,39)</f>
        <v>40335.462256944447</v>
      </c>
      <c r="C213">
        <v>80</v>
      </c>
      <c r="D213">
        <v>79.895828246999997</v>
      </c>
      <c r="E213">
        <v>50</v>
      </c>
      <c r="F213">
        <v>14.997615814</v>
      </c>
      <c r="G213">
        <v>1387.2144774999999</v>
      </c>
      <c r="H213">
        <v>1374.2227783000001</v>
      </c>
      <c r="I213">
        <v>1258.4006348</v>
      </c>
      <c r="J213">
        <v>1222.2211914</v>
      </c>
      <c r="K213">
        <v>2200</v>
      </c>
      <c r="L213">
        <v>0</v>
      </c>
      <c r="M213">
        <v>0</v>
      </c>
      <c r="N213">
        <v>2200</v>
      </c>
    </row>
    <row r="214" spans="1:14" x14ac:dyDescent="0.25">
      <c r="A214">
        <v>36.731158999999998</v>
      </c>
      <c r="B214" s="1">
        <f>DATE(2010,6,6) + TIME(17,32,52)</f>
        <v>40335.731157407405</v>
      </c>
      <c r="C214">
        <v>80</v>
      </c>
      <c r="D214">
        <v>79.895843506000006</v>
      </c>
      <c r="E214">
        <v>50</v>
      </c>
      <c r="F214">
        <v>14.997625351</v>
      </c>
      <c r="G214">
        <v>1387.1248779</v>
      </c>
      <c r="H214">
        <v>1374.1381836</v>
      </c>
      <c r="I214">
        <v>1258.4089355000001</v>
      </c>
      <c r="J214">
        <v>1222.2288818</v>
      </c>
      <c r="K214">
        <v>2200</v>
      </c>
      <c r="L214">
        <v>0</v>
      </c>
      <c r="M214">
        <v>0</v>
      </c>
      <c r="N214">
        <v>2200</v>
      </c>
    </row>
    <row r="215" spans="1:14" x14ac:dyDescent="0.25">
      <c r="A215">
        <v>37.000050999999999</v>
      </c>
      <c r="B215" s="1">
        <f>DATE(2010,6,7) + TIME(0,0,4)</f>
        <v>40336.0000462963</v>
      </c>
      <c r="C215">
        <v>80</v>
      </c>
      <c r="D215">
        <v>79.895874023000005</v>
      </c>
      <c r="E215">
        <v>50</v>
      </c>
      <c r="F215">
        <v>14.997635840999999</v>
      </c>
      <c r="G215">
        <v>1387.0799560999999</v>
      </c>
      <c r="H215">
        <v>1374.0957031</v>
      </c>
      <c r="I215">
        <v>1258.4133300999999</v>
      </c>
      <c r="J215">
        <v>1222.2331543</v>
      </c>
      <c r="K215">
        <v>2200</v>
      </c>
      <c r="L215">
        <v>0</v>
      </c>
      <c r="M215">
        <v>0</v>
      </c>
      <c r="N215">
        <v>2200</v>
      </c>
    </row>
    <row r="216" spans="1:14" x14ac:dyDescent="0.25">
      <c r="A216">
        <v>37.268943</v>
      </c>
      <c r="B216" s="1">
        <f>DATE(2010,6,7) + TIME(6,27,16)</f>
        <v>40336.268935185188</v>
      </c>
      <c r="C216">
        <v>80</v>
      </c>
      <c r="D216">
        <v>79.895904540999993</v>
      </c>
      <c r="E216">
        <v>50</v>
      </c>
      <c r="F216">
        <v>14.997644424000001</v>
      </c>
      <c r="G216">
        <v>1387.0360106999999</v>
      </c>
      <c r="H216">
        <v>1374.0543213000001</v>
      </c>
      <c r="I216">
        <v>1258.4177245999999</v>
      </c>
      <c r="J216">
        <v>1222.2373047000001</v>
      </c>
      <c r="K216">
        <v>2200</v>
      </c>
      <c r="L216">
        <v>0</v>
      </c>
      <c r="M216">
        <v>0</v>
      </c>
      <c r="N216">
        <v>2200</v>
      </c>
    </row>
    <row r="217" spans="1:14" x14ac:dyDescent="0.25">
      <c r="A217">
        <v>37.806725999999998</v>
      </c>
      <c r="B217" s="1">
        <f>DATE(2010,6,7) + TIME(19,21,41)</f>
        <v>40336.80672453704</v>
      </c>
      <c r="C217">
        <v>80</v>
      </c>
      <c r="D217">
        <v>79.895973205999994</v>
      </c>
      <c r="E217">
        <v>50</v>
      </c>
      <c r="F217">
        <v>14.997659683</v>
      </c>
      <c r="G217">
        <v>1386.9932861</v>
      </c>
      <c r="H217">
        <v>1374.0141602000001</v>
      </c>
      <c r="I217">
        <v>1258.4226074000001</v>
      </c>
      <c r="J217">
        <v>1222.2419434000001</v>
      </c>
      <c r="K217">
        <v>2200</v>
      </c>
      <c r="L217">
        <v>0</v>
      </c>
      <c r="M217">
        <v>0</v>
      </c>
      <c r="N217">
        <v>2200</v>
      </c>
    </row>
    <row r="218" spans="1:14" x14ac:dyDescent="0.25">
      <c r="A218">
        <v>38.344566</v>
      </c>
      <c r="B218" s="1">
        <f>DATE(2010,6,8) + TIME(8,16,10)</f>
        <v>40337.344560185185</v>
      </c>
      <c r="C218">
        <v>80</v>
      </c>
      <c r="D218">
        <v>79.896041870000005</v>
      </c>
      <c r="E218">
        <v>50</v>
      </c>
      <c r="F218">
        <v>14.997673988000001</v>
      </c>
      <c r="G218">
        <v>1386.9074707</v>
      </c>
      <c r="H218">
        <v>1373.9333495999999</v>
      </c>
      <c r="I218">
        <v>1258.4312743999999</v>
      </c>
      <c r="J218">
        <v>1222.2501221</v>
      </c>
      <c r="K218">
        <v>2200</v>
      </c>
      <c r="L218">
        <v>0</v>
      </c>
      <c r="M218">
        <v>0</v>
      </c>
      <c r="N218">
        <v>2200</v>
      </c>
    </row>
    <row r="219" spans="1:14" x14ac:dyDescent="0.25">
      <c r="A219">
        <v>38.884354000000002</v>
      </c>
      <c r="B219" s="1">
        <f>DATE(2010,6,8) + TIME(21,13,28)</f>
        <v>40337.884351851855</v>
      </c>
      <c r="C219">
        <v>80</v>
      </c>
      <c r="D219">
        <v>79.896102905000006</v>
      </c>
      <c r="E219">
        <v>50</v>
      </c>
      <c r="F219">
        <v>14.997690200999999</v>
      </c>
      <c r="G219">
        <v>1386.8223877</v>
      </c>
      <c r="H219">
        <v>1373.8531493999999</v>
      </c>
      <c r="I219">
        <v>1258.4400635</v>
      </c>
      <c r="J219">
        <v>1222.2585449000001</v>
      </c>
      <c r="K219">
        <v>2200</v>
      </c>
      <c r="L219">
        <v>0</v>
      </c>
      <c r="M219">
        <v>0</v>
      </c>
      <c r="N219">
        <v>2200</v>
      </c>
    </row>
    <row r="220" spans="1:14" x14ac:dyDescent="0.25">
      <c r="A220">
        <v>39.42689</v>
      </c>
      <c r="B220" s="1">
        <f>DATE(2010,6,9) + TIME(10,14,43)</f>
        <v>40338.426886574074</v>
      </c>
      <c r="C220">
        <v>80</v>
      </c>
      <c r="D220">
        <v>79.896163939999994</v>
      </c>
      <c r="E220">
        <v>50</v>
      </c>
      <c r="F220">
        <v>14.997705460000001</v>
      </c>
      <c r="G220">
        <v>1386.7381591999999</v>
      </c>
      <c r="H220">
        <v>1373.7738036999999</v>
      </c>
      <c r="I220">
        <v>1258.4489745999999</v>
      </c>
      <c r="J220">
        <v>1222.2669678</v>
      </c>
      <c r="K220">
        <v>2200</v>
      </c>
      <c r="L220">
        <v>0</v>
      </c>
      <c r="M220">
        <v>0</v>
      </c>
      <c r="N220">
        <v>2200</v>
      </c>
    </row>
    <row r="221" spans="1:14" x14ac:dyDescent="0.25">
      <c r="A221">
        <v>39.972983999999997</v>
      </c>
      <c r="B221" s="1">
        <f>DATE(2010,6,9) + TIME(23,21,5)</f>
        <v>40338.972974537035</v>
      </c>
      <c r="C221">
        <v>80</v>
      </c>
      <c r="D221">
        <v>79.896232604999994</v>
      </c>
      <c r="E221">
        <v>50</v>
      </c>
      <c r="F221">
        <v>14.997720718</v>
      </c>
      <c r="G221">
        <v>1386.6545410000001</v>
      </c>
      <c r="H221">
        <v>1373.6951904</v>
      </c>
      <c r="I221">
        <v>1258.4578856999999</v>
      </c>
      <c r="J221">
        <v>1222.2753906</v>
      </c>
      <c r="K221">
        <v>2200</v>
      </c>
      <c r="L221">
        <v>0</v>
      </c>
      <c r="M221">
        <v>0</v>
      </c>
      <c r="N221">
        <v>2200</v>
      </c>
    </row>
    <row r="222" spans="1:14" x14ac:dyDescent="0.25">
      <c r="A222">
        <v>40.523465000000002</v>
      </c>
      <c r="B222" s="1">
        <f>DATE(2010,6,10) + TIME(12,33,47)</f>
        <v>40339.523460648146</v>
      </c>
      <c r="C222">
        <v>80</v>
      </c>
      <c r="D222">
        <v>79.896293639999996</v>
      </c>
      <c r="E222">
        <v>50</v>
      </c>
      <c r="F222">
        <v>14.997735977</v>
      </c>
      <c r="G222">
        <v>1386.5715332</v>
      </c>
      <c r="H222">
        <v>1373.6171875</v>
      </c>
      <c r="I222">
        <v>1258.4669189000001</v>
      </c>
      <c r="J222">
        <v>1222.2840576000001</v>
      </c>
      <c r="K222">
        <v>2200</v>
      </c>
      <c r="L222">
        <v>0</v>
      </c>
      <c r="M222">
        <v>0</v>
      </c>
      <c r="N222">
        <v>2200</v>
      </c>
    </row>
    <row r="223" spans="1:14" x14ac:dyDescent="0.25">
      <c r="A223">
        <v>41.079177999999999</v>
      </c>
      <c r="B223" s="1">
        <f>DATE(2010,6,11) + TIME(1,54,0)</f>
        <v>40340.07916666667</v>
      </c>
      <c r="C223">
        <v>80</v>
      </c>
      <c r="D223">
        <v>79.896362304999997</v>
      </c>
      <c r="E223">
        <v>50</v>
      </c>
      <c r="F223">
        <v>14.99775219</v>
      </c>
      <c r="G223">
        <v>1386.4888916</v>
      </c>
      <c r="H223">
        <v>1373.5394286999999</v>
      </c>
      <c r="I223">
        <v>1258.4761963000001</v>
      </c>
      <c r="J223">
        <v>1222.2927245999999</v>
      </c>
      <c r="K223">
        <v>2200</v>
      </c>
      <c r="L223">
        <v>0</v>
      </c>
      <c r="M223">
        <v>0</v>
      </c>
      <c r="N223">
        <v>2200</v>
      </c>
    </row>
    <row r="224" spans="1:14" x14ac:dyDescent="0.25">
      <c r="A224">
        <v>41.640996000000001</v>
      </c>
      <c r="B224" s="1">
        <f>DATE(2010,6,11) + TIME(15,23,2)</f>
        <v>40340.64099537037</v>
      </c>
      <c r="C224">
        <v>80</v>
      </c>
      <c r="D224">
        <v>79.896423339999998</v>
      </c>
      <c r="E224">
        <v>50</v>
      </c>
      <c r="F224">
        <v>14.997767447999999</v>
      </c>
      <c r="G224">
        <v>1386.4066161999999</v>
      </c>
      <c r="H224">
        <v>1373.4621582</v>
      </c>
      <c r="I224">
        <v>1258.4854736</v>
      </c>
      <c r="J224">
        <v>1222.3015137</v>
      </c>
      <c r="K224">
        <v>2200</v>
      </c>
      <c r="L224">
        <v>0</v>
      </c>
      <c r="M224">
        <v>0</v>
      </c>
      <c r="N224">
        <v>2200</v>
      </c>
    </row>
    <row r="225" spans="1:14" x14ac:dyDescent="0.25">
      <c r="A225">
        <v>42.209961</v>
      </c>
      <c r="B225" s="1">
        <f>DATE(2010,6,12) + TIME(5,2,20)</f>
        <v>40341.209953703707</v>
      </c>
      <c r="C225">
        <v>80</v>
      </c>
      <c r="D225">
        <v>79.896492003999995</v>
      </c>
      <c r="E225">
        <v>50</v>
      </c>
      <c r="F225">
        <v>14.997782707000001</v>
      </c>
      <c r="G225">
        <v>1386.3244629000001</v>
      </c>
      <c r="H225">
        <v>1373.3850098</v>
      </c>
      <c r="I225">
        <v>1258.4948730000001</v>
      </c>
      <c r="J225">
        <v>1222.3104248</v>
      </c>
      <c r="K225">
        <v>2200</v>
      </c>
      <c r="L225">
        <v>0</v>
      </c>
      <c r="M225">
        <v>0</v>
      </c>
      <c r="N225">
        <v>2200</v>
      </c>
    </row>
    <row r="226" spans="1:14" x14ac:dyDescent="0.25">
      <c r="A226">
        <v>42.787033000000001</v>
      </c>
      <c r="B226" s="1">
        <f>DATE(2010,6,12) + TIME(18,53,19)</f>
        <v>40341.78702546296</v>
      </c>
      <c r="C226">
        <v>80</v>
      </c>
      <c r="D226">
        <v>79.896560668999996</v>
      </c>
      <c r="E226">
        <v>50</v>
      </c>
      <c r="F226">
        <v>14.997798919999999</v>
      </c>
      <c r="G226">
        <v>1386.2424315999999</v>
      </c>
      <c r="H226">
        <v>1373.3078613</v>
      </c>
      <c r="I226">
        <v>1258.5045166</v>
      </c>
      <c r="J226">
        <v>1222.3195800999999</v>
      </c>
      <c r="K226">
        <v>2200</v>
      </c>
      <c r="L226">
        <v>0</v>
      </c>
      <c r="M226">
        <v>0</v>
      </c>
      <c r="N226">
        <v>2200</v>
      </c>
    </row>
    <row r="227" spans="1:14" x14ac:dyDescent="0.25">
      <c r="A227">
        <v>43.373088000000003</v>
      </c>
      <c r="B227" s="1">
        <f>DATE(2010,6,13) + TIME(8,57,14)</f>
        <v>40342.373078703706</v>
      </c>
      <c r="C227">
        <v>80</v>
      </c>
      <c r="D227">
        <v>79.896629333000007</v>
      </c>
      <c r="E227">
        <v>50</v>
      </c>
      <c r="F227">
        <v>14.997814178</v>
      </c>
      <c r="G227">
        <v>1386.1601562000001</v>
      </c>
      <c r="H227">
        <v>1373.2307129000001</v>
      </c>
      <c r="I227">
        <v>1258.5142822</v>
      </c>
      <c r="J227">
        <v>1222.3288574000001</v>
      </c>
      <c r="K227">
        <v>2200</v>
      </c>
      <c r="L227">
        <v>0</v>
      </c>
      <c r="M227">
        <v>0</v>
      </c>
      <c r="N227">
        <v>2200</v>
      </c>
    </row>
    <row r="228" spans="1:14" x14ac:dyDescent="0.25">
      <c r="A228">
        <v>43.969147</v>
      </c>
      <c r="B228" s="1">
        <f>DATE(2010,6,13) + TIME(23,15,34)</f>
        <v>40342.969143518516</v>
      </c>
      <c r="C228">
        <v>80</v>
      </c>
      <c r="D228">
        <v>79.896697997999993</v>
      </c>
      <c r="E228">
        <v>50</v>
      </c>
      <c r="F228">
        <v>14.997830391000001</v>
      </c>
      <c r="G228">
        <v>1386.0777588000001</v>
      </c>
      <c r="H228">
        <v>1373.1533202999999</v>
      </c>
      <c r="I228">
        <v>1258.5242920000001</v>
      </c>
      <c r="J228">
        <v>1222.3382568</v>
      </c>
      <c r="K228">
        <v>2200</v>
      </c>
      <c r="L228">
        <v>0</v>
      </c>
      <c r="M228">
        <v>0</v>
      </c>
      <c r="N228">
        <v>2200</v>
      </c>
    </row>
    <row r="229" spans="1:14" x14ac:dyDescent="0.25">
      <c r="A229">
        <v>44.576532</v>
      </c>
      <c r="B229" s="1">
        <f>DATE(2010,6,14) + TIME(13,50,12)</f>
        <v>40343.576527777775</v>
      </c>
      <c r="C229">
        <v>80</v>
      </c>
      <c r="D229">
        <v>79.896774292000003</v>
      </c>
      <c r="E229">
        <v>50</v>
      </c>
      <c r="F229">
        <v>14.99784565</v>
      </c>
      <c r="G229">
        <v>1385.9951172000001</v>
      </c>
      <c r="H229">
        <v>1373.0756836</v>
      </c>
      <c r="I229">
        <v>1258.5344238</v>
      </c>
      <c r="J229">
        <v>1222.3479004000001</v>
      </c>
      <c r="K229">
        <v>2200</v>
      </c>
      <c r="L229">
        <v>0</v>
      </c>
      <c r="M229">
        <v>0</v>
      </c>
      <c r="N229">
        <v>2200</v>
      </c>
    </row>
    <row r="230" spans="1:14" x14ac:dyDescent="0.25">
      <c r="A230">
        <v>45.194594000000002</v>
      </c>
      <c r="B230" s="1">
        <f>DATE(2010,6,15) + TIME(4,40,12)</f>
        <v>40344.19458333333</v>
      </c>
      <c r="C230">
        <v>80</v>
      </c>
      <c r="D230">
        <v>79.896850585999999</v>
      </c>
      <c r="E230">
        <v>50</v>
      </c>
      <c r="F230">
        <v>14.997861862000001</v>
      </c>
      <c r="G230">
        <v>1385.9118652</v>
      </c>
      <c r="H230">
        <v>1372.9976807</v>
      </c>
      <c r="I230">
        <v>1258.5449219</v>
      </c>
      <c r="J230">
        <v>1222.3577881000001</v>
      </c>
      <c r="K230">
        <v>2200</v>
      </c>
      <c r="L230">
        <v>0</v>
      </c>
      <c r="M230">
        <v>0</v>
      </c>
      <c r="N230">
        <v>2200</v>
      </c>
    </row>
    <row r="231" spans="1:14" x14ac:dyDescent="0.25">
      <c r="A231">
        <v>45.506625999999997</v>
      </c>
      <c r="B231" s="1">
        <f>DATE(2010,6,15) + TIME(12,9,32)</f>
        <v>40344.506620370368</v>
      </c>
      <c r="C231">
        <v>80</v>
      </c>
      <c r="D231">
        <v>79.896873474000003</v>
      </c>
      <c r="E231">
        <v>50</v>
      </c>
      <c r="F231">
        <v>14.997872353</v>
      </c>
      <c r="G231">
        <v>1385.8277588000001</v>
      </c>
      <c r="H231">
        <v>1372.9187012</v>
      </c>
      <c r="I231">
        <v>1258.5550536999999</v>
      </c>
      <c r="J231">
        <v>1222.3674315999999</v>
      </c>
      <c r="K231">
        <v>2200</v>
      </c>
      <c r="L231">
        <v>0</v>
      </c>
      <c r="M231">
        <v>0</v>
      </c>
      <c r="N231">
        <v>2200</v>
      </c>
    </row>
    <row r="232" spans="1:14" x14ac:dyDescent="0.25">
      <c r="A232">
        <v>45.818657000000002</v>
      </c>
      <c r="B232" s="1">
        <f>DATE(2010,6,15) + TIME(19,38,51)</f>
        <v>40344.818645833337</v>
      </c>
      <c r="C232">
        <v>80</v>
      </c>
      <c r="D232">
        <v>79.896911621000001</v>
      </c>
      <c r="E232">
        <v>50</v>
      </c>
      <c r="F232">
        <v>14.997881889</v>
      </c>
      <c r="G232">
        <v>1385.7852783000001</v>
      </c>
      <c r="H232">
        <v>1372.8787841999999</v>
      </c>
      <c r="I232">
        <v>1258.5606689000001</v>
      </c>
      <c r="J232">
        <v>1222.3726807</v>
      </c>
      <c r="K232">
        <v>2200</v>
      </c>
      <c r="L232">
        <v>0</v>
      </c>
      <c r="M232">
        <v>0</v>
      </c>
      <c r="N232">
        <v>2200</v>
      </c>
    </row>
    <row r="233" spans="1:14" x14ac:dyDescent="0.25">
      <c r="A233">
        <v>46.130687999999999</v>
      </c>
      <c r="B233" s="1">
        <f>DATE(2010,6,16) + TIME(3,8,11)</f>
        <v>40345.130682870367</v>
      </c>
      <c r="C233">
        <v>80</v>
      </c>
      <c r="D233">
        <v>79.896942139000004</v>
      </c>
      <c r="E233">
        <v>50</v>
      </c>
      <c r="F233">
        <v>14.997890472</v>
      </c>
      <c r="G233">
        <v>1385.7436522999999</v>
      </c>
      <c r="H233">
        <v>1372.8398437999999</v>
      </c>
      <c r="I233">
        <v>1258.5660399999999</v>
      </c>
      <c r="J233">
        <v>1222.3778076000001</v>
      </c>
      <c r="K233">
        <v>2200</v>
      </c>
      <c r="L233">
        <v>0</v>
      </c>
      <c r="M233">
        <v>0</v>
      </c>
      <c r="N233">
        <v>2200</v>
      </c>
    </row>
    <row r="234" spans="1:14" x14ac:dyDescent="0.25">
      <c r="A234">
        <v>46.442720000000001</v>
      </c>
      <c r="B234" s="1">
        <f>DATE(2010,6,16) + TIME(10,37,30)</f>
        <v>40345.442708333336</v>
      </c>
      <c r="C234">
        <v>80</v>
      </c>
      <c r="D234">
        <v>79.896980286000002</v>
      </c>
      <c r="E234">
        <v>50</v>
      </c>
      <c r="F234">
        <v>14.997899055</v>
      </c>
      <c r="G234">
        <v>1385.7023925999999</v>
      </c>
      <c r="H234">
        <v>1372.8010254000001</v>
      </c>
      <c r="I234">
        <v>1258.5715332</v>
      </c>
      <c r="J234">
        <v>1222.3829346</v>
      </c>
      <c r="K234">
        <v>2200</v>
      </c>
      <c r="L234">
        <v>0</v>
      </c>
      <c r="M234">
        <v>0</v>
      </c>
      <c r="N234">
        <v>2200</v>
      </c>
    </row>
    <row r="235" spans="1:14" x14ac:dyDescent="0.25">
      <c r="A235">
        <v>46.754750999999999</v>
      </c>
      <c r="B235" s="1">
        <f>DATE(2010,6,16) + TIME(18,6,50)</f>
        <v>40345.754745370374</v>
      </c>
      <c r="C235">
        <v>80</v>
      </c>
      <c r="D235">
        <v>79.897018433</v>
      </c>
      <c r="E235">
        <v>50</v>
      </c>
      <c r="F235">
        <v>14.997907638999999</v>
      </c>
      <c r="G235">
        <v>1385.6613769999999</v>
      </c>
      <c r="H235">
        <v>1372.7625731999999</v>
      </c>
      <c r="I235">
        <v>1258.5770264</v>
      </c>
      <c r="J235">
        <v>1222.3880615</v>
      </c>
      <c r="K235">
        <v>2200</v>
      </c>
      <c r="L235">
        <v>0</v>
      </c>
      <c r="M235">
        <v>0</v>
      </c>
      <c r="N235">
        <v>2200</v>
      </c>
    </row>
    <row r="236" spans="1:14" x14ac:dyDescent="0.25">
      <c r="A236">
        <v>47.066782000000003</v>
      </c>
      <c r="B236" s="1">
        <f>DATE(2010,6,17) + TIME(1,36,9)</f>
        <v>40346.066770833335</v>
      </c>
      <c r="C236">
        <v>80</v>
      </c>
      <c r="D236">
        <v>79.897056579999997</v>
      </c>
      <c r="E236">
        <v>50</v>
      </c>
      <c r="F236">
        <v>14.997916222000001</v>
      </c>
      <c r="G236">
        <v>1385.6206055</v>
      </c>
      <c r="H236">
        <v>1372.7243652</v>
      </c>
      <c r="I236">
        <v>1258.5825195</v>
      </c>
      <c r="J236">
        <v>1222.3933105000001</v>
      </c>
      <c r="K236">
        <v>2200</v>
      </c>
      <c r="L236">
        <v>0</v>
      </c>
      <c r="M236">
        <v>0</v>
      </c>
      <c r="N236">
        <v>2200</v>
      </c>
    </row>
    <row r="237" spans="1:14" x14ac:dyDescent="0.25">
      <c r="A237">
        <v>47.378813000000001</v>
      </c>
      <c r="B237" s="1">
        <f>DATE(2010,6,17) + TIME(9,5,29)</f>
        <v>40346.378807870373</v>
      </c>
      <c r="C237">
        <v>80</v>
      </c>
      <c r="D237">
        <v>79.897087096999996</v>
      </c>
      <c r="E237">
        <v>50</v>
      </c>
      <c r="F237">
        <v>14.997924805</v>
      </c>
      <c r="G237">
        <v>1385.5800781</v>
      </c>
      <c r="H237">
        <v>1372.6864014</v>
      </c>
      <c r="I237">
        <v>1258.5880127</v>
      </c>
      <c r="J237">
        <v>1222.3984375</v>
      </c>
      <c r="K237">
        <v>2200</v>
      </c>
      <c r="L237">
        <v>0</v>
      </c>
      <c r="M237">
        <v>0</v>
      </c>
      <c r="N237">
        <v>2200</v>
      </c>
    </row>
    <row r="238" spans="1:14" x14ac:dyDescent="0.25">
      <c r="A238">
        <v>47.690845000000003</v>
      </c>
      <c r="B238" s="1">
        <f>DATE(2010,6,17) + TIME(16,34,48)</f>
        <v>40346.690833333334</v>
      </c>
      <c r="C238">
        <v>80</v>
      </c>
      <c r="D238">
        <v>79.897125243999994</v>
      </c>
      <c r="E238">
        <v>50</v>
      </c>
      <c r="F238">
        <v>14.997932434000001</v>
      </c>
      <c r="G238">
        <v>1385.5399170000001</v>
      </c>
      <c r="H238">
        <v>1372.6486815999999</v>
      </c>
      <c r="I238">
        <v>1258.5935059000001</v>
      </c>
      <c r="J238">
        <v>1222.4036865</v>
      </c>
      <c r="K238">
        <v>2200</v>
      </c>
      <c r="L238">
        <v>0</v>
      </c>
      <c r="M238">
        <v>0</v>
      </c>
      <c r="N238">
        <v>2200</v>
      </c>
    </row>
    <row r="239" spans="1:14" x14ac:dyDescent="0.25">
      <c r="A239">
        <v>48.314906999999998</v>
      </c>
      <c r="B239" s="1">
        <f>DATE(2010,6,18) + TIME(7,33,28)</f>
        <v>40347.31490740741</v>
      </c>
      <c r="C239">
        <v>80</v>
      </c>
      <c r="D239">
        <v>79.897216796999999</v>
      </c>
      <c r="E239">
        <v>50</v>
      </c>
      <c r="F239">
        <v>14.997944832</v>
      </c>
      <c r="G239">
        <v>1385.5007324000001</v>
      </c>
      <c r="H239">
        <v>1372.6120605000001</v>
      </c>
      <c r="I239">
        <v>1258.5993652</v>
      </c>
      <c r="J239">
        <v>1222.4093018000001</v>
      </c>
      <c r="K239">
        <v>2200</v>
      </c>
      <c r="L239">
        <v>0</v>
      </c>
      <c r="M239">
        <v>0</v>
      </c>
      <c r="N239">
        <v>2200</v>
      </c>
    </row>
    <row r="240" spans="1:14" x14ac:dyDescent="0.25">
      <c r="A240">
        <v>48.940012000000003</v>
      </c>
      <c r="B240" s="1">
        <f>DATE(2010,6,18) + TIME(22,33,37)</f>
        <v>40347.940011574072</v>
      </c>
      <c r="C240">
        <v>80</v>
      </c>
      <c r="D240">
        <v>79.897293090999995</v>
      </c>
      <c r="E240">
        <v>50</v>
      </c>
      <c r="F240">
        <v>14.997958183</v>
      </c>
      <c r="G240">
        <v>1385.421875</v>
      </c>
      <c r="H240">
        <v>1372.5382079999999</v>
      </c>
      <c r="I240">
        <v>1258.6103516000001</v>
      </c>
      <c r="J240">
        <v>1222.4196777</v>
      </c>
      <c r="K240">
        <v>2200</v>
      </c>
      <c r="L240">
        <v>0</v>
      </c>
      <c r="M240">
        <v>0</v>
      </c>
      <c r="N240">
        <v>2200</v>
      </c>
    </row>
    <row r="241" spans="1:14" x14ac:dyDescent="0.25">
      <c r="A241">
        <v>49.569138000000002</v>
      </c>
      <c r="B241" s="1">
        <f>DATE(2010,6,19) + TIME(13,39,33)</f>
        <v>40348.569131944445</v>
      </c>
      <c r="C241">
        <v>80</v>
      </c>
      <c r="D241">
        <v>79.897369385000005</v>
      </c>
      <c r="E241">
        <v>50</v>
      </c>
      <c r="F241">
        <v>14.997972488</v>
      </c>
      <c r="G241">
        <v>1385.3435059000001</v>
      </c>
      <c r="H241">
        <v>1372.4648437999999</v>
      </c>
      <c r="I241">
        <v>1258.621582</v>
      </c>
      <c r="J241">
        <v>1222.4301757999999</v>
      </c>
      <c r="K241">
        <v>2200</v>
      </c>
      <c r="L241">
        <v>0</v>
      </c>
      <c r="M241">
        <v>0</v>
      </c>
      <c r="N241">
        <v>2200</v>
      </c>
    </row>
    <row r="242" spans="1:14" x14ac:dyDescent="0.25">
      <c r="A242">
        <v>50.203221999999997</v>
      </c>
      <c r="B242" s="1">
        <f>DATE(2010,6,20) + TIME(4,52,38)</f>
        <v>40349.203217592592</v>
      </c>
      <c r="C242">
        <v>80</v>
      </c>
      <c r="D242">
        <v>79.897445679</v>
      </c>
      <c r="E242">
        <v>50</v>
      </c>
      <c r="F242">
        <v>14.997986793999999</v>
      </c>
      <c r="G242">
        <v>1385.2655029</v>
      </c>
      <c r="H242">
        <v>1372.3919678</v>
      </c>
      <c r="I242">
        <v>1258.6328125</v>
      </c>
      <c r="J242">
        <v>1222.4407959</v>
      </c>
      <c r="K242">
        <v>2200</v>
      </c>
      <c r="L242">
        <v>0</v>
      </c>
      <c r="M242">
        <v>0</v>
      </c>
      <c r="N242">
        <v>2200</v>
      </c>
    </row>
    <row r="243" spans="1:14" x14ac:dyDescent="0.25">
      <c r="A243">
        <v>50.843237000000002</v>
      </c>
      <c r="B243" s="1">
        <f>DATE(2010,6,20) + TIME(20,14,15)</f>
        <v>40349.843229166669</v>
      </c>
      <c r="C243">
        <v>80</v>
      </c>
      <c r="D243">
        <v>79.897529602000006</v>
      </c>
      <c r="E243">
        <v>50</v>
      </c>
      <c r="F243">
        <v>14.998002052</v>
      </c>
      <c r="G243">
        <v>1385.1879882999999</v>
      </c>
      <c r="H243">
        <v>1372.3193358999999</v>
      </c>
      <c r="I243">
        <v>1258.6441649999999</v>
      </c>
      <c r="J243">
        <v>1222.4515381000001</v>
      </c>
      <c r="K243">
        <v>2200</v>
      </c>
      <c r="L243">
        <v>0</v>
      </c>
      <c r="M243">
        <v>0</v>
      </c>
      <c r="N243">
        <v>2200</v>
      </c>
    </row>
    <row r="244" spans="1:14" x14ac:dyDescent="0.25">
      <c r="A244">
        <v>51.490188000000003</v>
      </c>
      <c r="B244" s="1">
        <f>DATE(2010,6,21) + TIME(11,45,52)</f>
        <v>40350.490185185183</v>
      </c>
      <c r="C244">
        <v>80</v>
      </c>
      <c r="D244">
        <v>79.897605896000002</v>
      </c>
      <c r="E244">
        <v>50</v>
      </c>
      <c r="F244">
        <v>14.998016356999999</v>
      </c>
      <c r="G244">
        <v>1385.1105957</v>
      </c>
      <c r="H244">
        <v>1372.2469481999999</v>
      </c>
      <c r="I244">
        <v>1258.6557617000001</v>
      </c>
      <c r="J244">
        <v>1222.4624022999999</v>
      </c>
      <c r="K244">
        <v>2200</v>
      </c>
      <c r="L244">
        <v>0</v>
      </c>
      <c r="M244">
        <v>0</v>
      </c>
      <c r="N244">
        <v>2200</v>
      </c>
    </row>
    <row r="245" spans="1:14" x14ac:dyDescent="0.25">
      <c r="A245">
        <v>52.145282000000002</v>
      </c>
      <c r="B245" s="1">
        <f>DATE(2010,6,22) + TIME(3,29,12)</f>
        <v>40351.145277777781</v>
      </c>
      <c r="C245">
        <v>80</v>
      </c>
      <c r="D245">
        <v>79.897689818999993</v>
      </c>
      <c r="E245">
        <v>50</v>
      </c>
      <c r="F245">
        <v>14.998031616</v>
      </c>
      <c r="G245">
        <v>1385.0332031</v>
      </c>
      <c r="H245">
        <v>1372.1746826000001</v>
      </c>
      <c r="I245">
        <v>1258.6674805</v>
      </c>
      <c r="J245">
        <v>1222.4735106999999</v>
      </c>
      <c r="K245">
        <v>2200</v>
      </c>
      <c r="L245">
        <v>0</v>
      </c>
      <c r="M245">
        <v>0</v>
      </c>
      <c r="N245">
        <v>2200</v>
      </c>
    </row>
    <row r="246" spans="1:14" x14ac:dyDescent="0.25">
      <c r="A246">
        <v>52.809606000000002</v>
      </c>
      <c r="B246" s="1">
        <f>DATE(2010,6,22) + TIME(19,25,49)</f>
        <v>40351.809594907405</v>
      </c>
      <c r="C246">
        <v>80</v>
      </c>
      <c r="D246">
        <v>79.897766113000003</v>
      </c>
      <c r="E246">
        <v>50</v>
      </c>
      <c r="F246">
        <v>14.998046875</v>
      </c>
      <c r="G246">
        <v>1384.9559326000001</v>
      </c>
      <c r="H246">
        <v>1372.1022949000001</v>
      </c>
      <c r="I246">
        <v>1258.6794434000001</v>
      </c>
      <c r="J246">
        <v>1222.4847411999999</v>
      </c>
      <c r="K246">
        <v>2200</v>
      </c>
      <c r="L246">
        <v>0</v>
      </c>
      <c r="M246">
        <v>0</v>
      </c>
      <c r="N246">
        <v>2200</v>
      </c>
    </row>
    <row r="247" spans="1:14" x14ac:dyDescent="0.25">
      <c r="A247">
        <v>53.484164</v>
      </c>
      <c r="B247" s="1">
        <f>DATE(2010,6,23) + TIME(11,37,11)</f>
        <v>40352.484155092592</v>
      </c>
      <c r="C247">
        <v>80</v>
      </c>
      <c r="D247">
        <v>79.897850036999998</v>
      </c>
      <c r="E247">
        <v>50</v>
      </c>
      <c r="F247">
        <v>14.998061180000001</v>
      </c>
      <c r="G247">
        <v>1384.878418</v>
      </c>
      <c r="H247">
        <v>1372.0299072</v>
      </c>
      <c r="I247">
        <v>1258.6916504000001</v>
      </c>
      <c r="J247">
        <v>1222.4962158000001</v>
      </c>
      <c r="K247">
        <v>2200</v>
      </c>
      <c r="L247">
        <v>0</v>
      </c>
      <c r="M247">
        <v>0</v>
      </c>
      <c r="N247">
        <v>2200</v>
      </c>
    </row>
    <row r="248" spans="1:14" x14ac:dyDescent="0.25">
      <c r="A248">
        <v>54.170147999999998</v>
      </c>
      <c r="B248" s="1">
        <f>DATE(2010,6,24) + TIME(4,5,0)</f>
        <v>40353.170138888891</v>
      </c>
      <c r="C248">
        <v>80</v>
      </c>
      <c r="D248">
        <v>79.897933960000003</v>
      </c>
      <c r="E248">
        <v>50</v>
      </c>
      <c r="F248">
        <v>14.998076439</v>
      </c>
      <c r="G248">
        <v>1384.8006591999999</v>
      </c>
      <c r="H248">
        <v>1371.9572754000001</v>
      </c>
      <c r="I248">
        <v>1258.7041016000001</v>
      </c>
      <c r="J248">
        <v>1222.5079346</v>
      </c>
      <c r="K248">
        <v>2200</v>
      </c>
      <c r="L248">
        <v>0</v>
      </c>
      <c r="M248">
        <v>0</v>
      </c>
      <c r="N248">
        <v>2200</v>
      </c>
    </row>
    <row r="249" spans="1:14" x14ac:dyDescent="0.25">
      <c r="A249">
        <v>54.869064000000002</v>
      </c>
      <c r="B249" s="1">
        <f>DATE(2010,6,24) + TIME(20,51,27)</f>
        <v>40353.869062500002</v>
      </c>
      <c r="C249">
        <v>80</v>
      </c>
      <c r="D249">
        <v>79.898017882999994</v>
      </c>
      <c r="E249">
        <v>50</v>
      </c>
      <c r="F249">
        <v>14.998091698</v>
      </c>
      <c r="G249">
        <v>1384.7225341999999</v>
      </c>
      <c r="H249">
        <v>1371.8842772999999</v>
      </c>
      <c r="I249">
        <v>1258.7169189000001</v>
      </c>
      <c r="J249">
        <v>1222.5200195</v>
      </c>
      <c r="K249">
        <v>2200</v>
      </c>
      <c r="L249">
        <v>0</v>
      </c>
      <c r="M249">
        <v>0</v>
      </c>
      <c r="N249">
        <v>2200</v>
      </c>
    </row>
    <row r="250" spans="1:14" x14ac:dyDescent="0.25">
      <c r="A250">
        <v>55.580533000000003</v>
      </c>
      <c r="B250" s="1">
        <f>DATE(2010,6,25) + TIME(13,55,58)</f>
        <v>40354.58053240741</v>
      </c>
      <c r="C250">
        <v>80</v>
      </c>
      <c r="D250">
        <v>79.898109435999999</v>
      </c>
      <c r="E250">
        <v>50</v>
      </c>
      <c r="F250">
        <v>14.99810791</v>
      </c>
      <c r="G250">
        <v>1384.6439209</v>
      </c>
      <c r="H250">
        <v>1371.8107910000001</v>
      </c>
      <c r="I250">
        <v>1258.7299805</v>
      </c>
      <c r="J250">
        <v>1222.5322266000001</v>
      </c>
      <c r="K250">
        <v>2200</v>
      </c>
      <c r="L250">
        <v>0</v>
      </c>
      <c r="M250">
        <v>0</v>
      </c>
      <c r="N250">
        <v>2200</v>
      </c>
    </row>
    <row r="251" spans="1:14" x14ac:dyDescent="0.25">
      <c r="A251">
        <v>55.936377</v>
      </c>
      <c r="B251" s="1">
        <f>DATE(2010,6,25) + TIME(22,28,22)</f>
        <v>40354.936365740738</v>
      </c>
      <c r="C251">
        <v>80</v>
      </c>
      <c r="D251">
        <v>79.898139954000001</v>
      </c>
      <c r="E251">
        <v>50</v>
      </c>
      <c r="F251">
        <v>14.998117447</v>
      </c>
      <c r="G251">
        <v>1384.5643310999999</v>
      </c>
      <c r="H251">
        <v>1371.7364502</v>
      </c>
      <c r="I251">
        <v>1258.7427978999999</v>
      </c>
      <c r="J251">
        <v>1222.5443115</v>
      </c>
      <c r="K251">
        <v>2200</v>
      </c>
      <c r="L251">
        <v>0</v>
      </c>
      <c r="M251">
        <v>0</v>
      </c>
      <c r="N251">
        <v>2200</v>
      </c>
    </row>
    <row r="252" spans="1:14" x14ac:dyDescent="0.25">
      <c r="A252">
        <v>56.29222</v>
      </c>
      <c r="B252" s="1">
        <f>DATE(2010,6,26) + TIME(7,0,47)</f>
        <v>40355.292210648149</v>
      </c>
      <c r="C252">
        <v>80</v>
      </c>
      <c r="D252">
        <v>79.898185729999994</v>
      </c>
      <c r="E252">
        <v>50</v>
      </c>
      <c r="F252">
        <v>14.998126984000001</v>
      </c>
      <c r="G252">
        <v>1384.5244141000001</v>
      </c>
      <c r="H252">
        <v>1371.6990966999999</v>
      </c>
      <c r="I252">
        <v>1258.7497559000001</v>
      </c>
      <c r="J252">
        <v>1222.5507812000001</v>
      </c>
      <c r="K252">
        <v>2200</v>
      </c>
      <c r="L252">
        <v>0</v>
      </c>
      <c r="M252">
        <v>0</v>
      </c>
      <c r="N252">
        <v>2200</v>
      </c>
    </row>
    <row r="253" spans="1:14" x14ac:dyDescent="0.25">
      <c r="A253">
        <v>56.648063</v>
      </c>
      <c r="B253" s="1">
        <f>DATE(2010,6,26) + TIME(15,33,12)</f>
        <v>40355.648055555554</v>
      </c>
      <c r="C253">
        <v>80</v>
      </c>
      <c r="D253">
        <v>79.898223877000007</v>
      </c>
      <c r="E253">
        <v>50</v>
      </c>
      <c r="F253">
        <v>14.998135567</v>
      </c>
      <c r="G253">
        <v>1384.4853516000001</v>
      </c>
      <c r="H253">
        <v>1371.6627197</v>
      </c>
      <c r="I253">
        <v>1258.7564697</v>
      </c>
      <c r="J253">
        <v>1222.5571289</v>
      </c>
      <c r="K253">
        <v>2200</v>
      </c>
      <c r="L253">
        <v>0</v>
      </c>
      <c r="M253">
        <v>0</v>
      </c>
      <c r="N253">
        <v>2200</v>
      </c>
    </row>
    <row r="254" spans="1:14" x14ac:dyDescent="0.25">
      <c r="A254">
        <v>57.003906999999998</v>
      </c>
      <c r="B254" s="1">
        <f>DATE(2010,6,27) + TIME(0,5,37)</f>
        <v>40356.003900462965</v>
      </c>
      <c r="C254">
        <v>80</v>
      </c>
      <c r="D254">
        <v>79.898269653</v>
      </c>
      <c r="E254">
        <v>50</v>
      </c>
      <c r="F254">
        <v>14.99814415</v>
      </c>
      <c r="G254">
        <v>1384.4465332</v>
      </c>
      <c r="H254">
        <v>1371.6264647999999</v>
      </c>
      <c r="I254">
        <v>1258.7633057</v>
      </c>
      <c r="J254">
        <v>1222.5634766000001</v>
      </c>
      <c r="K254">
        <v>2200</v>
      </c>
      <c r="L254">
        <v>0</v>
      </c>
      <c r="M254">
        <v>0</v>
      </c>
      <c r="N254">
        <v>2200</v>
      </c>
    </row>
    <row r="255" spans="1:14" x14ac:dyDescent="0.25">
      <c r="A255">
        <v>57.359749999999998</v>
      </c>
      <c r="B255" s="1">
        <f>DATE(2010,6,27) + TIME(8,38,2)</f>
        <v>40356.35974537037</v>
      </c>
      <c r="C255">
        <v>80</v>
      </c>
      <c r="D255">
        <v>79.898307799999998</v>
      </c>
      <c r="E255">
        <v>50</v>
      </c>
      <c r="F255">
        <v>14.998152733</v>
      </c>
      <c r="G255">
        <v>1384.4080810999999</v>
      </c>
      <c r="H255">
        <v>1371.5904541</v>
      </c>
      <c r="I255">
        <v>1258.7701416</v>
      </c>
      <c r="J255">
        <v>1222.5699463000001</v>
      </c>
      <c r="K255">
        <v>2200</v>
      </c>
      <c r="L255">
        <v>0</v>
      </c>
      <c r="M255">
        <v>0</v>
      </c>
      <c r="N255">
        <v>2200</v>
      </c>
    </row>
    <row r="256" spans="1:14" x14ac:dyDescent="0.25">
      <c r="A256">
        <v>57.715592999999998</v>
      </c>
      <c r="B256" s="1">
        <f>DATE(2010,6,27) + TIME(17,10,27)</f>
        <v>40356.715590277781</v>
      </c>
      <c r="C256">
        <v>80</v>
      </c>
      <c r="D256">
        <v>79.898353576999995</v>
      </c>
      <c r="E256">
        <v>50</v>
      </c>
      <c r="F256">
        <v>14.998160362</v>
      </c>
      <c r="G256">
        <v>1384.369751</v>
      </c>
      <c r="H256">
        <v>1371.5545654</v>
      </c>
      <c r="I256">
        <v>1258.7768555</v>
      </c>
      <c r="J256">
        <v>1222.5762939000001</v>
      </c>
      <c r="K256">
        <v>2200</v>
      </c>
      <c r="L256">
        <v>0</v>
      </c>
      <c r="M256">
        <v>0</v>
      </c>
      <c r="N256">
        <v>2200</v>
      </c>
    </row>
    <row r="257" spans="1:14" x14ac:dyDescent="0.25">
      <c r="A257">
        <v>58.427280000000003</v>
      </c>
      <c r="B257" s="1">
        <f>DATE(2010,6,28) + TIME(10,15,17)</f>
        <v>40357.42728009259</v>
      </c>
      <c r="C257">
        <v>80</v>
      </c>
      <c r="D257">
        <v>79.898452758999994</v>
      </c>
      <c r="E257">
        <v>50</v>
      </c>
      <c r="F257">
        <v>14.998172759999999</v>
      </c>
      <c r="G257">
        <v>1384.3323975000001</v>
      </c>
      <c r="H257">
        <v>1371.5197754000001</v>
      </c>
      <c r="I257">
        <v>1258.7841797000001</v>
      </c>
      <c r="J257">
        <v>1222.5831298999999</v>
      </c>
      <c r="K257">
        <v>2200</v>
      </c>
      <c r="L257">
        <v>0</v>
      </c>
      <c r="M257">
        <v>0</v>
      </c>
      <c r="N257">
        <v>2200</v>
      </c>
    </row>
    <row r="258" spans="1:14" x14ac:dyDescent="0.25">
      <c r="A258">
        <v>59.139234999999999</v>
      </c>
      <c r="B258" s="1">
        <f>DATE(2010,6,29) + TIME(3,20,29)</f>
        <v>40358.139224537037</v>
      </c>
      <c r="C258">
        <v>80</v>
      </c>
      <c r="D258">
        <v>79.898544311999999</v>
      </c>
      <c r="E258">
        <v>50</v>
      </c>
      <c r="F258">
        <v>14.998186111000001</v>
      </c>
      <c r="G258">
        <v>1384.2572021000001</v>
      </c>
      <c r="H258">
        <v>1371.4495850000001</v>
      </c>
      <c r="I258">
        <v>1258.7978516000001</v>
      </c>
      <c r="J258">
        <v>1222.5959473</v>
      </c>
      <c r="K258">
        <v>2200</v>
      </c>
      <c r="L258">
        <v>0</v>
      </c>
      <c r="M258">
        <v>0</v>
      </c>
      <c r="N258">
        <v>2200</v>
      </c>
    </row>
    <row r="259" spans="1:14" x14ac:dyDescent="0.25">
      <c r="A259">
        <v>59.855240000000002</v>
      </c>
      <c r="B259" s="1">
        <f>DATE(2010,6,29) + TIME(20,31,32)</f>
        <v>40358.855231481481</v>
      </c>
      <c r="C259">
        <v>80</v>
      </c>
      <c r="D259">
        <v>79.898635863999999</v>
      </c>
      <c r="E259">
        <v>50</v>
      </c>
      <c r="F259">
        <v>14.998199463000001</v>
      </c>
      <c r="G259">
        <v>1384.1824951000001</v>
      </c>
      <c r="H259">
        <v>1371.3800048999999</v>
      </c>
      <c r="I259">
        <v>1258.8116454999999</v>
      </c>
      <c r="J259">
        <v>1222.6088867000001</v>
      </c>
      <c r="K259">
        <v>2200</v>
      </c>
      <c r="L259">
        <v>0</v>
      </c>
      <c r="M259">
        <v>0</v>
      </c>
      <c r="N259">
        <v>2200</v>
      </c>
    </row>
    <row r="260" spans="1:14" x14ac:dyDescent="0.25">
      <c r="A260">
        <v>60.576371999999999</v>
      </c>
      <c r="B260" s="1">
        <f>DATE(2010,6,30) + TIME(13,49,58)</f>
        <v>40359.576365740744</v>
      </c>
      <c r="C260">
        <v>80</v>
      </c>
      <c r="D260">
        <v>79.898727417000003</v>
      </c>
      <c r="E260">
        <v>50</v>
      </c>
      <c r="F260">
        <v>14.998213767999999</v>
      </c>
      <c r="G260">
        <v>1384.1081543</v>
      </c>
      <c r="H260">
        <v>1371.3106689000001</v>
      </c>
      <c r="I260">
        <v>1258.8255615</v>
      </c>
      <c r="J260">
        <v>1222.6220702999999</v>
      </c>
      <c r="K260">
        <v>2200</v>
      </c>
      <c r="L260">
        <v>0</v>
      </c>
      <c r="M260">
        <v>0</v>
      </c>
      <c r="N260">
        <v>2200</v>
      </c>
    </row>
    <row r="261" spans="1:14" x14ac:dyDescent="0.25">
      <c r="A261">
        <v>61</v>
      </c>
      <c r="B261" s="1">
        <f>DATE(2010,7,1) + TIME(0,0,0)</f>
        <v>40360</v>
      </c>
      <c r="C261">
        <v>80</v>
      </c>
      <c r="D261">
        <v>79.898765564000001</v>
      </c>
      <c r="E261">
        <v>50</v>
      </c>
      <c r="F261">
        <v>14.998224258</v>
      </c>
      <c r="G261">
        <v>1384.0339355000001</v>
      </c>
      <c r="H261">
        <v>1371.2413329999999</v>
      </c>
      <c r="I261">
        <v>1258.8393555</v>
      </c>
      <c r="J261">
        <v>1222.6348877</v>
      </c>
      <c r="K261">
        <v>2200</v>
      </c>
      <c r="L261">
        <v>0</v>
      </c>
      <c r="M261">
        <v>0</v>
      </c>
      <c r="N261">
        <v>2200</v>
      </c>
    </row>
    <row r="262" spans="1:14" x14ac:dyDescent="0.25">
      <c r="A262">
        <v>61.727381000000001</v>
      </c>
      <c r="B262" s="1">
        <f>DATE(2010,7,1) + TIME(17,27,25)</f>
        <v>40360.727372685185</v>
      </c>
      <c r="C262">
        <v>80</v>
      </c>
      <c r="D262">
        <v>79.898864746000001</v>
      </c>
      <c r="E262">
        <v>50</v>
      </c>
      <c r="F262">
        <v>14.99823761</v>
      </c>
      <c r="G262">
        <v>1383.9908447</v>
      </c>
      <c r="H262">
        <v>1371.2011719</v>
      </c>
      <c r="I262">
        <v>1258.8482666</v>
      </c>
      <c r="J262">
        <v>1222.6431885</v>
      </c>
      <c r="K262">
        <v>2200</v>
      </c>
      <c r="L262">
        <v>0</v>
      </c>
      <c r="M262">
        <v>0</v>
      </c>
      <c r="N262">
        <v>2200</v>
      </c>
    </row>
    <row r="263" spans="1:14" x14ac:dyDescent="0.25">
      <c r="A263">
        <v>62.467151999999999</v>
      </c>
      <c r="B263" s="1">
        <f>DATE(2010,7,2) + TIME(11,12,41)</f>
        <v>40361.467141203706</v>
      </c>
      <c r="C263">
        <v>80</v>
      </c>
      <c r="D263">
        <v>79.898956299000005</v>
      </c>
      <c r="E263">
        <v>50</v>
      </c>
      <c r="F263">
        <v>14.998251915000001</v>
      </c>
      <c r="G263">
        <v>1383.9178466999999</v>
      </c>
      <c r="H263">
        <v>1371.1331786999999</v>
      </c>
      <c r="I263">
        <v>1258.8625488</v>
      </c>
      <c r="J263">
        <v>1222.6566161999999</v>
      </c>
      <c r="K263">
        <v>2200</v>
      </c>
      <c r="L263">
        <v>0</v>
      </c>
      <c r="M263">
        <v>0</v>
      </c>
      <c r="N263">
        <v>2200</v>
      </c>
    </row>
    <row r="264" spans="1:14" x14ac:dyDescent="0.25">
      <c r="A264">
        <v>63.216515999999999</v>
      </c>
      <c r="B264" s="1">
        <f>DATE(2010,7,3) + TIME(5,11,46)</f>
        <v>40362.216504629629</v>
      </c>
      <c r="C264">
        <v>80</v>
      </c>
      <c r="D264">
        <v>79.899055481000005</v>
      </c>
      <c r="E264">
        <v>50</v>
      </c>
      <c r="F264">
        <v>14.99826622</v>
      </c>
      <c r="G264">
        <v>1383.8441161999999</v>
      </c>
      <c r="H264">
        <v>1371.0644531</v>
      </c>
      <c r="I264">
        <v>1258.8774414</v>
      </c>
      <c r="J264">
        <v>1222.6705322</v>
      </c>
      <c r="K264">
        <v>2200</v>
      </c>
      <c r="L264">
        <v>0</v>
      </c>
      <c r="M264">
        <v>0</v>
      </c>
      <c r="N264">
        <v>2200</v>
      </c>
    </row>
    <row r="265" spans="1:14" x14ac:dyDescent="0.25">
      <c r="A265">
        <v>63.976540999999997</v>
      </c>
      <c r="B265" s="1">
        <f>DATE(2010,7,3) + TIME(23,26,13)</f>
        <v>40362.976539351854</v>
      </c>
      <c r="C265">
        <v>80</v>
      </c>
      <c r="D265">
        <v>79.899147033999995</v>
      </c>
      <c r="E265">
        <v>50</v>
      </c>
      <c r="F265">
        <v>14.998281478999999</v>
      </c>
      <c r="G265">
        <v>1383.7702637</v>
      </c>
      <c r="H265">
        <v>1370.9956055</v>
      </c>
      <c r="I265">
        <v>1258.8924560999999</v>
      </c>
      <c r="J265">
        <v>1222.6845702999999</v>
      </c>
      <c r="K265">
        <v>2200</v>
      </c>
      <c r="L265">
        <v>0</v>
      </c>
      <c r="M265">
        <v>0</v>
      </c>
      <c r="N265">
        <v>2200</v>
      </c>
    </row>
    <row r="266" spans="1:14" x14ac:dyDescent="0.25">
      <c r="A266">
        <v>64.748507000000004</v>
      </c>
      <c r="B266" s="1">
        <f>DATE(2010,7,4) + TIME(17,57,51)</f>
        <v>40363.748506944445</v>
      </c>
      <c r="C266">
        <v>80</v>
      </c>
      <c r="D266">
        <v>79.899246215999995</v>
      </c>
      <c r="E266">
        <v>50</v>
      </c>
      <c r="F266">
        <v>14.998295784</v>
      </c>
      <c r="G266">
        <v>1383.6961670000001</v>
      </c>
      <c r="H266">
        <v>1370.9265137</v>
      </c>
      <c r="I266">
        <v>1258.9078368999999</v>
      </c>
      <c r="J266">
        <v>1222.6989745999999</v>
      </c>
      <c r="K266">
        <v>2200</v>
      </c>
      <c r="L266">
        <v>0</v>
      </c>
      <c r="M266">
        <v>0</v>
      </c>
      <c r="N266">
        <v>2200</v>
      </c>
    </row>
    <row r="267" spans="1:14" x14ac:dyDescent="0.25">
      <c r="A267">
        <v>65.531688000000003</v>
      </c>
      <c r="B267" s="1">
        <f>DATE(2010,7,5) + TIME(12,45,37)</f>
        <v>40364.531678240739</v>
      </c>
      <c r="C267">
        <v>80</v>
      </c>
      <c r="D267">
        <v>79.899345397999994</v>
      </c>
      <c r="E267">
        <v>50</v>
      </c>
      <c r="F267">
        <v>14.998311042999999</v>
      </c>
      <c r="G267">
        <v>1383.6217041</v>
      </c>
      <c r="H267">
        <v>1370.8571777</v>
      </c>
      <c r="I267">
        <v>1258.9235839999999</v>
      </c>
      <c r="J267">
        <v>1222.7137451000001</v>
      </c>
      <c r="K267">
        <v>2200</v>
      </c>
      <c r="L267">
        <v>0</v>
      </c>
      <c r="M267">
        <v>0</v>
      </c>
      <c r="N267">
        <v>2200</v>
      </c>
    </row>
    <row r="268" spans="1:14" x14ac:dyDescent="0.25">
      <c r="A268">
        <v>66.320603000000006</v>
      </c>
      <c r="B268" s="1">
        <f>DATE(2010,7,6) + TIME(7,41,40)</f>
        <v>40365.320601851854</v>
      </c>
      <c r="C268">
        <v>80</v>
      </c>
      <c r="D268">
        <v>79.899444579999994</v>
      </c>
      <c r="E268">
        <v>50</v>
      </c>
      <c r="F268">
        <v>14.998326302000001</v>
      </c>
      <c r="G268">
        <v>1383.5471190999999</v>
      </c>
      <c r="H268">
        <v>1370.7875977000001</v>
      </c>
      <c r="I268">
        <v>1258.9396973</v>
      </c>
      <c r="J268">
        <v>1222.7287598</v>
      </c>
      <c r="K268">
        <v>2200</v>
      </c>
      <c r="L268">
        <v>0</v>
      </c>
      <c r="M268">
        <v>0</v>
      </c>
      <c r="N268">
        <v>2200</v>
      </c>
    </row>
    <row r="269" spans="1:14" x14ac:dyDescent="0.25">
      <c r="A269">
        <v>67.116031000000007</v>
      </c>
      <c r="B269" s="1">
        <f>DATE(2010,7,7) + TIME(2,47,5)</f>
        <v>40366.116030092591</v>
      </c>
      <c r="C269">
        <v>80</v>
      </c>
      <c r="D269">
        <v>79.899543761999993</v>
      </c>
      <c r="E269">
        <v>50</v>
      </c>
      <c r="F269">
        <v>14.99834156</v>
      </c>
      <c r="G269">
        <v>1383.4726562000001</v>
      </c>
      <c r="H269">
        <v>1370.7182617000001</v>
      </c>
      <c r="I269">
        <v>1258.9560547000001</v>
      </c>
      <c r="J269">
        <v>1222.7440185999999</v>
      </c>
      <c r="K269">
        <v>2200</v>
      </c>
      <c r="L269">
        <v>0</v>
      </c>
      <c r="M269">
        <v>0</v>
      </c>
      <c r="N269">
        <v>2200</v>
      </c>
    </row>
    <row r="270" spans="1:14" x14ac:dyDescent="0.25">
      <c r="A270">
        <v>67.913349999999994</v>
      </c>
      <c r="B270" s="1">
        <f>DATE(2010,7,7) + TIME(21,55,13)</f>
        <v>40366.913344907407</v>
      </c>
      <c r="C270">
        <v>80</v>
      </c>
      <c r="D270">
        <v>79.899642943999993</v>
      </c>
      <c r="E270">
        <v>50</v>
      </c>
      <c r="F270">
        <v>14.998355865000001</v>
      </c>
      <c r="G270">
        <v>1383.3984375</v>
      </c>
      <c r="H270">
        <v>1370.6491699000001</v>
      </c>
      <c r="I270">
        <v>1258.9725341999999</v>
      </c>
      <c r="J270">
        <v>1222.7593993999999</v>
      </c>
      <c r="K270">
        <v>2200</v>
      </c>
      <c r="L270">
        <v>0</v>
      </c>
      <c r="M270">
        <v>0</v>
      </c>
      <c r="N270">
        <v>2200</v>
      </c>
    </row>
    <row r="271" spans="1:14" x14ac:dyDescent="0.25">
      <c r="A271">
        <v>68.711031000000006</v>
      </c>
      <c r="B271" s="1">
        <f>DATE(2010,7,8) + TIME(17,3,53)</f>
        <v>40367.711030092592</v>
      </c>
      <c r="C271">
        <v>80</v>
      </c>
      <c r="D271">
        <v>79.899742126000007</v>
      </c>
      <c r="E271">
        <v>50</v>
      </c>
      <c r="F271">
        <v>14.998371124</v>
      </c>
      <c r="G271">
        <v>1383.3249512</v>
      </c>
      <c r="H271">
        <v>1370.5806885</v>
      </c>
      <c r="I271">
        <v>1258.9892577999999</v>
      </c>
      <c r="J271">
        <v>1222.7750243999999</v>
      </c>
      <c r="K271">
        <v>2200</v>
      </c>
      <c r="L271">
        <v>0</v>
      </c>
      <c r="M271">
        <v>0</v>
      </c>
      <c r="N271">
        <v>2200</v>
      </c>
    </row>
    <row r="272" spans="1:14" x14ac:dyDescent="0.25">
      <c r="A272">
        <v>69.510406000000003</v>
      </c>
      <c r="B272" s="1">
        <f>DATE(2010,7,9) + TIME(12,14,59)</f>
        <v>40368.510405092595</v>
      </c>
      <c r="C272">
        <v>80</v>
      </c>
      <c r="D272">
        <v>79.899841308999996</v>
      </c>
      <c r="E272">
        <v>50</v>
      </c>
      <c r="F272">
        <v>14.998386383</v>
      </c>
      <c r="G272">
        <v>1383.2520752</v>
      </c>
      <c r="H272">
        <v>1370.5128173999999</v>
      </c>
      <c r="I272">
        <v>1259.0062256000001</v>
      </c>
      <c r="J272">
        <v>1222.7907714999999</v>
      </c>
      <c r="K272">
        <v>2200</v>
      </c>
      <c r="L272">
        <v>0</v>
      </c>
      <c r="M272">
        <v>0</v>
      </c>
      <c r="N272">
        <v>2200</v>
      </c>
    </row>
    <row r="273" spans="1:14" x14ac:dyDescent="0.25">
      <c r="A273">
        <v>70.312783999999994</v>
      </c>
      <c r="B273" s="1">
        <f>DATE(2010,7,10) + TIME(7,30,24)</f>
        <v>40369.312777777777</v>
      </c>
      <c r="C273">
        <v>80</v>
      </c>
      <c r="D273">
        <v>79.899940490999995</v>
      </c>
      <c r="E273">
        <v>50</v>
      </c>
      <c r="F273">
        <v>14.998401641999999</v>
      </c>
      <c r="G273">
        <v>1383.1799315999999</v>
      </c>
      <c r="H273">
        <v>1370.4456786999999</v>
      </c>
      <c r="I273">
        <v>1259.0231934000001</v>
      </c>
      <c r="J273">
        <v>1222.8066406</v>
      </c>
      <c r="K273">
        <v>2200</v>
      </c>
      <c r="L273">
        <v>0</v>
      </c>
      <c r="M273">
        <v>0</v>
      </c>
      <c r="N273">
        <v>2200</v>
      </c>
    </row>
    <row r="274" spans="1:14" x14ac:dyDescent="0.25">
      <c r="A274">
        <v>71.119461000000001</v>
      </c>
      <c r="B274" s="1">
        <f>DATE(2010,7,11) + TIME(2,52,1)</f>
        <v>40370.119456018518</v>
      </c>
      <c r="C274">
        <v>80</v>
      </c>
      <c r="D274">
        <v>79.900047302000004</v>
      </c>
      <c r="E274">
        <v>50</v>
      </c>
      <c r="F274">
        <v>14.998415947</v>
      </c>
      <c r="G274">
        <v>1383.1081543</v>
      </c>
      <c r="H274">
        <v>1370.3789062000001</v>
      </c>
      <c r="I274">
        <v>1259.0405272999999</v>
      </c>
      <c r="J274">
        <v>1222.8227539</v>
      </c>
      <c r="K274">
        <v>2200</v>
      </c>
      <c r="L274">
        <v>0</v>
      </c>
      <c r="M274">
        <v>0</v>
      </c>
      <c r="N274">
        <v>2200</v>
      </c>
    </row>
    <row r="275" spans="1:14" x14ac:dyDescent="0.25">
      <c r="A275">
        <v>71.931721999999993</v>
      </c>
      <c r="B275" s="1">
        <f>DATE(2010,7,11) + TIME(22,21,40)</f>
        <v>40370.931712962964</v>
      </c>
      <c r="C275">
        <v>80</v>
      </c>
      <c r="D275">
        <v>79.900146484000004</v>
      </c>
      <c r="E275">
        <v>50</v>
      </c>
      <c r="F275">
        <v>14.998431205999999</v>
      </c>
      <c r="G275">
        <v>1383.0368652</v>
      </c>
      <c r="H275">
        <v>1370.3125</v>
      </c>
      <c r="I275">
        <v>1259.0579834</v>
      </c>
      <c r="J275">
        <v>1222.8389893000001</v>
      </c>
      <c r="K275">
        <v>2200</v>
      </c>
      <c r="L275">
        <v>0</v>
      </c>
      <c r="M275">
        <v>0</v>
      </c>
      <c r="N275">
        <v>2200</v>
      </c>
    </row>
    <row r="276" spans="1:14" x14ac:dyDescent="0.25">
      <c r="A276">
        <v>72.750867</v>
      </c>
      <c r="B276" s="1">
        <f>DATE(2010,7,12) + TIME(18,1,14)</f>
        <v>40371.750856481478</v>
      </c>
      <c r="C276">
        <v>80</v>
      </c>
      <c r="D276">
        <v>79.900245666999993</v>
      </c>
      <c r="E276">
        <v>50</v>
      </c>
      <c r="F276">
        <v>14.998446465000001</v>
      </c>
      <c r="G276">
        <v>1382.9658202999999</v>
      </c>
      <c r="H276">
        <v>1370.2462158000001</v>
      </c>
      <c r="I276">
        <v>1259.0756836</v>
      </c>
      <c r="J276">
        <v>1222.8554687999999</v>
      </c>
      <c r="K276">
        <v>2200</v>
      </c>
      <c r="L276">
        <v>0</v>
      </c>
      <c r="M276">
        <v>0</v>
      </c>
      <c r="N276">
        <v>2200</v>
      </c>
    </row>
    <row r="277" spans="1:14" x14ac:dyDescent="0.25">
      <c r="A277">
        <v>73.578237999999999</v>
      </c>
      <c r="B277" s="1">
        <f>DATE(2010,7,13) + TIME(13,52,39)</f>
        <v>40372.578229166669</v>
      </c>
      <c r="C277">
        <v>80</v>
      </c>
      <c r="D277">
        <v>79.900352478000002</v>
      </c>
      <c r="E277">
        <v>50</v>
      </c>
      <c r="F277">
        <v>14.998460769999999</v>
      </c>
      <c r="G277">
        <v>1382.8948975000001</v>
      </c>
      <c r="H277">
        <v>1370.1801757999999</v>
      </c>
      <c r="I277">
        <v>1259.09375</v>
      </c>
      <c r="J277">
        <v>1222.8721923999999</v>
      </c>
      <c r="K277">
        <v>2200</v>
      </c>
      <c r="L277">
        <v>0</v>
      </c>
      <c r="M277">
        <v>0</v>
      </c>
      <c r="N277">
        <v>2200</v>
      </c>
    </row>
    <row r="278" spans="1:14" x14ac:dyDescent="0.25">
      <c r="A278">
        <v>74.414370000000005</v>
      </c>
      <c r="B278" s="1">
        <f>DATE(2010,7,14) + TIME(9,56,41)</f>
        <v>40373.414363425924</v>
      </c>
      <c r="C278">
        <v>80</v>
      </c>
      <c r="D278">
        <v>79.900459290000001</v>
      </c>
      <c r="E278">
        <v>50</v>
      </c>
      <c r="F278">
        <v>14.998476028000001</v>
      </c>
      <c r="G278">
        <v>1382.8239745999999</v>
      </c>
      <c r="H278">
        <v>1370.1142577999999</v>
      </c>
      <c r="I278">
        <v>1259.1120605000001</v>
      </c>
      <c r="J278">
        <v>1222.8892822</v>
      </c>
      <c r="K278">
        <v>2200</v>
      </c>
      <c r="L278">
        <v>0</v>
      </c>
      <c r="M278">
        <v>0</v>
      </c>
      <c r="N278">
        <v>2200</v>
      </c>
    </row>
    <row r="279" spans="1:14" x14ac:dyDescent="0.25">
      <c r="A279">
        <v>75.256147999999996</v>
      </c>
      <c r="B279" s="1">
        <f>DATE(2010,7,15) + TIME(6,8,51)</f>
        <v>40374.256145833337</v>
      </c>
      <c r="C279">
        <v>80</v>
      </c>
      <c r="D279">
        <v>79.900566100999995</v>
      </c>
      <c r="E279">
        <v>50</v>
      </c>
      <c r="F279">
        <v>14.998491287</v>
      </c>
      <c r="G279">
        <v>1382.7529297000001</v>
      </c>
      <c r="H279">
        <v>1370.0482178</v>
      </c>
      <c r="I279">
        <v>1259.1307373</v>
      </c>
      <c r="J279">
        <v>1222.9066161999999</v>
      </c>
      <c r="K279">
        <v>2200</v>
      </c>
      <c r="L279">
        <v>0</v>
      </c>
      <c r="M279">
        <v>0</v>
      </c>
      <c r="N279">
        <v>2200</v>
      </c>
    </row>
    <row r="280" spans="1:14" x14ac:dyDescent="0.25">
      <c r="A280">
        <v>76.101203999999996</v>
      </c>
      <c r="B280" s="1">
        <f>DATE(2010,7,16) + TIME(2,25,44)</f>
        <v>40375.101203703707</v>
      </c>
      <c r="C280">
        <v>80</v>
      </c>
      <c r="D280">
        <v>79.900672912999994</v>
      </c>
      <c r="E280">
        <v>50</v>
      </c>
      <c r="F280">
        <v>14.998506546</v>
      </c>
      <c r="G280">
        <v>1382.682251</v>
      </c>
      <c r="H280">
        <v>1369.9822998</v>
      </c>
      <c r="I280">
        <v>1259.1497803</v>
      </c>
      <c r="J280">
        <v>1222.9243164</v>
      </c>
      <c r="K280">
        <v>2200</v>
      </c>
      <c r="L280">
        <v>0</v>
      </c>
      <c r="M280">
        <v>0</v>
      </c>
      <c r="N280">
        <v>2200</v>
      </c>
    </row>
    <row r="281" spans="1:14" x14ac:dyDescent="0.25">
      <c r="A281">
        <v>76.950928000000005</v>
      </c>
      <c r="B281" s="1">
        <f>DATE(2010,7,16) + TIME(22,49,20)</f>
        <v>40375.950925925928</v>
      </c>
      <c r="C281">
        <v>80</v>
      </c>
      <c r="D281">
        <v>79.900779724000003</v>
      </c>
      <c r="E281">
        <v>50</v>
      </c>
      <c r="F281">
        <v>14.998522758</v>
      </c>
      <c r="G281">
        <v>1382.6120605000001</v>
      </c>
      <c r="H281">
        <v>1369.9169922000001</v>
      </c>
      <c r="I281">
        <v>1259.1689452999999</v>
      </c>
      <c r="J281">
        <v>1222.9421387</v>
      </c>
      <c r="K281">
        <v>2200</v>
      </c>
      <c r="L281">
        <v>0</v>
      </c>
      <c r="M281">
        <v>0</v>
      </c>
      <c r="N281">
        <v>2200</v>
      </c>
    </row>
    <row r="282" spans="1:14" x14ac:dyDescent="0.25">
      <c r="A282">
        <v>77.806697</v>
      </c>
      <c r="B282" s="1">
        <f>DATE(2010,7,17) + TIME(19,21,38)</f>
        <v>40376.806689814817</v>
      </c>
      <c r="C282">
        <v>80</v>
      </c>
      <c r="D282">
        <v>79.900886536000002</v>
      </c>
      <c r="E282">
        <v>50</v>
      </c>
      <c r="F282">
        <v>14.998538017</v>
      </c>
      <c r="G282">
        <v>1382.5421143000001</v>
      </c>
      <c r="H282">
        <v>1369.8518065999999</v>
      </c>
      <c r="I282">
        <v>1259.1884766000001</v>
      </c>
      <c r="J282">
        <v>1222.9602050999999</v>
      </c>
      <c r="K282">
        <v>2200</v>
      </c>
      <c r="L282">
        <v>0</v>
      </c>
      <c r="M282">
        <v>0</v>
      </c>
      <c r="N282">
        <v>2200</v>
      </c>
    </row>
    <row r="283" spans="1:14" x14ac:dyDescent="0.25">
      <c r="A283">
        <v>78.669909000000004</v>
      </c>
      <c r="B283" s="1">
        <f>DATE(2010,7,18) + TIME(16,4,40)</f>
        <v>40377.669907407406</v>
      </c>
      <c r="C283">
        <v>80</v>
      </c>
      <c r="D283">
        <v>79.900993346999996</v>
      </c>
      <c r="E283">
        <v>50</v>
      </c>
      <c r="F283">
        <v>14.99855423</v>
      </c>
      <c r="G283">
        <v>1382.4722899999999</v>
      </c>
      <c r="H283">
        <v>1369.7869873</v>
      </c>
      <c r="I283">
        <v>1259.208374</v>
      </c>
      <c r="J283">
        <v>1222.9785156</v>
      </c>
      <c r="K283">
        <v>2200</v>
      </c>
      <c r="L283">
        <v>0</v>
      </c>
      <c r="M283">
        <v>0</v>
      </c>
      <c r="N283">
        <v>2200</v>
      </c>
    </row>
    <row r="284" spans="1:14" x14ac:dyDescent="0.25">
      <c r="A284">
        <v>79.541999000000004</v>
      </c>
      <c r="B284" s="1">
        <f>DATE(2010,7,19) + TIME(13,0,28)</f>
        <v>40378.541990740741</v>
      </c>
      <c r="C284">
        <v>80</v>
      </c>
      <c r="D284">
        <v>79.901107788000004</v>
      </c>
      <c r="E284">
        <v>50</v>
      </c>
      <c r="F284">
        <v>14.998570442</v>
      </c>
      <c r="G284">
        <v>1382.4027100000001</v>
      </c>
      <c r="H284">
        <v>1369.722168</v>
      </c>
      <c r="I284">
        <v>1259.2285156</v>
      </c>
      <c r="J284">
        <v>1222.9971923999999</v>
      </c>
      <c r="K284">
        <v>2200</v>
      </c>
      <c r="L284">
        <v>0</v>
      </c>
      <c r="M284">
        <v>0</v>
      </c>
      <c r="N284">
        <v>2200</v>
      </c>
    </row>
    <row r="285" spans="1:14" x14ac:dyDescent="0.25">
      <c r="A285">
        <v>80.421565999999999</v>
      </c>
      <c r="B285" s="1">
        <f>DATE(2010,7,20) + TIME(10,7,3)</f>
        <v>40379.4215625</v>
      </c>
      <c r="C285">
        <v>80</v>
      </c>
      <c r="D285">
        <v>79.901214600000003</v>
      </c>
      <c r="E285">
        <v>50</v>
      </c>
      <c r="F285">
        <v>14.998586655</v>
      </c>
      <c r="G285">
        <v>1382.3330077999999</v>
      </c>
      <c r="H285">
        <v>1369.6573486</v>
      </c>
      <c r="I285">
        <v>1259.2490233999999</v>
      </c>
      <c r="J285">
        <v>1223.0162353999999</v>
      </c>
      <c r="K285">
        <v>2200</v>
      </c>
      <c r="L285">
        <v>0</v>
      </c>
      <c r="M285">
        <v>0</v>
      </c>
      <c r="N285">
        <v>2200</v>
      </c>
    </row>
    <row r="286" spans="1:14" x14ac:dyDescent="0.25">
      <c r="A286">
        <v>81.303420000000003</v>
      </c>
      <c r="B286" s="1">
        <f>DATE(2010,7,21) + TIME(7,16,55)</f>
        <v>40380.303414351853</v>
      </c>
      <c r="C286">
        <v>80</v>
      </c>
      <c r="D286">
        <v>79.901329040999997</v>
      </c>
      <c r="E286">
        <v>50</v>
      </c>
      <c r="F286">
        <v>14.998603821</v>
      </c>
      <c r="G286">
        <v>1382.2634277</v>
      </c>
      <c r="H286">
        <v>1369.5925293</v>
      </c>
      <c r="I286">
        <v>1259.2700195</v>
      </c>
      <c r="J286">
        <v>1223.0356445</v>
      </c>
      <c r="K286">
        <v>2200</v>
      </c>
      <c r="L286">
        <v>0</v>
      </c>
      <c r="M286">
        <v>0</v>
      </c>
      <c r="N286">
        <v>2200</v>
      </c>
    </row>
    <row r="287" spans="1:14" x14ac:dyDescent="0.25">
      <c r="A287">
        <v>82.188997000000001</v>
      </c>
      <c r="B287" s="1">
        <f>DATE(2010,7,22) + TIME(4,32,9)</f>
        <v>40381.188993055555</v>
      </c>
      <c r="C287">
        <v>80</v>
      </c>
      <c r="D287">
        <v>79.901435852000006</v>
      </c>
      <c r="E287">
        <v>50</v>
      </c>
      <c r="F287">
        <v>14.998621941</v>
      </c>
      <c r="G287">
        <v>1382.1943358999999</v>
      </c>
      <c r="H287">
        <v>1369.5281981999999</v>
      </c>
      <c r="I287">
        <v>1259.2912598</v>
      </c>
      <c r="J287">
        <v>1223.0551757999999</v>
      </c>
      <c r="K287">
        <v>2200</v>
      </c>
      <c r="L287">
        <v>0</v>
      </c>
      <c r="M287">
        <v>0</v>
      </c>
      <c r="N287">
        <v>2200</v>
      </c>
    </row>
    <row r="288" spans="1:14" x14ac:dyDescent="0.25">
      <c r="A288">
        <v>83.079520000000002</v>
      </c>
      <c r="B288" s="1">
        <f>DATE(2010,7,23) + TIME(1,54,30)</f>
        <v>40382.079513888886</v>
      </c>
      <c r="C288">
        <v>80</v>
      </c>
      <c r="D288">
        <v>79.901550293</v>
      </c>
      <c r="E288">
        <v>50</v>
      </c>
      <c r="F288">
        <v>14.998639107000001</v>
      </c>
      <c r="G288">
        <v>1382.1257324000001</v>
      </c>
      <c r="H288">
        <v>1369.4642334</v>
      </c>
      <c r="I288">
        <v>1259.3127440999999</v>
      </c>
      <c r="J288">
        <v>1223.0749512</v>
      </c>
      <c r="K288">
        <v>2200</v>
      </c>
      <c r="L288">
        <v>0</v>
      </c>
      <c r="M288">
        <v>0</v>
      </c>
      <c r="N288">
        <v>2200</v>
      </c>
    </row>
    <row r="289" spans="1:14" x14ac:dyDescent="0.25">
      <c r="A289">
        <v>83.526244000000005</v>
      </c>
      <c r="B289" s="1">
        <f>DATE(2010,7,23) + TIME(12,37,47)</f>
        <v>40382.526238425926</v>
      </c>
      <c r="C289">
        <v>80</v>
      </c>
      <c r="D289">
        <v>79.901596068999993</v>
      </c>
      <c r="E289">
        <v>50</v>
      </c>
      <c r="F289">
        <v>14.998652458</v>
      </c>
      <c r="G289">
        <v>1382.0568848</v>
      </c>
      <c r="H289">
        <v>1369.4002685999999</v>
      </c>
      <c r="I289">
        <v>1259.3341064000001</v>
      </c>
      <c r="J289">
        <v>1223.0947266000001</v>
      </c>
      <c r="K289">
        <v>2200</v>
      </c>
      <c r="L289">
        <v>0</v>
      </c>
      <c r="M289">
        <v>0</v>
      </c>
      <c r="N289">
        <v>2200</v>
      </c>
    </row>
    <row r="290" spans="1:14" x14ac:dyDescent="0.25">
      <c r="A290">
        <v>83.972966999999997</v>
      </c>
      <c r="B290" s="1">
        <f>DATE(2010,7,23) + TIME(23,21,4)</f>
        <v>40382.972962962966</v>
      </c>
      <c r="C290">
        <v>80</v>
      </c>
      <c r="D290">
        <v>79.901649474999999</v>
      </c>
      <c r="E290">
        <v>50</v>
      </c>
      <c r="F290">
        <v>14.998663902000001</v>
      </c>
      <c r="G290">
        <v>1382.0222168</v>
      </c>
      <c r="H290">
        <v>1369.3679199000001</v>
      </c>
      <c r="I290">
        <v>1259.3453368999999</v>
      </c>
      <c r="J290">
        <v>1223.1051024999999</v>
      </c>
      <c r="K290">
        <v>2200</v>
      </c>
      <c r="L290">
        <v>0</v>
      </c>
      <c r="M290">
        <v>0</v>
      </c>
      <c r="N290">
        <v>2200</v>
      </c>
    </row>
    <row r="291" spans="1:14" x14ac:dyDescent="0.25">
      <c r="A291">
        <v>84.419691</v>
      </c>
      <c r="B291" s="1">
        <f>DATE(2010,7,24) + TIME(10,4,21)</f>
        <v>40383.419687499998</v>
      </c>
      <c r="C291">
        <v>80</v>
      </c>
      <c r="D291">
        <v>79.901702881000006</v>
      </c>
      <c r="E291">
        <v>50</v>
      </c>
      <c r="F291">
        <v>14.998675346000001</v>
      </c>
      <c r="G291">
        <v>1381.9882812000001</v>
      </c>
      <c r="H291">
        <v>1369.3361815999999</v>
      </c>
      <c r="I291">
        <v>1259.3564452999999</v>
      </c>
      <c r="J291">
        <v>1223.1153564000001</v>
      </c>
      <c r="K291">
        <v>2200</v>
      </c>
      <c r="L291">
        <v>0</v>
      </c>
      <c r="M291">
        <v>0</v>
      </c>
      <c r="N291">
        <v>2200</v>
      </c>
    </row>
    <row r="292" spans="1:14" x14ac:dyDescent="0.25">
      <c r="A292">
        <v>84.866415000000003</v>
      </c>
      <c r="B292" s="1">
        <f>DATE(2010,7,24) + TIME(20,47,38)</f>
        <v>40383.866412037038</v>
      </c>
      <c r="C292">
        <v>80</v>
      </c>
      <c r="D292">
        <v>79.901756286999998</v>
      </c>
      <c r="E292">
        <v>50</v>
      </c>
      <c r="F292">
        <v>14.998686790000001</v>
      </c>
      <c r="G292">
        <v>1381.9544678</v>
      </c>
      <c r="H292">
        <v>1369.3046875</v>
      </c>
      <c r="I292">
        <v>1259.3676757999999</v>
      </c>
      <c r="J292">
        <v>1223.1256103999999</v>
      </c>
      <c r="K292">
        <v>2200</v>
      </c>
      <c r="L292">
        <v>0</v>
      </c>
      <c r="M292">
        <v>0</v>
      </c>
      <c r="N292">
        <v>2200</v>
      </c>
    </row>
    <row r="293" spans="1:14" x14ac:dyDescent="0.25">
      <c r="A293">
        <v>85.313137999999995</v>
      </c>
      <c r="B293" s="1">
        <f>DATE(2010,7,25) + TIME(7,30,55)</f>
        <v>40384.313136574077</v>
      </c>
      <c r="C293">
        <v>80</v>
      </c>
      <c r="D293">
        <v>79.901817321999999</v>
      </c>
      <c r="E293">
        <v>50</v>
      </c>
      <c r="F293">
        <v>14.998698235000001</v>
      </c>
      <c r="G293">
        <v>1381.9207764</v>
      </c>
      <c r="H293">
        <v>1369.2734375</v>
      </c>
      <c r="I293">
        <v>1259.3789062000001</v>
      </c>
      <c r="J293">
        <v>1223.1359863</v>
      </c>
      <c r="K293">
        <v>2200</v>
      </c>
      <c r="L293">
        <v>0</v>
      </c>
      <c r="M293">
        <v>0</v>
      </c>
      <c r="N293">
        <v>2200</v>
      </c>
    </row>
    <row r="294" spans="1:14" x14ac:dyDescent="0.25">
      <c r="A294">
        <v>85.759861999999998</v>
      </c>
      <c r="B294" s="1">
        <f>DATE(2010,7,25) + TIME(18,14,12)</f>
        <v>40384.75986111111</v>
      </c>
      <c r="C294">
        <v>80</v>
      </c>
      <c r="D294">
        <v>79.901870728000006</v>
      </c>
      <c r="E294">
        <v>50</v>
      </c>
      <c r="F294">
        <v>14.998709678999999</v>
      </c>
      <c r="G294">
        <v>1381.8873291</v>
      </c>
      <c r="H294">
        <v>1369.2421875</v>
      </c>
      <c r="I294">
        <v>1259.3901367000001</v>
      </c>
      <c r="J294">
        <v>1223.1463623</v>
      </c>
      <c r="K294">
        <v>2200</v>
      </c>
      <c r="L294">
        <v>0</v>
      </c>
      <c r="M294">
        <v>0</v>
      </c>
      <c r="N294">
        <v>2200</v>
      </c>
    </row>
    <row r="295" spans="1:14" x14ac:dyDescent="0.25">
      <c r="A295">
        <v>86.206586000000001</v>
      </c>
      <c r="B295" s="1">
        <f>DATE(2010,7,26) + TIME(4,57,28)</f>
        <v>40385.206574074073</v>
      </c>
      <c r="C295">
        <v>80</v>
      </c>
      <c r="D295">
        <v>79.901924132999994</v>
      </c>
      <c r="E295">
        <v>50</v>
      </c>
      <c r="F295">
        <v>14.998721122999999</v>
      </c>
      <c r="G295">
        <v>1381.8540039</v>
      </c>
      <c r="H295">
        <v>1369.2111815999999</v>
      </c>
      <c r="I295">
        <v>1259.4014893000001</v>
      </c>
      <c r="J295">
        <v>1223.1568603999999</v>
      </c>
      <c r="K295">
        <v>2200</v>
      </c>
      <c r="L295">
        <v>0</v>
      </c>
      <c r="M295">
        <v>0</v>
      </c>
      <c r="N295">
        <v>2200</v>
      </c>
    </row>
    <row r="296" spans="1:14" x14ac:dyDescent="0.25">
      <c r="A296">
        <v>87.100032999999996</v>
      </c>
      <c r="B296" s="1">
        <f>DATE(2010,7,27) + TIME(2,24,2)</f>
        <v>40386.100023148145</v>
      </c>
      <c r="C296">
        <v>80</v>
      </c>
      <c r="D296">
        <v>79.902053832999997</v>
      </c>
      <c r="E296">
        <v>50</v>
      </c>
      <c r="F296">
        <v>14.998737335</v>
      </c>
      <c r="G296">
        <v>1381.8214111</v>
      </c>
      <c r="H296">
        <v>1369.1809082</v>
      </c>
      <c r="I296">
        <v>1259.4133300999999</v>
      </c>
      <c r="J296">
        <v>1223.1677245999999</v>
      </c>
      <c r="K296">
        <v>2200</v>
      </c>
      <c r="L296">
        <v>0</v>
      </c>
      <c r="M296">
        <v>0</v>
      </c>
      <c r="N296">
        <v>2200</v>
      </c>
    </row>
    <row r="297" spans="1:14" x14ac:dyDescent="0.25">
      <c r="A297">
        <v>87.993882999999997</v>
      </c>
      <c r="B297" s="1">
        <f>DATE(2010,7,27) + TIME(23,51,11)</f>
        <v>40386.993877314817</v>
      </c>
      <c r="C297">
        <v>80</v>
      </c>
      <c r="D297">
        <v>79.902168274000005</v>
      </c>
      <c r="E297">
        <v>50</v>
      </c>
      <c r="F297">
        <v>14.998759270000001</v>
      </c>
      <c r="G297">
        <v>1381.7558594</v>
      </c>
      <c r="H297">
        <v>1369.1198730000001</v>
      </c>
      <c r="I297">
        <v>1259.4361572</v>
      </c>
      <c r="J297">
        <v>1223.1887207</v>
      </c>
      <c r="K297">
        <v>2200</v>
      </c>
      <c r="L297">
        <v>0</v>
      </c>
      <c r="M297">
        <v>0</v>
      </c>
      <c r="N297">
        <v>2200</v>
      </c>
    </row>
    <row r="298" spans="1:14" x14ac:dyDescent="0.25">
      <c r="A298">
        <v>88.894401000000002</v>
      </c>
      <c r="B298" s="1">
        <f>DATE(2010,7,28) + TIME(21,27,56)</f>
        <v>40387.89439814815</v>
      </c>
      <c r="C298">
        <v>80</v>
      </c>
      <c r="D298">
        <v>79.902282714999998</v>
      </c>
      <c r="E298">
        <v>50</v>
      </c>
      <c r="F298">
        <v>14.998783112</v>
      </c>
      <c r="G298">
        <v>1381.6905518000001</v>
      </c>
      <c r="H298">
        <v>1369.059082</v>
      </c>
      <c r="I298">
        <v>1259.4593506000001</v>
      </c>
      <c r="J298">
        <v>1223.2099608999999</v>
      </c>
      <c r="K298">
        <v>2200</v>
      </c>
      <c r="L298">
        <v>0</v>
      </c>
      <c r="M298">
        <v>0</v>
      </c>
      <c r="N298">
        <v>2200</v>
      </c>
    </row>
    <row r="299" spans="1:14" x14ac:dyDescent="0.25">
      <c r="A299">
        <v>89.803023999999994</v>
      </c>
      <c r="B299" s="1">
        <f>DATE(2010,7,29) + TIME(19,16,21)</f>
        <v>40388.803020833337</v>
      </c>
      <c r="C299">
        <v>80</v>
      </c>
      <c r="D299">
        <v>79.902397156000006</v>
      </c>
      <c r="E299">
        <v>50</v>
      </c>
      <c r="F299">
        <v>14.998809813999999</v>
      </c>
      <c r="G299">
        <v>1381.6254882999999</v>
      </c>
      <c r="H299">
        <v>1368.9984131000001</v>
      </c>
      <c r="I299">
        <v>1259.4829102000001</v>
      </c>
      <c r="J299">
        <v>1223.2316894999999</v>
      </c>
      <c r="K299">
        <v>2200</v>
      </c>
      <c r="L299">
        <v>0</v>
      </c>
      <c r="M299">
        <v>0</v>
      </c>
      <c r="N299">
        <v>2200</v>
      </c>
    </row>
    <row r="300" spans="1:14" x14ac:dyDescent="0.25">
      <c r="A300">
        <v>90.721219000000005</v>
      </c>
      <c r="B300" s="1">
        <f>DATE(2010,7,30) + TIME(17,18,33)</f>
        <v>40389.721215277779</v>
      </c>
      <c r="C300">
        <v>80</v>
      </c>
      <c r="D300">
        <v>79.902511597</v>
      </c>
      <c r="E300">
        <v>50</v>
      </c>
      <c r="F300">
        <v>14.998840332</v>
      </c>
      <c r="G300">
        <v>1381.5603027</v>
      </c>
      <c r="H300">
        <v>1368.9377440999999</v>
      </c>
      <c r="I300">
        <v>1259.5069579999999</v>
      </c>
      <c r="J300">
        <v>1223.2537841999999</v>
      </c>
      <c r="K300">
        <v>2200</v>
      </c>
      <c r="L300">
        <v>0</v>
      </c>
      <c r="M300">
        <v>0</v>
      </c>
      <c r="N300">
        <v>2200</v>
      </c>
    </row>
    <row r="301" spans="1:14" x14ac:dyDescent="0.25">
      <c r="A301">
        <v>91.650495000000006</v>
      </c>
      <c r="B301" s="1">
        <f>DATE(2010,7,31) + TIME(15,36,42)</f>
        <v>40390.65048611111</v>
      </c>
      <c r="C301">
        <v>80</v>
      </c>
      <c r="D301">
        <v>79.902633667000003</v>
      </c>
      <c r="E301">
        <v>50</v>
      </c>
      <c r="F301">
        <v>14.998873711</v>
      </c>
      <c r="G301">
        <v>1381.4949951000001</v>
      </c>
      <c r="H301">
        <v>1368.8769531</v>
      </c>
      <c r="I301">
        <v>1259.5316161999999</v>
      </c>
      <c r="J301">
        <v>1223.2762451000001</v>
      </c>
      <c r="K301">
        <v>2200</v>
      </c>
      <c r="L301">
        <v>0</v>
      </c>
      <c r="M301">
        <v>0</v>
      </c>
      <c r="N301">
        <v>2200</v>
      </c>
    </row>
    <row r="302" spans="1:14" x14ac:dyDescent="0.25">
      <c r="A302">
        <v>92</v>
      </c>
      <c r="B302" s="1">
        <f>DATE(2010,8,1) + TIME(0,0,0)</f>
        <v>40391</v>
      </c>
      <c r="C302">
        <v>80</v>
      </c>
      <c r="D302">
        <v>79.902664185000006</v>
      </c>
      <c r="E302">
        <v>50</v>
      </c>
      <c r="F302">
        <v>14.998894691</v>
      </c>
      <c r="G302">
        <v>1381.4294434000001</v>
      </c>
      <c r="H302">
        <v>1368.815918</v>
      </c>
      <c r="I302">
        <v>1259.5560303</v>
      </c>
      <c r="J302">
        <v>1223.2985839999999</v>
      </c>
      <c r="K302">
        <v>2200</v>
      </c>
      <c r="L302">
        <v>0</v>
      </c>
      <c r="M302">
        <v>0</v>
      </c>
      <c r="N302">
        <v>2200</v>
      </c>
    </row>
    <row r="303" spans="1:14" x14ac:dyDescent="0.25">
      <c r="A303">
        <v>92.941928000000004</v>
      </c>
      <c r="B303" s="1">
        <f>DATE(2010,8,1) + TIME(22,36,22)</f>
        <v>40391.941921296297</v>
      </c>
      <c r="C303">
        <v>80</v>
      </c>
      <c r="D303">
        <v>79.902793884000005</v>
      </c>
      <c r="E303">
        <v>50</v>
      </c>
      <c r="F303">
        <v>14.998930931</v>
      </c>
      <c r="G303">
        <v>1381.4046631000001</v>
      </c>
      <c r="H303">
        <v>1368.7928466999999</v>
      </c>
      <c r="I303">
        <v>1259.5665283000001</v>
      </c>
      <c r="J303">
        <v>1223.3082274999999</v>
      </c>
      <c r="K303">
        <v>2200</v>
      </c>
      <c r="L303">
        <v>0</v>
      </c>
      <c r="M303">
        <v>0</v>
      </c>
      <c r="N303">
        <v>2200</v>
      </c>
    </row>
    <row r="304" spans="1:14" x14ac:dyDescent="0.25">
      <c r="A304">
        <v>93.415925000000001</v>
      </c>
      <c r="B304" s="1">
        <f>DATE(2010,8,2) + TIME(9,58,55)</f>
        <v>40392.415914351855</v>
      </c>
      <c r="C304">
        <v>80</v>
      </c>
      <c r="D304">
        <v>79.902839661000002</v>
      </c>
      <c r="E304">
        <v>50</v>
      </c>
      <c r="F304">
        <v>14.998959541</v>
      </c>
      <c r="G304">
        <v>1381.3391113</v>
      </c>
      <c r="H304">
        <v>1368.7316894999999</v>
      </c>
      <c r="I304">
        <v>1259.5917969</v>
      </c>
      <c r="J304">
        <v>1223.3312988</v>
      </c>
      <c r="K304">
        <v>2200</v>
      </c>
      <c r="L304">
        <v>0</v>
      </c>
      <c r="M304">
        <v>0</v>
      </c>
      <c r="N304">
        <v>2200</v>
      </c>
    </row>
    <row r="305" spans="1:14" x14ac:dyDescent="0.25">
      <c r="A305">
        <v>93.889922999999996</v>
      </c>
      <c r="B305" s="1">
        <f>DATE(2010,8,2) + TIME(21,21,29)</f>
        <v>40392.889918981484</v>
      </c>
      <c r="C305">
        <v>80</v>
      </c>
      <c r="D305">
        <v>79.902900696000003</v>
      </c>
      <c r="E305">
        <v>50</v>
      </c>
      <c r="F305">
        <v>14.998988152000001</v>
      </c>
      <c r="G305">
        <v>1381.3056641000001</v>
      </c>
      <c r="H305">
        <v>1368.7005615</v>
      </c>
      <c r="I305">
        <v>1259.6052245999999</v>
      </c>
      <c r="J305">
        <v>1223.3436279</v>
      </c>
      <c r="K305">
        <v>2200</v>
      </c>
      <c r="L305">
        <v>0</v>
      </c>
      <c r="M305">
        <v>0</v>
      </c>
      <c r="N305">
        <v>2200</v>
      </c>
    </row>
    <row r="306" spans="1:14" x14ac:dyDescent="0.25">
      <c r="A306">
        <v>94.363919999999993</v>
      </c>
      <c r="B306" s="1">
        <f>DATE(2010,8,3) + TIME(8,44,2)</f>
        <v>40393.363912037035</v>
      </c>
      <c r="C306">
        <v>80</v>
      </c>
      <c r="D306">
        <v>79.902961731000005</v>
      </c>
      <c r="E306">
        <v>50</v>
      </c>
      <c r="F306">
        <v>14.999016762</v>
      </c>
      <c r="G306">
        <v>1381.2729492000001</v>
      </c>
      <c r="H306">
        <v>1368.6700439000001</v>
      </c>
      <c r="I306">
        <v>1259.6185303</v>
      </c>
      <c r="J306">
        <v>1223.3557129000001</v>
      </c>
      <c r="K306">
        <v>2200</v>
      </c>
      <c r="L306">
        <v>0</v>
      </c>
      <c r="M306">
        <v>0</v>
      </c>
      <c r="N306">
        <v>2200</v>
      </c>
    </row>
    <row r="307" spans="1:14" x14ac:dyDescent="0.25">
      <c r="A307">
        <v>94.837918000000002</v>
      </c>
      <c r="B307" s="1">
        <f>DATE(2010,8,3) + TIME(20,6,36)</f>
        <v>40393.837916666664</v>
      </c>
      <c r="C307">
        <v>80</v>
      </c>
      <c r="D307">
        <v>79.903015136999997</v>
      </c>
      <c r="E307">
        <v>50</v>
      </c>
      <c r="F307">
        <v>14.999046326</v>
      </c>
      <c r="G307">
        <v>1381.2404785000001</v>
      </c>
      <c r="H307">
        <v>1368.6397704999999</v>
      </c>
      <c r="I307">
        <v>1259.6319579999999</v>
      </c>
      <c r="J307">
        <v>1223.3679199000001</v>
      </c>
      <c r="K307">
        <v>2200</v>
      </c>
      <c r="L307">
        <v>0</v>
      </c>
      <c r="M307">
        <v>0</v>
      </c>
      <c r="N307">
        <v>2200</v>
      </c>
    </row>
    <row r="308" spans="1:14" x14ac:dyDescent="0.25">
      <c r="A308">
        <v>95.311914999999999</v>
      </c>
      <c r="B308" s="1">
        <f>DATE(2010,8,4) + TIME(7,29,9)</f>
        <v>40394.311909722222</v>
      </c>
      <c r="C308">
        <v>80</v>
      </c>
      <c r="D308">
        <v>79.903076171999999</v>
      </c>
      <c r="E308">
        <v>50</v>
      </c>
      <c r="F308">
        <v>14.999076842999999</v>
      </c>
      <c r="G308">
        <v>1381.2080077999999</v>
      </c>
      <c r="H308">
        <v>1368.6094971</v>
      </c>
      <c r="I308">
        <v>1259.6453856999999</v>
      </c>
      <c r="J308">
        <v>1223.380249</v>
      </c>
      <c r="K308">
        <v>2200</v>
      </c>
      <c r="L308">
        <v>0</v>
      </c>
      <c r="M308">
        <v>0</v>
      </c>
      <c r="N308">
        <v>2200</v>
      </c>
    </row>
    <row r="309" spans="1:14" x14ac:dyDescent="0.25">
      <c r="A309">
        <v>95.785911999999996</v>
      </c>
      <c r="B309" s="1">
        <f>DATE(2010,8,4) + TIME(18,51,42)</f>
        <v>40394.785902777781</v>
      </c>
      <c r="C309">
        <v>80</v>
      </c>
      <c r="D309">
        <v>79.903137207</v>
      </c>
      <c r="E309">
        <v>50</v>
      </c>
      <c r="F309">
        <v>14.999109268</v>
      </c>
      <c r="G309">
        <v>1381.1757812000001</v>
      </c>
      <c r="H309">
        <v>1368.5794678</v>
      </c>
      <c r="I309">
        <v>1259.6589355000001</v>
      </c>
      <c r="J309">
        <v>1223.3925781</v>
      </c>
      <c r="K309">
        <v>2200</v>
      </c>
      <c r="L309">
        <v>0</v>
      </c>
      <c r="M309">
        <v>0</v>
      </c>
      <c r="N309">
        <v>2200</v>
      </c>
    </row>
    <row r="310" spans="1:14" x14ac:dyDescent="0.25">
      <c r="A310">
        <v>96.259910000000005</v>
      </c>
      <c r="B310" s="1">
        <f>DATE(2010,8,5) + TIME(6,14,16)</f>
        <v>40395.25990740741</v>
      </c>
      <c r="C310">
        <v>80</v>
      </c>
      <c r="D310">
        <v>79.903198242000002</v>
      </c>
      <c r="E310">
        <v>50</v>
      </c>
      <c r="F310">
        <v>14.9991436</v>
      </c>
      <c r="G310">
        <v>1381.1436768000001</v>
      </c>
      <c r="H310">
        <v>1368.5494385</v>
      </c>
      <c r="I310">
        <v>1259.6726074000001</v>
      </c>
      <c r="J310">
        <v>1223.4050293</v>
      </c>
      <c r="K310">
        <v>2200</v>
      </c>
      <c r="L310">
        <v>0</v>
      </c>
      <c r="M310">
        <v>0</v>
      </c>
      <c r="N310">
        <v>2200</v>
      </c>
    </row>
    <row r="311" spans="1:14" x14ac:dyDescent="0.25">
      <c r="A311">
        <v>96.733907000000002</v>
      </c>
      <c r="B311" s="1">
        <f>DATE(2010,8,5) + TIME(17,36,49)</f>
        <v>40395.733900462961</v>
      </c>
      <c r="C311">
        <v>80</v>
      </c>
      <c r="D311">
        <v>79.903251647999994</v>
      </c>
      <c r="E311">
        <v>50</v>
      </c>
      <c r="F311">
        <v>14.999180794000001</v>
      </c>
      <c r="G311">
        <v>1381.1115723</v>
      </c>
      <c r="H311">
        <v>1368.5196533000001</v>
      </c>
      <c r="I311">
        <v>1259.6862793</v>
      </c>
      <c r="J311">
        <v>1223.4176024999999</v>
      </c>
      <c r="K311">
        <v>2200</v>
      </c>
      <c r="L311">
        <v>0</v>
      </c>
      <c r="M311">
        <v>0</v>
      </c>
      <c r="N311">
        <v>2200</v>
      </c>
    </row>
    <row r="312" spans="1:14" x14ac:dyDescent="0.25">
      <c r="A312">
        <v>97.207904999999997</v>
      </c>
      <c r="B312" s="1">
        <f>DATE(2010,8,6) + TIME(4,59,22)</f>
        <v>40396.20789351852</v>
      </c>
      <c r="C312">
        <v>80</v>
      </c>
      <c r="D312">
        <v>79.903312682999996</v>
      </c>
      <c r="E312">
        <v>50</v>
      </c>
      <c r="F312">
        <v>14.999219893999999</v>
      </c>
      <c r="G312">
        <v>1381.0797118999999</v>
      </c>
      <c r="H312">
        <v>1368.4899902</v>
      </c>
      <c r="I312">
        <v>1259.7000731999999</v>
      </c>
      <c r="J312">
        <v>1223.4301757999999</v>
      </c>
      <c r="K312">
        <v>2200</v>
      </c>
      <c r="L312">
        <v>0</v>
      </c>
      <c r="M312">
        <v>0</v>
      </c>
      <c r="N312">
        <v>2200</v>
      </c>
    </row>
    <row r="313" spans="1:14" x14ac:dyDescent="0.25">
      <c r="A313">
        <v>97.681901999999994</v>
      </c>
      <c r="B313" s="1">
        <f>DATE(2010,8,6) + TIME(16,21,56)</f>
        <v>40396.681898148148</v>
      </c>
      <c r="C313">
        <v>80</v>
      </c>
      <c r="D313">
        <v>79.903373717999997</v>
      </c>
      <c r="E313">
        <v>50</v>
      </c>
      <c r="F313">
        <v>14.999261856</v>
      </c>
      <c r="G313">
        <v>1381.0479736</v>
      </c>
      <c r="H313">
        <v>1368.4603271000001</v>
      </c>
      <c r="I313">
        <v>1259.7139893000001</v>
      </c>
      <c r="J313">
        <v>1223.442749</v>
      </c>
      <c r="K313">
        <v>2200</v>
      </c>
      <c r="L313">
        <v>0</v>
      </c>
      <c r="M313">
        <v>0</v>
      </c>
      <c r="N313">
        <v>2200</v>
      </c>
    </row>
    <row r="314" spans="1:14" x14ac:dyDescent="0.25">
      <c r="A314">
        <v>98.155900000000003</v>
      </c>
      <c r="B314" s="1">
        <f>DATE(2010,8,7) + TIME(3,44,29)</f>
        <v>40397.155891203707</v>
      </c>
      <c r="C314">
        <v>80</v>
      </c>
      <c r="D314">
        <v>79.903434752999999</v>
      </c>
      <c r="E314">
        <v>50</v>
      </c>
      <c r="F314">
        <v>14.999306679</v>
      </c>
      <c r="G314">
        <v>1381.0163574000001</v>
      </c>
      <c r="H314">
        <v>1368.4309082</v>
      </c>
      <c r="I314">
        <v>1259.7280272999999</v>
      </c>
      <c r="J314">
        <v>1223.4555664</v>
      </c>
      <c r="K314">
        <v>2200</v>
      </c>
      <c r="L314">
        <v>0</v>
      </c>
      <c r="M314">
        <v>0</v>
      </c>
      <c r="N314">
        <v>2200</v>
      </c>
    </row>
    <row r="315" spans="1:14" x14ac:dyDescent="0.25">
      <c r="A315">
        <v>98.629897</v>
      </c>
      <c r="B315" s="1">
        <f>DATE(2010,8,7) + TIME(15,7,3)</f>
        <v>40397.629895833335</v>
      </c>
      <c r="C315">
        <v>80</v>
      </c>
      <c r="D315">
        <v>79.903495789000004</v>
      </c>
      <c r="E315">
        <v>50</v>
      </c>
      <c r="F315">
        <v>14.999354362</v>
      </c>
      <c r="G315">
        <v>1380.9848632999999</v>
      </c>
      <c r="H315">
        <v>1368.4014893000001</v>
      </c>
      <c r="I315">
        <v>1259.7420654</v>
      </c>
      <c r="J315">
        <v>1223.4683838000001</v>
      </c>
      <c r="K315">
        <v>2200</v>
      </c>
      <c r="L315">
        <v>0</v>
      </c>
      <c r="M315">
        <v>0</v>
      </c>
      <c r="N315">
        <v>2200</v>
      </c>
    </row>
    <row r="316" spans="1:14" x14ac:dyDescent="0.25">
      <c r="A316">
        <v>99.103894999999994</v>
      </c>
      <c r="B316" s="1">
        <f>DATE(2010,8,8) + TIME(2,29,36)</f>
        <v>40398.103888888887</v>
      </c>
      <c r="C316">
        <v>80</v>
      </c>
      <c r="D316">
        <v>79.903549193999993</v>
      </c>
      <c r="E316">
        <v>50</v>
      </c>
      <c r="F316">
        <v>14.999404907000001</v>
      </c>
      <c r="G316">
        <v>1380.9536132999999</v>
      </c>
      <c r="H316">
        <v>1368.3723144999999</v>
      </c>
      <c r="I316">
        <v>1259.7562256000001</v>
      </c>
      <c r="J316">
        <v>1223.4812012</v>
      </c>
      <c r="K316">
        <v>2200</v>
      </c>
      <c r="L316">
        <v>0</v>
      </c>
      <c r="M316">
        <v>0</v>
      </c>
      <c r="N316">
        <v>2200</v>
      </c>
    </row>
    <row r="317" spans="1:14" x14ac:dyDescent="0.25">
      <c r="A317">
        <v>99.577892000000006</v>
      </c>
      <c r="B317" s="1">
        <f>DATE(2010,8,8) + TIME(13,52,9)</f>
        <v>40398.577881944446</v>
      </c>
      <c r="C317">
        <v>80</v>
      </c>
      <c r="D317">
        <v>79.903610228999995</v>
      </c>
      <c r="E317">
        <v>50</v>
      </c>
      <c r="F317">
        <v>14.99946022</v>
      </c>
      <c r="G317">
        <v>1380.9223632999999</v>
      </c>
      <c r="H317">
        <v>1368.3431396000001</v>
      </c>
      <c r="I317">
        <v>1259.7705077999999</v>
      </c>
      <c r="J317">
        <v>1223.4941406</v>
      </c>
      <c r="K317">
        <v>2200</v>
      </c>
      <c r="L317">
        <v>0</v>
      </c>
      <c r="M317">
        <v>0</v>
      </c>
      <c r="N317">
        <v>2200</v>
      </c>
    </row>
    <row r="318" spans="1:14" x14ac:dyDescent="0.25">
      <c r="A318">
        <v>100.051889</v>
      </c>
      <c r="B318" s="1">
        <f>DATE(2010,8,9) + TIME(1,14,43)</f>
        <v>40399.051886574074</v>
      </c>
      <c r="C318">
        <v>80</v>
      </c>
      <c r="D318">
        <v>79.903671265</v>
      </c>
      <c r="E318">
        <v>50</v>
      </c>
      <c r="F318">
        <v>14.999519348</v>
      </c>
      <c r="G318">
        <v>1380.8912353999999</v>
      </c>
      <c r="H318">
        <v>1368.3140868999999</v>
      </c>
      <c r="I318">
        <v>1259.7849120999999</v>
      </c>
      <c r="J318">
        <v>1223.5072021000001</v>
      </c>
      <c r="K318">
        <v>2200</v>
      </c>
      <c r="L318">
        <v>0</v>
      </c>
      <c r="M318">
        <v>0</v>
      </c>
      <c r="N318">
        <v>2200</v>
      </c>
    </row>
    <row r="319" spans="1:14" x14ac:dyDescent="0.25">
      <c r="A319">
        <v>100.99988399999999</v>
      </c>
      <c r="B319" s="1">
        <f>DATE(2010,8,9) + TIME(23,59,50)</f>
        <v>40399.999884259261</v>
      </c>
      <c r="C319">
        <v>80</v>
      </c>
      <c r="D319">
        <v>79.903800963999998</v>
      </c>
      <c r="E319">
        <v>50</v>
      </c>
      <c r="F319">
        <v>14.999612808</v>
      </c>
      <c r="G319">
        <v>1380.8607178</v>
      </c>
      <c r="H319">
        <v>1368.2857666</v>
      </c>
      <c r="I319">
        <v>1259.7996826000001</v>
      </c>
      <c r="J319">
        <v>1223.5207519999999</v>
      </c>
      <c r="K319">
        <v>2200</v>
      </c>
      <c r="L319">
        <v>0</v>
      </c>
      <c r="M319">
        <v>0</v>
      </c>
      <c r="N319">
        <v>2200</v>
      </c>
    </row>
    <row r="320" spans="1:14" x14ac:dyDescent="0.25">
      <c r="A320">
        <v>101.95107899999999</v>
      </c>
      <c r="B320" s="1">
        <f>DATE(2010,8,10) + TIME(22,49,33)</f>
        <v>40400.95107638889</v>
      </c>
      <c r="C320">
        <v>80</v>
      </c>
      <c r="D320">
        <v>79.903923035000005</v>
      </c>
      <c r="E320">
        <v>50</v>
      </c>
      <c r="F320">
        <v>14.999736786</v>
      </c>
      <c r="G320">
        <v>1380.7995605000001</v>
      </c>
      <c r="H320">
        <v>1368.2287598</v>
      </c>
      <c r="I320">
        <v>1259.8286132999999</v>
      </c>
      <c r="J320">
        <v>1223.5469971</v>
      </c>
      <c r="K320">
        <v>2200</v>
      </c>
      <c r="L320">
        <v>0</v>
      </c>
      <c r="M320">
        <v>0</v>
      </c>
      <c r="N320">
        <v>2200</v>
      </c>
    </row>
    <row r="321" spans="1:14" x14ac:dyDescent="0.25">
      <c r="A321">
        <v>102.914407</v>
      </c>
      <c r="B321" s="1">
        <f>DATE(2010,8,11) + TIME(21,56,44)</f>
        <v>40401.914398148147</v>
      </c>
      <c r="C321">
        <v>80</v>
      </c>
      <c r="D321">
        <v>79.904045104999994</v>
      </c>
      <c r="E321">
        <v>50</v>
      </c>
      <c r="F321">
        <v>14.99988842</v>
      </c>
      <c r="G321">
        <v>1380.7382812000001</v>
      </c>
      <c r="H321">
        <v>1368.1716309000001</v>
      </c>
      <c r="I321">
        <v>1259.8581543</v>
      </c>
      <c r="J321">
        <v>1223.5738524999999</v>
      </c>
      <c r="K321">
        <v>2200</v>
      </c>
      <c r="L321">
        <v>0</v>
      </c>
      <c r="M321">
        <v>0</v>
      </c>
      <c r="N321">
        <v>2200</v>
      </c>
    </row>
    <row r="322" spans="1:14" x14ac:dyDescent="0.25">
      <c r="A322">
        <v>103.89139900000001</v>
      </c>
      <c r="B322" s="1">
        <f>DATE(2010,8,12) + TIME(21,23,36)</f>
        <v>40402.891388888886</v>
      </c>
      <c r="C322">
        <v>80</v>
      </c>
      <c r="D322">
        <v>79.904167174999998</v>
      </c>
      <c r="E322">
        <v>50</v>
      </c>
      <c r="F322">
        <v>15.000067711</v>
      </c>
      <c r="G322">
        <v>1380.6767577999999</v>
      </c>
      <c r="H322">
        <v>1368.1142577999999</v>
      </c>
      <c r="I322">
        <v>1259.8885498</v>
      </c>
      <c r="J322">
        <v>1223.6013184000001</v>
      </c>
      <c r="K322">
        <v>2200</v>
      </c>
      <c r="L322">
        <v>0</v>
      </c>
      <c r="M322">
        <v>0</v>
      </c>
      <c r="N322">
        <v>2200</v>
      </c>
    </row>
    <row r="323" spans="1:14" x14ac:dyDescent="0.25">
      <c r="A323">
        <v>104.38773</v>
      </c>
      <c r="B323" s="1">
        <f>DATE(2010,8,13) + TIME(9,18,19)</f>
        <v>40403.387719907405</v>
      </c>
      <c r="C323">
        <v>80</v>
      </c>
      <c r="D323">
        <v>79.904220581000004</v>
      </c>
      <c r="E323">
        <v>50</v>
      </c>
      <c r="F323">
        <v>15.000209807999999</v>
      </c>
      <c r="G323">
        <v>1380.6145019999999</v>
      </c>
      <c r="H323">
        <v>1368.0561522999999</v>
      </c>
      <c r="I323">
        <v>1259.9193115</v>
      </c>
      <c r="J323">
        <v>1223.6291504000001</v>
      </c>
      <c r="K323">
        <v>2200</v>
      </c>
      <c r="L323">
        <v>0</v>
      </c>
      <c r="M323">
        <v>0</v>
      </c>
      <c r="N323">
        <v>2200</v>
      </c>
    </row>
    <row r="324" spans="1:14" x14ac:dyDescent="0.25">
      <c r="A324">
        <v>104.88406000000001</v>
      </c>
      <c r="B324" s="1">
        <f>DATE(2010,8,13) + TIME(21,13,2)</f>
        <v>40403.884050925924</v>
      </c>
      <c r="C324">
        <v>80</v>
      </c>
      <c r="D324">
        <v>79.904281616000006</v>
      </c>
      <c r="E324">
        <v>50</v>
      </c>
      <c r="F324">
        <v>15.000350952</v>
      </c>
      <c r="G324">
        <v>1380.5826416</v>
      </c>
      <c r="H324">
        <v>1368.0263672000001</v>
      </c>
      <c r="I324">
        <v>1259.9356689000001</v>
      </c>
      <c r="J324">
        <v>1223.6439209</v>
      </c>
      <c r="K324">
        <v>2200</v>
      </c>
      <c r="L324">
        <v>0</v>
      </c>
      <c r="M324">
        <v>0</v>
      </c>
      <c r="N324">
        <v>2200</v>
      </c>
    </row>
    <row r="325" spans="1:14" x14ac:dyDescent="0.25">
      <c r="A325">
        <v>105.380391</v>
      </c>
      <c r="B325" s="1">
        <f>DATE(2010,8,14) + TIME(9,7,45)</f>
        <v>40404.380381944444</v>
      </c>
      <c r="C325">
        <v>80</v>
      </c>
      <c r="D325">
        <v>79.904342650999993</v>
      </c>
      <c r="E325">
        <v>50</v>
      </c>
      <c r="F325">
        <v>15.000494957000001</v>
      </c>
      <c r="G325">
        <v>1380.5513916</v>
      </c>
      <c r="H325">
        <v>1367.9973144999999</v>
      </c>
      <c r="I325">
        <v>1259.9519043</v>
      </c>
      <c r="J325">
        <v>1223.6585693</v>
      </c>
      <c r="K325">
        <v>2200</v>
      </c>
      <c r="L325">
        <v>0</v>
      </c>
      <c r="M325">
        <v>0</v>
      </c>
      <c r="N325">
        <v>2200</v>
      </c>
    </row>
    <row r="326" spans="1:14" x14ac:dyDescent="0.25">
      <c r="A326">
        <v>105.876722</v>
      </c>
      <c r="B326" s="1">
        <f>DATE(2010,8,14) + TIME(21,2,28)</f>
        <v>40404.876712962963</v>
      </c>
      <c r="C326">
        <v>80</v>
      </c>
      <c r="D326">
        <v>79.904403686999999</v>
      </c>
      <c r="E326">
        <v>50</v>
      </c>
      <c r="F326">
        <v>15.000645638</v>
      </c>
      <c r="G326">
        <v>1380.5202637</v>
      </c>
      <c r="H326">
        <v>1367.9682617000001</v>
      </c>
      <c r="I326">
        <v>1259.9682617000001</v>
      </c>
      <c r="J326">
        <v>1223.6734618999999</v>
      </c>
      <c r="K326">
        <v>2200</v>
      </c>
      <c r="L326">
        <v>0</v>
      </c>
      <c r="M326">
        <v>0</v>
      </c>
      <c r="N326">
        <v>2200</v>
      </c>
    </row>
    <row r="327" spans="1:14" x14ac:dyDescent="0.25">
      <c r="A327">
        <v>106.373052</v>
      </c>
      <c r="B327" s="1">
        <f>DATE(2010,8,15) + TIME(8,57,11)</f>
        <v>40405.373043981483</v>
      </c>
      <c r="C327">
        <v>80</v>
      </c>
      <c r="D327">
        <v>79.904464722</v>
      </c>
      <c r="E327">
        <v>50</v>
      </c>
      <c r="F327">
        <v>15.000803947</v>
      </c>
      <c r="G327">
        <v>1380.4893798999999</v>
      </c>
      <c r="H327">
        <v>1367.9393310999999</v>
      </c>
      <c r="I327">
        <v>1259.9847411999999</v>
      </c>
      <c r="J327">
        <v>1223.6883545000001</v>
      </c>
      <c r="K327">
        <v>2200</v>
      </c>
      <c r="L327">
        <v>0</v>
      </c>
      <c r="M327">
        <v>0</v>
      </c>
      <c r="N327">
        <v>2200</v>
      </c>
    </row>
    <row r="328" spans="1:14" x14ac:dyDescent="0.25">
      <c r="A328">
        <v>106.869383</v>
      </c>
      <c r="B328" s="1">
        <f>DATE(2010,8,15) + TIME(20,51,54)</f>
        <v>40405.869375000002</v>
      </c>
      <c r="C328">
        <v>80</v>
      </c>
      <c r="D328">
        <v>79.904525757000002</v>
      </c>
      <c r="E328">
        <v>50</v>
      </c>
      <c r="F328">
        <v>15.000971794</v>
      </c>
      <c r="G328">
        <v>1380.4584961</v>
      </c>
      <c r="H328">
        <v>1367.9105225000001</v>
      </c>
      <c r="I328">
        <v>1260.0013428</v>
      </c>
      <c r="J328">
        <v>1223.7033690999999</v>
      </c>
      <c r="K328">
        <v>2200</v>
      </c>
      <c r="L328">
        <v>0</v>
      </c>
      <c r="M328">
        <v>0</v>
      </c>
      <c r="N328">
        <v>2200</v>
      </c>
    </row>
    <row r="329" spans="1:14" x14ac:dyDescent="0.25">
      <c r="A329">
        <v>107.365714</v>
      </c>
      <c r="B329" s="1">
        <f>DATE(2010,8,16) + TIME(8,46,37)</f>
        <v>40406.365706018521</v>
      </c>
      <c r="C329">
        <v>80</v>
      </c>
      <c r="D329">
        <v>79.904586792000003</v>
      </c>
      <c r="E329">
        <v>50</v>
      </c>
      <c r="F329">
        <v>15.001151085</v>
      </c>
      <c r="G329">
        <v>1380.4277344</v>
      </c>
      <c r="H329">
        <v>1367.8818358999999</v>
      </c>
      <c r="I329">
        <v>1260.0181885</v>
      </c>
      <c r="J329">
        <v>1223.7185059000001</v>
      </c>
      <c r="K329">
        <v>2200</v>
      </c>
      <c r="L329">
        <v>0</v>
      </c>
      <c r="M329">
        <v>0</v>
      </c>
      <c r="N329">
        <v>2200</v>
      </c>
    </row>
    <row r="330" spans="1:14" x14ac:dyDescent="0.25">
      <c r="A330">
        <v>107.86204499999999</v>
      </c>
      <c r="B330" s="1">
        <f>DATE(2010,8,16) + TIME(20,41,20)</f>
        <v>40406.862037037034</v>
      </c>
      <c r="C330">
        <v>80</v>
      </c>
      <c r="D330">
        <v>79.904647827000005</v>
      </c>
      <c r="E330">
        <v>50</v>
      </c>
      <c r="F330">
        <v>15.001342772999999</v>
      </c>
      <c r="G330">
        <v>1380.3970947</v>
      </c>
      <c r="H330">
        <v>1367.8531493999999</v>
      </c>
      <c r="I330">
        <v>1260.0350341999999</v>
      </c>
      <c r="J330">
        <v>1223.7337646000001</v>
      </c>
      <c r="K330">
        <v>2200</v>
      </c>
      <c r="L330">
        <v>0</v>
      </c>
      <c r="M330">
        <v>0</v>
      </c>
      <c r="N330">
        <v>2200</v>
      </c>
    </row>
    <row r="331" spans="1:14" x14ac:dyDescent="0.25">
      <c r="A331">
        <v>108.358375</v>
      </c>
      <c r="B331" s="1">
        <f>DATE(2010,8,17) + TIME(8,36,3)</f>
        <v>40407.358368055553</v>
      </c>
      <c r="C331">
        <v>80</v>
      </c>
      <c r="D331">
        <v>79.904708862000007</v>
      </c>
      <c r="E331">
        <v>50</v>
      </c>
      <c r="F331">
        <v>15.001547813</v>
      </c>
      <c r="G331">
        <v>1380.3665771000001</v>
      </c>
      <c r="H331">
        <v>1367.824707</v>
      </c>
      <c r="I331">
        <v>1260.0520019999999</v>
      </c>
      <c r="J331">
        <v>1223.7491454999999</v>
      </c>
      <c r="K331">
        <v>2200</v>
      </c>
      <c r="L331">
        <v>0</v>
      </c>
      <c r="M331">
        <v>0</v>
      </c>
      <c r="N331">
        <v>2200</v>
      </c>
    </row>
    <row r="332" spans="1:14" x14ac:dyDescent="0.25">
      <c r="A332">
        <v>108.85470599999999</v>
      </c>
      <c r="B332" s="1">
        <f>DATE(2010,8,17) + TIME(20,30,46)</f>
        <v>40407.854699074072</v>
      </c>
      <c r="C332">
        <v>80</v>
      </c>
      <c r="D332">
        <v>79.904769896999994</v>
      </c>
      <c r="E332">
        <v>50</v>
      </c>
      <c r="F332">
        <v>15.001768112000001</v>
      </c>
      <c r="G332">
        <v>1380.3361815999999</v>
      </c>
      <c r="H332">
        <v>1367.7962646000001</v>
      </c>
      <c r="I332">
        <v>1260.0692139</v>
      </c>
      <c r="J332">
        <v>1223.7646483999999</v>
      </c>
      <c r="K332">
        <v>2200</v>
      </c>
      <c r="L332">
        <v>0</v>
      </c>
      <c r="M332">
        <v>0</v>
      </c>
      <c r="N332">
        <v>2200</v>
      </c>
    </row>
    <row r="333" spans="1:14" x14ac:dyDescent="0.25">
      <c r="A333">
        <v>109.35103700000001</v>
      </c>
      <c r="B333" s="1">
        <f>DATE(2010,8,18) + TIME(8,25,29)</f>
        <v>40408.351030092592</v>
      </c>
      <c r="C333">
        <v>80</v>
      </c>
      <c r="D333">
        <v>79.904830933</v>
      </c>
      <c r="E333">
        <v>50</v>
      </c>
      <c r="F333">
        <v>15.002003670000001</v>
      </c>
      <c r="G333">
        <v>1380.3057861</v>
      </c>
      <c r="H333">
        <v>1367.7679443</v>
      </c>
      <c r="I333">
        <v>1260.0865478999999</v>
      </c>
      <c r="J333">
        <v>1223.7801514</v>
      </c>
      <c r="K333">
        <v>2200</v>
      </c>
      <c r="L333">
        <v>0</v>
      </c>
      <c r="M333">
        <v>0</v>
      </c>
      <c r="N333">
        <v>2200</v>
      </c>
    </row>
    <row r="334" spans="1:14" x14ac:dyDescent="0.25">
      <c r="A334">
        <v>109.847368</v>
      </c>
      <c r="B334" s="1">
        <f>DATE(2010,8,18) + TIME(20,20,12)</f>
        <v>40408.847361111111</v>
      </c>
      <c r="C334">
        <v>80</v>
      </c>
      <c r="D334">
        <v>79.904891968000001</v>
      </c>
      <c r="E334">
        <v>50</v>
      </c>
      <c r="F334">
        <v>15.002257347</v>
      </c>
      <c r="G334">
        <v>1380.2756348</v>
      </c>
      <c r="H334">
        <v>1367.7397461</v>
      </c>
      <c r="I334">
        <v>1260.1040039</v>
      </c>
      <c r="J334">
        <v>1223.7958983999999</v>
      </c>
      <c r="K334">
        <v>2200</v>
      </c>
      <c r="L334">
        <v>0</v>
      </c>
      <c r="M334">
        <v>0</v>
      </c>
      <c r="N334">
        <v>2200</v>
      </c>
    </row>
    <row r="335" spans="1:14" x14ac:dyDescent="0.25">
      <c r="A335">
        <v>110.343698</v>
      </c>
      <c r="B335" s="1">
        <f>DATE(2010,8,19) + TIME(8,14,55)</f>
        <v>40409.343692129631</v>
      </c>
      <c r="C335">
        <v>80</v>
      </c>
      <c r="D335">
        <v>79.904953003000003</v>
      </c>
      <c r="E335">
        <v>50</v>
      </c>
      <c r="F335">
        <v>15.002529144</v>
      </c>
      <c r="G335">
        <v>1380.2456055</v>
      </c>
      <c r="H335">
        <v>1367.7116699000001</v>
      </c>
      <c r="I335">
        <v>1260.121582</v>
      </c>
      <c r="J335">
        <v>1223.8117675999999</v>
      </c>
      <c r="K335">
        <v>2200</v>
      </c>
      <c r="L335">
        <v>0</v>
      </c>
      <c r="M335">
        <v>0</v>
      </c>
      <c r="N335">
        <v>2200</v>
      </c>
    </row>
    <row r="336" spans="1:14" x14ac:dyDescent="0.25">
      <c r="A336">
        <v>110.840029</v>
      </c>
      <c r="B336" s="1">
        <f>DATE(2010,8,19) + TIME(20,9,38)</f>
        <v>40409.84002314815</v>
      </c>
      <c r="C336">
        <v>80</v>
      </c>
      <c r="D336">
        <v>79.905014038000004</v>
      </c>
      <c r="E336">
        <v>50</v>
      </c>
      <c r="F336">
        <v>15.002820014999999</v>
      </c>
      <c r="G336">
        <v>1380.2155762</v>
      </c>
      <c r="H336">
        <v>1367.6837158000001</v>
      </c>
      <c r="I336">
        <v>1260.1392822</v>
      </c>
      <c r="J336">
        <v>1223.8277588000001</v>
      </c>
      <c r="K336">
        <v>2200</v>
      </c>
      <c r="L336">
        <v>0</v>
      </c>
      <c r="M336">
        <v>0</v>
      </c>
      <c r="N336">
        <v>2200</v>
      </c>
    </row>
    <row r="337" spans="1:14" x14ac:dyDescent="0.25">
      <c r="A337">
        <v>111.33636</v>
      </c>
      <c r="B337" s="1">
        <f>DATE(2010,8,20) + TIME(8,4,21)</f>
        <v>40410.336354166669</v>
      </c>
      <c r="C337">
        <v>80</v>
      </c>
      <c r="D337">
        <v>79.905082703000005</v>
      </c>
      <c r="E337">
        <v>50</v>
      </c>
      <c r="F337">
        <v>15.003132819999999</v>
      </c>
      <c r="G337">
        <v>1380.1856689000001</v>
      </c>
      <c r="H337">
        <v>1367.6557617000001</v>
      </c>
      <c r="I337">
        <v>1260.1572266000001</v>
      </c>
      <c r="J337">
        <v>1223.8439940999999</v>
      </c>
      <c r="K337">
        <v>2200</v>
      </c>
      <c r="L337">
        <v>0</v>
      </c>
      <c r="M337">
        <v>0</v>
      </c>
      <c r="N337">
        <v>2200</v>
      </c>
    </row>
    <row r="338" spans="1:14" x14ac:dyDescent="0.25">
      <c r="A338">
        <v>111.83269</v>
      </c>
      <c r="B338" s="1">
        <f>DATE(2010,8,20) + TIME(19,59,4)</f>
        <v>40410.832685185182</v>
      </c>
      <c r="C338">
        <v>80</v>
      </c>
      <c r="D338">
        <v>79.905143738000007</v>
      </c>
      <c r="E338">
        <v>50</v>
      </c>
      <c r="F338">
        <v>15.003467560000001</v>
      </c>
      <c r="G338">
        <v>1380.1558838000001</v>
      </c>
      <c r="H338">
        <v>1367.6279297000001</v>
      </c>
      <c r="I338">
        <v>1260.175293</v>
      </c>
      <c r="J338">
        <v>1223.8602295000001</v>
      </c>
      <c r="K338">
        <v>2200</v>
      </c>
      <c r="L338">
        <v>0</v>
      </c>
      <c r="M338">
        <v>0</v>
      </c>
      <c r="N338">
        <v>2200</v>
      </c>
    </row>
    <row r="339" spans="1:14" x14ac:dyDescent="0.25">
      <c r="A339">
        <v>112.825352</v>
      </c>
      <c r="B339" s="1">
        <f>DATE(2010,8,21) + TIME(19,48,30)</f>
        <v>40411.82534722222</v>
      </c>
      <c r="C339">
        <v>80</v>
      </c>
      <c r="D339">
        <v>79.905273437999995</v>
      </c>
      <c r="E339">
        <v>50</v>
      </c>
      <c r="F339">
        <v>15.004002570999999</v>
      </c>
      <c r="G339">
        <v>1380.1267089999999</v>
      </c>
      <c r="H339">
        <v>1367.6005858999999</v>
      </c>
      <c r="I339">
        <v>1260.1937256000001</v>
      </c>
      <c r="J339">
        <v>1223.8770752</v>
      </c>
      <c r="K339">
        <v>2200</v>
      </c>
      <c r="L339">
        <v>0</v>
      </c>
      <c r="M339">
        <v>0</v>
      </c>
      <c r="N339">
        <v>2200</v>
      </c>
    </row>
    <row r="340" spans="1:14" x14ac:dyDescent="0.25">
      <c r="A340">
        <v>113.818136</v>
      </c>
      <c r="B340" s="1">
        <f>DATE(2010,8,22) + TIME(19,38,6)</f>
        <v>40412.818124999998</v>
      </c>
      <c r="C340">
        <v>80</v>
      </c>
      <c r="D340">
        <v>79.905395507999998</v>
      </c>
      <c r="E340">
        <v>50</v>
      </c>
      <c r="F340">
        <v>15.004706383</v>
      </c>
      <c r="G340">
        <v>1380.0679932</v>
      </c>
      <c r="H340">
        <v>1367.5457764</v>
      </c>
      <c r="I340">
        <v>1260.2303466999999</v>
      </c>
      <c r="J340">
        <v>1223.9100341999999</v>
      </c>
      <c r="K340">
        <v>2200</v>
      </c>
      <c r="L340">
        <v>0</v>
      </c>
      <c r="M340">
        <v>0</v>
      </c>
      <c r="N340">
        <v>2200</v>
      </c>
    </row>
    <row r="341" spans="1:14" x14ac:dyDescent="0.25">
      <c r="A341">
        <v>114.824786</v>
      </c>
      <c r="B341" s="1">
        <f>DATE(2010,8,23) + TIME(19,47,41)</f>
        <v>40413.824780092589</v>
      </c>
      <c r="C341">
        <v>80</v>
      </c>
      <c r="D341">
        <v>79.905525208</v>
      </c>
      <c r="E341">
        <v>50</v>
      </c>
      <c r="F341">
        <v>15.005560875</v>
      </c>
      <c r="G341">
        <v>1380.0093993999999</v>
      </c>
      <c r="H341">
        <v>1367.4910889</v>
      </c>
      <c r="I341">
        <v>1260.2677002</v>
      </c>
      <c r="J341">
        <v>1223.9436035000001</v>
      </c>
      <c r="K341">
        <v>2200</v>
      </c>
      <c r="L341">
        <v>0</v>
      </c>
      <c r="M341">
        <v>0</v>
      </c>
      <c r="N341">
        <v>2200</v>
      </c>
    </row>
    <row r="342" spans="1:14" x14ac:dyDescent="0.25">
      <c r="A342">
        <v>115.84725899999999</v>
      </c>
      <c r="B342" s="1">
        <f>DATE(2010,8,24) + TIME(20,20,3)</f>
        <v>40414.847256944442</v>
      </c>
      <c r="C342">
        <v>80</v>
      </c>
      <c r="D342">
        <v>79.905647278000004</v>
      </c>
      <c r="E342">
        <v>50</v>
      </c>
      <c r="F342">
        <v>15.006570816</v>
      </c>
      <c r="G342">
        <v>1379.9503173999999</v>
      </c>
      <c r="H342">
        <v>1367.4359131000001</v>
      </c>
      <c r="I342">
        <v>1260.3062743999999</v>
      </c>
      <c r="J342">
        <v>1223.9783935999999</v>
      </c>
      <c r="K342">
        <v>2200</v>
      </c>
      <c r="L342">
        <v>0</v>
      </c>
      <c r="M342">
        <v>0</v>
      </c>
      <c r="N342">
        <v>2200</v>
      </c>
    </row>
    <row r="343" spans="1:14" x14ac:dyDescent="0.25">
      <c r="A343">
        <v>116.359722</v>
      </c>
      <c r="B343" s="1">
        <f>DATE(2010,8,25) + TIME(8,37,59)</f>
        <v>40415.359710648147</v>
      </c>
      <c r="C343">
        <v>80</v>
      </c>
      <c r="D343">
        <v>79.905708313000005</v>
      </c>
      <c r="E343">
        <v>50</v>
      </c>
      <c r="F343">
        <v>15.007362366000001</v>
      </c>
      <c r="G343">
        <v>1379.890625</v>
      </c>
      <c r="H343">
        <v>1367.3801269999999</v>
      </c>
      <c r="I343">
        <v>1260.3459473</v>
      </c>
      <c r="J343">
        <v>1224.0136719</v>
      </c>
      <c r="K343">
        <v>2200</v>
      </c>
      <c r="L343">
        <v>0</v>
      </c>
      <c r="M343">
        <v>0</v>
      </c>
      <c r="N343">
        <v>2200</v>
      </c>
    </row>
    <row r="344" spans="1:14" x14ac:dyDescent="0.25">
      <c r="A344">
        <v>116.872185</v>
      </c>
      <c r="B344" s="1">
        <f>DATE(2010,8,25) + TIME(20,55,56)</f>
        <v>40415.872175925928</v>
      </c>
      <c r="C344">
        <v>80</v>
      </c>
      <c r="D344">
        <v>79.905769348000007</v>
      </c>
      <c r="E344">
        <v>50</v>
      </c>
      <c r="F344">
        <v>15.008141518</v>
      </c>
      <c r="G344">
        <v>1379.8602295000001</v>
      </c>
      <c r="H344">
        <v>1367.3516846</v>
      </c>
      <c r="I344">
        <v>1260.3664550999999</v>
      </c>
      <c r="J344">
        <v>1224.0323486</v>
      </c>
      <c r="K344">
        <v>2200</v>
      </c>
      <c r="L344">
        <v>0</v>
      </c>
      <c r="M344">
        <v>0</v>
      </c>
      <c r="N344">
        <v>2200</v>
      </c>
    </row>
    <row r="345" spans="1:14" x14ac:dyDescent="0.25">
      <c r="A345">
        <v>117.384648</v>
      </c>
      <c r="B345" s="1">
        <f>DATE(2010,8,26) + TIME(9,13,53)</f>
        <v>40416.384641203702</v>
      </c>
      <c r="C345">
        <v>80</v>
      </c>
      <c r="D345">
        <v>79.905830382999994</v>
      </c>
      <c r="E345">
        <v>50</v>
      </c>
      <c r="F345">
        <v>15.008931159999999</v>
      </c>
      <c r="G345">
        <v>1379.8305664</v>
      </c>
      <c r="H345">
        <v>1367.3239745999999</v>
      </c>
      <c r="I345">
        <v>1260.3870850000001</v>
      </c>
      <c r="J345">
        <v>1224.0510254000001</v>
      </c>
      <c r="K345">
        <v>2200</v>
      </c>
      <c r="L345">
        <v>0</v>
      </c>
      <c r="M345">
        <v>0</v>
      </c>
      <c r="N345">
        <v>2200</v>
      </c>
    </row>
    <row r="346" spans="1:14" x14ac:dyDescent="0.25">
      <c r="A346">
        <v>117.897111</v>
      </c>
      <c r="B346" s="1">
        <f>DATE(2010,8,26) + TIME(21,31,50)</f>
        <v>40416.897106481483</v>
      </c>
      <c r="C346">
        <v>80</v>
      </c>
      <c r="D346">
        <v>79.905891417999996</v>
      </c>
      <c r="E346">
        <v>50</v>
      </c>
      <c r="F346">
        <v>15.009746551999999</v>
      </c>
      <c r="G346">
        <v>1379.8010254000001</v>
      </c>
      <c r="H346">
        <v>1367.2962646000001</v>
      </c>
      <c r="I346">
        <v>1260.4079589999999</v>
      </c>
      <c r="J346">
        <v>1224.0698242000001</v>
      </c>
      <c r="K346">
        <v>2200</v>
      </c>
      <c r="L346">
        <v>0</v>
      </c>
      <c r="M346">
        <v>0</v>
      </c>
      <c r="N346">
        <v>2200</v>
      </c>
    </row>
    <row r="347" spans="1:14" x14ac:dyDescent="0.25">
      <c r="A347">
        <v>118.40957400000001</v>
      </c>
      <c r="B347" s="1">
        <f>DATE(2010,8,27) + TIME(9,49,47)</f>
        <v>40417.409571759257</v>
      </c>
      <c r="C347">
        <v>80</v>
      </c>
      <c r="D347">
        <v>79.905952454000001</v>
      </c>
      <c r="E347">
        <v>50</v>
      </c>
      <c r="F347">
        <v>15.010600090000001</v>
      </c>
      <c r="G347">
        <v>1379.7716064000001</v>
      </c>
      <c r="H347">
        <v>1367.2686768000001</v>
      </c>
      <c r="I347">
        <v>1260.4289550999999</v>
      </c>
      <c r="J347">
        <v>1224.0888672000001</v>
      </c>
      <c r="K347">
        <v>2200</v>
      </c>
      <c r="L347">
        <v>0</v>
      </c>
      <c r="M347">
        <v>0</v>
      </c>
      <c r="N347">
        <v>2200</v>
      </c>
    </row>
    <row r="348" spans="1:14" x14ac:dyDescent="0.25">
      <c r="A348">
        <v>118.92203600000001</v>
      </c>
      <c r="B348" s="1">
        <f>DATE(2010,8,27) + TIME(22,7,43)</f>
        <v>40417.922025462962</v>
      </c>
      <c r="C348">
        <v>80</v>
      </c>
      <c r="D348">
        <v>79.906013489000003</v>
      </c>
      <c r="E348">
        <v>50</v>
      </c>
      <c r="F348">
        <v>15.011500358999999</v>
      </c>
      <c r="G348">
        <v>1379.7421875</v>
      </c>
      <c r="H348">
        <v>1367.2412108999999</v>
      </c>
      <c r="I348">
        <v>1260.4501952999999</v>
      </c>
      <c r="J348">
        <v>1224.1080322</v>
      </c>
      <c r="K348">
        <v>2200</v>
      </c>
      <c r="L348">
        <v>0</v>
      </c>
      <c r="M348">
        <v>0</v>
      </c>
      <c r="N348">
        <v>2200</v>
      </c>
    </row>
    <row r="349" spans="1:14" x14ac:dyDescent="0.25">
      <c r="A349">
        <v>119.434499</v>
      </c>
      <c r="B349" s="1">
        <f>DATE(2010,8,28) + TIME(10,25,40)</f>
        <v>40418.434490740743</v>
      </c>
      <c r="C349">
        <v>80</v>
      </c>
      <c r="D349">
        <v>79.906074524000005</v>
      </c>
      <c r="E349">
        <v>50</v>
      </c>
      <c r="F349">
        <v>15.012454987</v>
      </c>
      <c r="G349">
        <v>1379.7128906</v>
      </c>
      <c r="H349">
        <v>1367.2137451000001</v>
      </c>
      <c r="I349">
        <v>1260.4716797000001</v>
      </c>
      <c r="J349">
        <v>1224.1274414</v>
      </c>
      <c r="K349">
        <v>2200</v>
      </c>
      <c r="L349">
        <v>0</v>
      </c>
      <c r="M349">
        <v>0</v>
      </c>
      <c r="N349">
        <v>2200</v>
      </c>
    </row>
    <row r="350" spans="1:14" x14ac:dyDescent="0.25">
      <c r="A350">
        <v>119.946962</v>
      </c>
      <c r="B350" s="1">
        <f>DATE(2010,8,28) + TIME(22,43,37)</f>
        <v>40418.946956018517</v>
      </c>
      <c r="C350">
        <v>80</v>
      </c>
      <c r="D350">
        <v>79.906143188000001</v>
      </c>
      <c r="E350">
        <v>50</v>
      </c>
      <c r="F350">
        <v>15.013468742000001</v>
      </c>
      <c r="G350">
        <v>1379.6837158000001</v>
      </c>
      <c r="H350">
        <v>1367.1865233999999</v>
      </c>
      <c r="I350">
        <v>1260.4934082</v>
      </c>
      <c r="J350">
        <v>1224.1470947</v>
      </c>
      <c r="K350">
        <v>2200</v>
      </c>
      <c r="L350">
        <v>0</v>
      </c>
      <c r="M350">
        <v>0</v>
      </c>
      <c r="N350">
        <v>2200</v>
      </c>
    </row>
    <row r="351" spans="1:14" x14ac:dyDescent="0.25">
      <c r="A351">
        <v>120.459425</v>
      </c>
      <c r="B351" s="1">
        <f>DATE(2010,8,29) + TIME(11,1,34)</f>
        <v>40419.459421296298</v>
      </c>
      <c r="C351">
        <v>80</v>
      </c>
      <c r="D351">
        <v>79.906204224000007</v>
      </c>
      <c r="E351">
        <v>50</v>
      </c>
      <c r="F351">
        <v>15.014547348000001</v>
      </c>
      <c r="G351">
        <v>1379.6545410000001</v>
      </c>
      <c r="H351">
        <v>1367.1591797000001</v>
      </c>
      <c r="I351">
        <v>1260.5153809000001</v>
      </c>
      <c r="J351">
        <v>1224.1668701000001</v>
      </c>
      <c r="K351">
        <v>2200</v>
      </c>
      <c r="L351">
        <v>0</v>
      </c>
      <c r="M351">
        <v>0</v>
      </c>
      <c r="N351">
        <v>2200</v>
      </c>
    </row>
    <row r="352" spans="1:14" x14ac:dyDescent="0.25">
      <c r="A352">
        <v>120.971688</v>
      </c>
      <c r="B352" s="1">
        <f>DATE(2010,8,29) + TIME(23,19,13)</f>
        <v>40419.971678240741</v>
      </c>
      <c r="C352">
        <v>80</v>
      </c>
      <c r="D352">
        <v>79.906265258999994</v>
      </c>
      <c r="E352">
        <v>50</v>
      </c>
      <c r="F352">
        <v>15.015696525999999</v>
      </c>
      <c r="G352">
        <v>1379.6254882999999</v>
      </c>
      <c r="H352">
        <v>1367.1320800999999</v>
      </c>
      <c r="I352">
        <v>1260.5375977000001</v>
      </c>
      <c r="J352">
        <v>1224.1870117000001</v>
      </c>
      <c r="K352">
        <v>2200</v>
      </c>
      <c r="L352">
        <v>0</v>
      </c>
      <c r="M352">
        <v>0</v>
      </c>
      <c r="N352">
        <v>2200</v>
      </c>
    </row>
    <row r="353" spans="1:14" x14ac:dyDescent="0.25">
      <c r="A353">
        <v>121.482752</v>
      </c>
      <c r="B353" s="1">
        <f>DATE(2010,8,30) + TIME(11,35,9)</f>
        <v>40420.482743055552</v>
      </c>
      <c r="C353">
        <v>80</v>
      </c>
      <c r="D353">
        <v>79.906326293999996</v>
      </c>
      <c r="E353">
        <v>50</v>
      </c>
      <c r="F353">
        <v>15.016920089999999</v>
      </c>
      <c r="G353">
        <v>1379.5965576000001</v>
      </c>
      <c r="H353">
        <v>1367.1049805</v>
      </c>
      <c r="I353">
        <v>1260.5599365</v>
      </c>
      <c r="J353">
        <v>1224.2072754000001</v>
      </c>
      <c r="K353">
        <v>2200</v>
      </c>
      <c r="L353">
        <v>0</v>
      </c>
      <c r="M353">
        <v>0</v>
      </c>
      <c r="N353">
        <v>2200</v>
      </c>
    </row>
    <row r="354" spans="1:14" x14ac:dyDescent="0.25">
      <c r="A354">
        <v>121.992808</v>
      </c>
      <c r="B354" s="1">
        <f>DATE(2010,8,30) + TIME(23,49,38)</f>
        <v>40420.992800925924</v>
      </c>
      <c r="C354">
        <v>80</v>
      </c>
      <c r="D354">
        <v>79.906387328999998</v>
      </c>
      <c r="E354">
        <v>50</v>
      </c>
      <c r="F354">
        <v>15.018220900999999</v>
      </c>
      <c r="G354">
        <v>1379.5678711</v>
      </c>
      <c r="H354">
        <v>1367.0780029</v>
      </c>
      <c r="I354">
        <v>1260.5826416</v>
      </c>
      <c r="J354">
        <v>1224.2277832</v>
      </c>
      <c r="K354">
        <v>2200</v>
      </c>
      <c r="L354">
        <v>0</v>
      </c>
      <c r="M354">
        <v>0</v>
      </c>
      <c r="N354">
        <v>2200</v>
      </c>
    </row>
    <row r="355" spans="1:14" x14ac:dyDescent="0.25">
      <c r="A355">
        <v>123</v>
      </c>
      <c r="B355" s="1">
        <f>DATE(2010,9,1) + TIME(0,0,0)</f>
        <v>40422</v>
      </c>
      <c r="C355">
        <v>80</v>
      </c>
      <c r="D355">
        <v>79.906524657999995</v>
      </c>
      <c r="E355">
        <v>50</v>
      </c>
      <c r="F355">
        <v>15.020262718</v>
      </c>
      <c r="G355">
        <v>1379.5395507999999</v>
      </c>
      <c r="H355">
        <v>1367.0515137</v>
      </c>
      <c r="I355">
        <v>1260.6054687999999</v>
      </c>
      <c r="J355">
        <v>1224.2490233999999</v>
      </c>
      <c r="K355">
        <v>2200</v>
      </c>
      <c r="L355">
        <v>0</v>
      </c>
      <c r="M355">
        <v>0</v>
      </c>
      <c r="N355">
        <v>2200</v>
      </c>
    </row>
    <row r="356" spans="1:14" x14ac:dyDescent="0.25">
      <c r="A356">
        <v>124.018373</v>
      </c>
      <c r="B356" s="1">
        <f>DATE(2010,9,2) + TIME(0,26,27)</f>
        <v>40423.018368055556</v>
      </c>
      <c r="C356">
        <v>80</v>
      </c>
      <c r="D356">
        <v>79.906646729000002</v>
      </c>
      <c r="E356">
        <v>50</v>
      </c>
      <c r="F356">
        <v>15.022934914</v>
      </c>
      <c r="G356">
        <v>1379.4836425999999</v>
      </c>
      <c r="H356">
        <v>1366.9991454999999</v>
      </c>
      <c r="I356">
        <v>1260.651001</v>
      </c>
      <c r="J356">
        <v>1224.2901611</v>
      </c>
      <c r="K356">
        <v>2200</v>
      </c>
      <c r="L356">
        <v>0</v>
      </c>
      <c r="M356">
        <v>0</v>
      </c>
      <c r="N356">
        <v>2200</v>
      </c>
    </row>
    <row r="357" spans="1:14" x14ac:dyDescent="0.25">
      <c r="A357">
        <v>125.049125</v>
      </c>
      <c r="B357" s="1">
        <f>DATE(2010,9,3) + TIME(1,10,44)</f>
        <v>40424.049120370371</v>
      </c>
      <c r="C357">
        <v>80</v>
      </c>
      <c r="D357">
        <v>79.906776428000001</v>
      </c>
      <c r="E357">
        <v>50</v>
      </c>
      <c r="F357">
        <v>15.026153563999999</v>
      </c>
      <c r="G357">
        <v>1379.4270019999999</v>
      </c>
      <c r="H357">
        <v>1366.9461670000001</v>
      </c>
      <c r="I357">
        <v>1260.6979980000001</v>
      </c>
      <c r="J357">
        <v>1224.3328856999999</v>
      </c>
      <c r="K357">
        <v>2200</v>
      </c>
      <c r="L357">
        <v>0</v>
      </c>
      <c r="M357">
        <v>0</v>
      </c>
      <c r="N357">
        <v>2200</v>
      </c>
    </row>
    <row r="358" spans="1:14" x14ac:dyDescent="0.25">
      <c r="A358">
        <v>125.57247599999999</v>
      </c>
      <c r="B358" s="1">
        <f>DATE(2010,9,3) + TIME(13,44,21)</f>
        <v>40424.572465277779</v>
      </c>
      <c r="C358">
        <v>80</v>
      </c>
      <c r="D358">
        <v>79.906829834000007</v>
      </c>
      <c r="E358">
        <v>50</v>
      </c>
      <c r="F358">
        <v>15.028701782000001</v>
      </c>
      <c r="G358">
        <v>1379.3699951000001</v>
      </c>
      <c r="H358">
        <v>1366.8927002</v>
      </c>
      <c r="I358">
        <v>1260.7468262</v>
      </c>
      <c r="J358">
        <v>1224.3763428</v>
      </c>
      <c r="K358">
        <v>2200</v>
      </c>
      <c r="L358">
        <v>0</v>
      </c>
      <c r="M358">
        <v>0</v>
      </c>
      <c r="N358">
        <v>2200</v>
      </c>
    </row>
    <row r="359" spans="1:14" x14ac:dyDescent="0.25">
      <c r="A359">
        <v>126.095827</v>
      </c>
      <c r="B359" s="1">
        <f>DATE(2010,9,4) + TIME(2,17,59)</f>
        <v>40425.095821759256</v>
      </c>
      <c r="C359">
        <v>80</v>
      </c>
      <c r="D359">
        <v>79.906890868999994</v>
      </c>
      <c r="E359">
        <v>50</v>
      </c>
      <c r="F359">
        <v>15.031201362999999</v>
      </c>
      <c r="G359">
        <v>1379.3405762</v>
      </c>
      <c r="H359">
        <v>1366.8651123</v>
      </c>
      <c r="I359">
        <v>1260.7722168</v>
      </c>
      <c r="J359">
        <v>1224.3999022999999</v>
      </c>
      <c r="K359">
        <v>2200</v>
      </c>
      <c r="L359">
        <v>0</v>
      </c>
      <c r="M359">
        <v>0</v>
      </c>
      <c r="N359">
        <v>2200</v>
      </c>
    </row>
    <row r="360" spans="1:14" x14ac:dyDescent="0.25">
      <c r="A360">
        <v>126.61917800000001</v>
      </c>
      <c r="B360" s="1">
        <f>DATE(2010,9,4) + TIME(14,51,36)</f>
        <v>40425.619166666664</v>
      </c>
      <c r="C360">
        <v>80</v>
      </c>
      <c r="D360">
        <v>79.906951903999996</v>
      </c>
      <c r="E360">
        <v>50</v>
      </c>
      <c r="F360">
        <v>15.033724785</v>
      </c>
      <c r="G360">
        <v>1379.3117675999999</v>
      </c>
      <c r="H360">
        <v>1366.8381348</v>
      </c>
      <c r="I360">
        <v>1260.7978516000001</v>
      </c>
      <c r="J360">
        <v>1224.4235839999999</v>
      </c>
      <c r="K360">
        <v>2200</v>
      </c>
      <c r="L360">
        <v>0</v>
      </c>
      <c r="M360">
        <v>0</v>
      </c>
      <c r="N360">
        <v>2200</v>
      </c>
    </row>
    <row r="361" spans="1:14" x14ac:dyDescent="0.25">
      <c r="A361">
        <v>127.142529</v>
      </c>
      <c r="B361" s="1">
        <f>DATE(2010,9,5) + TIME(3,25,14)</f>
        <v>40426.142523148148</v>
      </c>
      <c r="C361">
        <v>80</v>
      </c>
      <c r="D361">
        <v>79.907020568999997</v>
      </c>
      <c r="E361">
        <v>50</v>
      </c>
      <c r="F361">
        <v>15.036321640000001</v>
      </c>
      <c r="G361">
        <v>1379.2830810999999</v>
      </c>
      <c r="H361">
        <v>1366.8111572</v>
      </c>
      <c r="I361">
        <v>1260.8238524999999</v>
      </c>
      <c r="J361">
        <v>1224.4473877</v>
      </c>
      <c r="K361">
        <v>2200</v>
      </c>
      <c r="L361">
        <v>0</v>
      </c>
      <c r="M361">
        <v>0</v>
      </c>
      <c r="N361">
        <v>2200</v>
      </c>
    </row>
    <row r="362" spans="1:14" x14ac:dyDescent="0.25">
      <c r="A362">
        <v>127.66500600000001</v>
      </c>
      <c r="B362" s="1">
        <f>DATE(2010,9,5) + TIME(15,57,36)</f>
        <v>40426.665000000001</v>
      </c>
      <c r="C362">
        <v>80</v>
      </c>
      <c r="D362">
        <v>79.907081603999998</v>
      </c>
      <c r="E362">
        <v>50</v>
      </c>
      <c r="F362">
        <v>15.039024353</v>
      </c>
      <c r="G362">
        <v>1379.2545166</v>
      </c>
      <c r="H362">
        <v>1366.7844238</v>
      </c>
      <c r="I362">
        <v>1260.8500977000001</v>
      </c>
      <c r="J362">
        <v>1224.4716797000001</v>
      </c>
      <c r="K362">
        <v>2200</v>
      </c>
      <c r="L362">
        <v>0</v>
      </c>
      <c r="M362">
        <v>0</v>
      </c>
      <c r="N362">
        <v>2200</v>
      </c>
    </row>
    <row r="363" spans="1:14" x14ac:dyDescent="0.25">
      <c r="A363">
        <v>128.18596500000001</v>
      </c>
      <c r="B363" s="1">
        <f>DATE(2010,9,6) + TIME(4,27,47)</f>
        <v>40427.185960648145</v>
      </c>
      <c r="C363">
        <v>80</v>
      </c>
      <c r="D363">
        <v>79.907142639</v>
      </c>
      <c r="E363">
        <v>50</v>
      </c>
      <c r="F363">
        <v>15.041853905</v>
      </c>
      <c r="G363">
        <v>1379.2259521000001</v>
      </c>
      <c r="H363">
        <v>1366.7575684000001</v>
      </c>
      <c r="I363">
        <v>1260.8767089999999</v>
      </c>
      <c r="J363">
        <v>1224.4962158000001</v>
      </c>
      <c r="K363">
        <v>2200</v>
      </c>
      <c r="L363">
        <v>0</v>
      </c>
      <c r="M363">
        <v>0</v>
      </c>
      <c r="N363">
        <v>2200</v>
      </c>
    </row>
    <row r="364" spans="1:14" x14ac:dyDescent="0.25">
      <c r="A364">
        <v>128.70551599999999</v>
      </c>
      <c r="B364" s="1">
        <f>DATE(2010,9,6) + TIME(16,55,56)</f>
        <v>40427.705509259256</v>
      </c>
      <c r="C364">
        <v>80</v>
      </c>
      <c r="D364">
        <v>79.907203674000002</v>
      </c>
      <c r="E364">
        <v>50</v>
      </c>
      <c r="F364">
        <v>15.044831276</v>
      </c>
      <c r="G364">
        <v>1379.1976318</v>
      </c>
      <c r="H364">
        <v>1366.7310791</v>
      </c>
      <c r="I364">
        <v>1260.9035644999999</v>
      </c>
      <c r="J364">
        <v>1224.5209961</v>
      </c>
      <c r="K364">
        <v>2200</v>
      </c>
      <c r="L364">
        <v>0</v>
      </c>
      <c r="M364">
        <v>0</v>
      </c>
      <c r="N364">
        <v>2200</v>
      </c>
    </row>
    <row r="365" spans="1:14" x14ac:dyDescent="0.25">
      <c r="A365">
        <v>129.223749</v>
      </c>
      <c r="B365" s="1">
        <f>DATE(2010,9,7) + TIME(5,22,11)</f>
        <v>40428.223738425928</v>
      </c>
      <c r="C365">
        <v>80</v>
      </c>
      <c r="D365">
        <v>79.907264709000003</v>
      </c>
      <c r="E365">
        <v>50</v>
      </c>
      <c r="F365">
        <v>15.047969818</v>
      </c>
      <c r="G365">
        <v>1379.1694336</v>
      </c>
      <c r="H365">
        <v>1366.7045897999999</v>
      </c>
      <c r="I365">
        <v>1260.9306641000001</v>
      </c>
      <c r="J365">
        <v>1224.5461425999999</v>
      </c>
      <c r="K365">
        <v>2200</v>
      </c>
      <c r="L365">
        <v>0</v>
      </c>
      <c r="M365">
        <v>0</v>
      </c>
      <c r="N365">
        <v>2200</v>
      </c>
    </row>
    <row r="366" spans="1:14" x14ac:dyDescent="0.25">
      <c r="A366">
        <v>129.74076700000001</v>
      </c>
      <c r="B366" s="1">
        <f>DATE(2010,9,7) + TIME(17,46,42)</f>
        <v>40428.740763888891</v>
      </c>
      <c r="C366">
        <v>80</v>
      </c>
      <c r="D366">
        <v>79.907333374000004</v>
      </c>
      <c r="E366">
        <v>50</v>
      </c>
      <c r="F366">
        <v>15.05128479</v>
      </c>
      <c r="G366">
        <v>1379.1413574000001</v>
      </c>
      <c r="H366">
        <v>1366.6782227000001</v>
      </c>
      <c r="I366">
        <v>1260.9581298999999</v>
      </c>
      <c r="J366">
        <v>1224.5716553</v>
      </c>
      <c r="K366">
        <v>2200</v>
      </c>
      <c r="L366">
        <v>0</v>
      </c>
      <c r="M366">
        <v>0</v>
      </c>
      <c r="N366">
        <v>2200</v>
      </c>
    </row>
    <row r="367" spans="1:14" x14ac:dyDescent="0.25">
      <c r="A367">
        <v>130.256686</v>
      </c>
      <c r="B367" s="1">
        <f>DATE(2010,9,8) + TIME(6,9,37)</f>
        <v>40429.256678240738</v>
      </c>
      <c r="C367">
        <v>80</v>
      </c>
      <c r="D367">
        <v>79.907394409000005</v>
      </c>
      <c r="E367">
        <v>50</v>
      </c>
      <c r="F367">
        <v>15.054788588999999</v>
      </c>
      <c r="G367">
        <v>1379.1134033000001</v>
      </c>
      <c r="H367">
        <v>1366.6519774999999</v>
      </c>
      <c r="I367">
        <v>1260.9858397999999</v>
      </c>
      <c r="J367">
        <v>1224.5974120999999</v>
      </c>
      <c r="K367">
        <v>2200</v>
      </c>
      <c r="L367">
        <v>0</v>
      </c>
      <c r="M367">
        <v>0</v>
      </c>
      <c r="N367">
        <v>2200</v>
      </c>
    </row>
    <row r="368" spans="1:14" x14ac:dyDescent="0.25">
      <c r="A368">
        <v>130.77163200000001</v>
      </c>
      <c r="B368" s="1">
        <f>DATE(2010,9,8) + TIME(18,31,8)</f>
        <v>40429.771620370368</v>
      </c>
      <c r="C368">
        <v>80</v>
      </c>
      <c r="D368">
        <v>79.907455443999993</v>
      </c>
      <c r="E368">
        <v>50</v>
      </c>
      <c r="F368">
        <v>15.058492661000001</v>
      </c>
      <c r="G368">
        <v>1379.0855713000001</v>
      </c>
      <c r="H368">
        <v>1366.6258545000001</v>
      </c>
      <c r="I368">
        <v>1261.0139160000001</v>
      </c>
      <c r="J368">
        <v>1224.6235352000001</v>
      </c>
      <c r="K368">
        <v>2200</v>
      </c>
      <c r="L368">
        <v>0</v>
      </c>
      <c r="M368">
        <v>0</v>
      </c>
      <c r="N368">
        <v>2200</v>
      </c>
    </row>
    <row r="369" spans="1:14" x14ac:dyDescent="0.25">
      <c r="A369">
        <v>131.799847</v>
      </c>
      <c r="B369" s="1">
        <f>DATE(2010,9,9) + TIME(19,11,46)</f>
        <v>40430.799837962964</v>
      </c>
      <c r="C369">
        <v>80</v>
      </c>
      <c r="D369">
        <v>79.907585143999995</v>
      </c>
      <c r="E369">
        <v>50</v>
      </c>
      <c r="F369">
        <v>15.064296722</v>
      </c>
      <c r="G369">
        <v>1379.0582274999999</v>
      </c>
      <c r="H369">
        <v>1366.6002197</v>
      </c>
      <c r="I369">
        <v>1261.0418701000001</v>
      </c>
      <c r="J369">
        <v>1224.6511230000001</v>
      </c>
      <c r="K369">
        <v>2200</v>
      </c>
      <c r="L369">
        <v>0</v>
      </c>
      <c r="M369">
        <v>0</v>
      </c>
      <c r="N369">
        <v>2200</v>
      </c>
    </row>
    <row r="370" spans="1:14" x14ac:dyDescent="0.25">
      <c r="A370">
        <v>132.82844</v>
      </c>
      <c r="B370" s="1">
        <f>DATE(2010,9,10) + TIME(19,52,57)</f>
        <v>40431.8284375</v>
      </c>
      <c r="C370">
        <v>80</v>
      </c>
      <c r="D370">
        <v>79.907714843999997</v>
      </c>
      <c r="E370">
        <v>50</v>
      </c>
      <c r="F370">
        <v>15.07183075</v>
      </c>
      <c r="G370">
        <v>1379.003418</v>
      </c>
      <c r="H370">
        <v>1366.5488281</v>
      </c>
      <c r="I370">
        <v>1261.0992432</v>
      </c>
      <c r="J370">
        <v>1224.7043457</v>
      </c>
      <c r="K370">
        <v>2200</v>
      </c>
      <c r="L370">
        <v>0</v>
      </c>
      <c r="M370">
        <v>0</v>
      </c>
      <c r="N370">
        <v>2200</v>
      </c>
    </row>
    <row r="371" spans="1:14" x14ac:dyDescent="0.25">
      <c r="A371">
        <v>133.87061800000001</v>
      </c>
      <c r="B371" s="1">
        <f>DATE(2010,9,11) + TIME(20,53,41)</f>
        <v>40432.870613425926</v>
      </c>
      <c r="C371">
        <v>80</v>
      </c>
      <c r="D371">
        <v>79.907836914000001</v>
      </c>
      <c r="E371">
        <v>50</v>
      </c>
      <c r="F371">
        <v>15.080811500999999</v>
      </c>
      <c r="G371">
        <v>1378.9486084</v>
      </c>
      <c r="H371">
        <v>1366.4973144999999</v>
      </c>
      <c r="I371">
        <v>1261.1582031</v>
      </c>
      <c r="J371">
        <v>1224.7597656</v>
      </c>
      <c r="K371">
        <v>2200</v>
      </c>
      <c r="L371">
        <v>0</v>
      </c>
      <c r="M371">
        <v>0</v>
      </c>
      <c r="N371">
        <v>2200</v>
      </c>
    </row>
    <row r="372" spans="1:14" x14ac:dyDescent="0.25">
      <c r="A372">
        <v>134.39944</v>
      </c>
      <c r="B372" s="1">
        <f>DATE(2010,9,12) + TIME(9,35,11)</f>
        <v>40433.39943287037</v>
      </c>
      <c r="C372">
        <v>80</v>
      </c>
      <c r="D372">
        <v>79.907897949000002</v>
      </c>
      <c r="E372">
        <v>50</v>
      </c>
      <c r="F372">
        <v>15.087862968</v>
      </c>
      <c r="G372">
        <v>1378.8931885</v>
      </c>
      <c r="H372">
        <v>1366.4453125</v>
      </c>
      <c r="I372">
        <v>1261.2203368999999</v>
      </c>
      <c r="J372">
        <v>1224.8161620999999</v>
      </c>
      <c r="K372">
        <v>2200</v>
      </c>
      <c r="L372">
        <v>0</v>
      </c>
      <c r="M372">
        <v>0</v>
      </c>
      <c r="N372">
        <v>2200</v>
      </c>
    </row>
    <row r="373" spans="1:14" x14ac:dyDescent="0.25">
      <c r="A373">
        <v>134.926164</v>
      </c>
      <c r="B373" s="1">
        <f>DATE(2010,9,12) + TIME(22,13,40)</f>
        <v>40433.926157407404</v>
      </c>
      <c r="C373">
        <v>80</v>
      </c>
      <c r="D373">
        <v>79.907958984000004</v>
      </c>
      <c r="E373">
        <v>50</v>
      </c>
      <c r="F373">
        <v>15.094715118</v>
      </c>
      <c r="G373">
        <v>1378.864624</v>
      </c>
      <c r="H373">
        <v>1366.4183350000001</v>
      </c>
      <c r="I373">
        <v>1261.2521973</v>
      </c>
      <c r="J373">
        <v>1224.8474120999999</v>
      </c>
      <c r="K373">
        <v>2200</v>
      </c>
      <c r="L373">
        <v>0</v>
      </c>
      <c r="M373">
        <v>0</v>
      </c>
      <c r="N373">
        <v>2200</v>
      </c>
    </row>
    <row r="374" spans="1:14" x14ac:dyDescent="0.25">
      <c r="A374">
        <v>135.45240000000001</v>
      </c>
      <c r="B374" s="1">
        <f>DATE(2010,9,13) + TIME(10,51,27)</f>
        <v>40434.45239583333</v>
      </c>
      <c r="C374">
        <v>80</v>
      </c>
      <c r="D374">
        <v>79.908020019999995</v>
      </c>
      <c r="E374">
        <v>50</v>
      </c>
      <c r="F374">
        <v>15.101578712</v>
      </c>
      <c r="G374">
        <v>1378.8367920000001</v>
      </c>
      <c r="H374">
        <v>1366.3920897999999</v>
      </c>
      <c r="I374">
        <v>1261.2844238</v>
      </c>
      <c r="J374">
        <v>1224.8787841999999</v>
      </c>
      <c r="K374">
        <v>2200</v>
      </c>
      <c r="L374">
        <v>0</v>
      </c>
      <c r="M374">
        <v>0</v>
      </c>
      <c r="N374">
        <v>2200</v>
      </c>
    </row>
    <row r="375" spans="1:14" x14ac:dyDescent="0.25">
      <c r="A375">
        <v>135.97797700000001</v>
      </c>
      <c r="B375" s="1">
        <f>DATE(2010,9,13) + TIME(23,28,17)</f>
        <v>40434.97797453704</v>
      </c>
      <c r="C375">
        <v>80</v>
      </c>
      <c r="D375">
        <v>79.908081054999997</v>
      </c>
      <c r="E375">
        <v>50</v>
      </c>
      <c r="F375">
        <v>15.108588219</v>
      </c>
      <c r="G375">
        <v>1378.8089600000001</v>
      </c>
      <c r="H375">
        <v>1366.3659668</v>
      </c>
      <c r="I375">
        <v>1261.3170166</v>
      </c>
      <c r="J375">
        <v>1224.9105225000001</v>
      </c>
      <c r="K375">
        <v>2200</v>
      </c>
      <c r="L375">
        <v>0</v>
      </c>
      <c r="M375">
        <v>0</v>
      </c>
      <c r="N375">
        <v>2200</v>
      </c>
    </row>
    <row r="376" spans="1:14" x14ac:dyDescent="0.25">
      <c r="A376">
        <v>136.50287299999999</v>
      </c>
      <c r="B376" s="1">
        <f>DATE(2010,9,14) + TIME(12,4,8)</f>
        <v>40435.502870370372</v>
      </c>
      <c r="C376">
        <v>80</v>
      </c>
      <c r="D376">
        <v>79.908142089999998</v>
      </c>
      <c r="E376">
        <v>50</v>
      </c>
      <c r="F376">
        <v>15.115836142999999</v>
      </c>
      <c r="G376">
        <v>1378.78125</v>
      </c>
      <c r="H376">
        <v>1366.3398437999999</v>
      </c>
      <c r="I376">
        <v>1261.3502197</v>
      </c>
      <c r="J376">
        <v>1224.942749</v>
      </c>
      <c r="K376">
        <v>2200</v>
      </c>
      <c r="L376">
        <v>0</v>
      </c>
      <c r="M376">
        <v>0</v>
      </c>
      <c r="N376">
        <v>2200</v>
      </c>
    </row>
    <row r="377" spans="1:14" x14ac:dyDescent="0.25">
      <c r="A377">
        <v>137.027085</v>
      </c>
      <c r="B377" s="1">
        <f>DATE(2010,9,15) + TIME(0,39,0)</f>
        <v>40436.027083333334</v>
      </c>
      <c r="C377">
        <v>80</v>
      </c>
      <c r="D377">
        <v>79.908203125</v>
      </c>
      <c r="E377">
        <v>50</v>
      </c>
      <c r="F377">
        <v>15.123388289999999</v>
      </c>
      <c r="G377">
        <v>1378.7536620999999</v>
      </c>
      <c r="H377">
        <v>1366.3138428</v>
      </c>
      <c r="I377">
        <v>1261.3837891000001</v>
      </c>
      <c r="J377">
        <v>1224.9755858999999</v>
      </c>
      <c r="K377">
        <v>2200</v>
      </c>
      <c r="L377">
        <v>0</v>
      </c>
      <c r="M377">
        <v>0</v>
      </c>
      <c r="N377">
        <v>2200</v>
      </c>
    </row>
    <row r="378" spans="1:14" x14ac:dyDescent="0.25">
      <c r="A378">
        <v>137.550633</v>
      </c>
      <c r="B378" s="1">
        <f>DATE(2010,9,15) + TIME(13,12,54)</f>
        <v>40436.550625000003</v>
      </c>
      <c r="C378">
        <v>80</v>
      </c>
      <c r="D378">
        <v>79.908264160000002</v>
      </c>
      <c r="E378">
        <v>50</v>
      </c>
      <c r="F378">
        <v>15.131295204000001</v>
      </c>
      <c r="G378">
        <v>1378.7260742000001</v>
      </c>
      <c r="H378">
        <v>1366.2879639</v>
      </c>
      <c r="I378">
        <v>1261.4178466999999</v>
      </c>
      <c r="J378">
        <v>1225.0090332</v>
      </c>
      <c r="K378">
        <v>2200</v>
      </c>
      <c r="L378">
        <v>0</v>
      </c>
      <c r="M378">
        <v>0</v>
      </c>
      <c r="N378">
        <v>2200</v>
      </c>
    </row>
    <row r="379" spans="1:14" x14ac:dyDescent="0.25">
      <c r="A379">
        <v>138.07356300000001</v>
      </c>
      <c r="B379" s="1">
        <f>DATE(2010,9,16) + TIME(1,45,55)</f>
        <v>40437.073553240742</v>
      </c>
      <c r="C379">
        <v>80</v>
      </c>
      <c r="D379">
        <v>79.908332825000002</v>
      </c>
      <c r="E379">
        <v>50</v>
      </c>
      <c r="F379">
        <v>15.139595985</v>
      </c>
      <c r="G379">
        <v>1378.6986084</v>
      </c>
      <c r="H379">
        <v>1366.2620850000001</v>
      </c>
      <c r="I379">
        <v>1261.4525146000001</v>
      </c>
      <c r="J379">
        <v>1225.0430908000001</v>
      </c>
      <c r="K379">
        <v>2200</v>
      </c>
      <c r="L379">
        <v>0</v>
      </c>
      <c r="M379">
        <v>0</v>
      </c>
      <c r="N379">
        <v>2200</v>
      </c>
    </row>
    <row r="380" spans="1:14" x14ac:dyDescent="0.25">
      <c r="A380">
        <v>138.59593899999999</v>
      </c>
      <c r="B380" s="1">
        <f>DATE(2010,9,16) + TIME(14,18,9)</f>
        <v>40437.595937500002</v>
      </c>
      <c r="C380">
        <v>80</v>
      </c>
      <c r="D380">
        <v>79.908393860000004</v>
      </c>
      <c r="E380">
        <v>50</v>
      </c>
      <c r="F380">
        <v>15.148324966000001</v>
      </c>
      <c r="G380">
        <v>1378.6712646000001</v>
      </c>
      <c r="H380">
        <v>1366.2363281</v>
      </c>
      <c r="I380">
        <v>1261.4875488</v>
      </c>
      <c r="J380">
        <v>1225.0776367000001</v>
      </c>
      <c r="K380">
        <v>2200</v>
      </c>
      <c r="L380">
        <v>0</v>
      </c>
      <c r="M380">
        <v>0</v>
      </c>
      <c r="N380">
        <v>2200</v>
      </c>
    </row>
    <row r="381" spans="1:14" x14ac:dyDescent="0.25">
      <c r="A381">
        <v>139.11784</v>
      </c>
      <c r="B381" s="1">
        <f>DATE(2010,9,17) + TIME(2,49,41)</f>
        <v>40438.117835648147</v>
      </c>
      <c r="C381">
        <v>80</v>
      </c>
      <c r="D381">
        <v>79.908454895000006</v>
      </c>
      <c r="E381">
        <v>50</v>
      </c>
      <c r="F381">
        <v>15.157511711</v>
      </c>
      <c r="G381">
        <v>1378.6439209</v>
      </c>
      <c r="H381">
        <v>1366.2105713000001</v>
      </c>
      <c r="I381">
        <v>1261.5230713000001</v>
      </c>
      <c r="J381">
        <v>1225.1130370999999</v>
      </c>
      <c r="K381">
        <v>2200</v>
      </c>
      <c r="L381">
        <v>0</v>
      </c>
      <c r="M381">
        <v>0</v>
      </c>
      <c r="N381">
        <v>2200</v>
      </c>
    </row>
    <row r="382" spans="1:14" x14ac:dyDescent="0.25">
      <c r="A382">
        <v>139.63936000000001</v>
      </c>
      <c r="B382" s="1">
        <f>DATE(2010,9,17) + TIME(15,20,40)</f>
        <v>40438.639351851853</v>
      </c>
      <c r="C382">
        <v>80</v>
      </c>
      <c r="D382">
        <v>79.908515929999993</v>
      </c>
      <c r="E382">
        <v>50</v>
      </c>
      <c r="F382">
        <v>15.167186737</v>
      </c>
      <c r="G382">
        <v>1378.6166992000001</v>
      </c>
      <c r="H382">
        <v>1366.1849365</v>
      </c>
      <c r="I382">
        <v>1261.559082</v>
      </c>
      <c r="J382">
        <v>1225.1490478999999</v>
      </c>
      <c r="K382">
        <v>2200</v>
      </c>
      <c r="L382">
        <v>0</v>
      </c>
      <c r="M382">
        <v>0</v>
      </c>
      <c r="N382">
        <v>2200</v>
      </c>
    </row>
    <row r="383" spans="1:14" x14ac:dyDescent="0.25">
      <c r="A383">
        <v>140.160606</v>
      </c>
      <c r="B383" s="1">
        <f>DATE(2010,9,18) + TIME(3,51,16)</f>
        <v>40439.160601851851</v>
      </c>
      <c r="C383">
        <v>80</v>
      </c>
      <c r="D383">
        <v>79.908576964999995</v>
      </c>
      <c r="E383">
        <v>50</v>
      </c>
      <c r="F383">
        <v>15.177376747</v>
      </c>
      <c r="G383">
        <v>1378.5894774999999</v>
      </c>
      <c r="H383">
        <v>1366.1593018000001</v>
      </c>
      <c r="I383">
        <v>1261.5957031</v>
      </c>
      <c r="J383">
        <v>1225.1856689000001</v>
      </c>
      <c r="K383">
        <v>2200</v>
      </c>
      <c r="L383">
        <v>0</v>
      </c>
      <c r="M383">
        <v>0</v>
      </c>
      <c r="N383">
        <v>2200</v>
      </c>
    </row>
    <row r="384" spans="1:14" x14ac:dyDescent="0.25">
      <c r="A384">
        <v>140.68169599999999</v>
      </c>
      <c r="B384" s="1">
        <f>DATE(2010,9,18) + TIME(16,21,38)</f>
        <v>40439.681689814817</v>
      </c>
      <c r="C384">
        <v>80</v>
      </c>
      <c r="D384">
        <v>79.908637999999996</v>
      </c>
      <c r="E384">
        <v>50</v>
      </c>
      <c r="F384">
        <v>15.188110352000001</v>
      </c>
      <c r="G384">
        <v>1378.5623779</v>
      </c>
      <c r="H384">
        <v>1366.1337891000001</v>
      </c>
      <c r="I384">
        <v>1261.6326904</v>
      </c>
      <c r="J384">
        <v>1225.2231445</v>
      </c>
      <c r="K384">
        <v>2200</v>
      </c>
      <c r="L384">
        <v>0</v>
      </c>
      <c r="M384">
        <v>0</v>
      </c>
      <c r="N384">
        <v>2200</v>
      </c>
    </row>
    <row r="385" spans="1:14" x14ac:dyDescent="0.25">
      <c r="A385">
        <v>141.72382300000001</v>
      </c>
      <c r="B385" s="1">
        <f>DATE(2010,9,19) + TIME(17,22,18)</f>
        <v>40440.723819444444</v>
      </c>
      <c r="C385">
        <v>80</v>
      </c>
      <c r="D385">
        <v>79.908767699999999</v>
      </c>
      <c r="E385">
        <v>50</v>
      </c>
      <c r="F385">
        <v>15.204815865</v>
      </c>
      <c r="G385">
        <v>1378.5356445</v>
      </c>
      <c r="H385">
        <v>1366.1085204999999</v>
      </c>
      <c r="I385">
        <v>1261.6688231999999</v>
      </c>
      <c r="J385">
        <v>1225.2639160000001</v>
      </c>
      <c r="K385">
        <v>2200</v>
      </c>
      <c r="L385">
        <v>0</v>
      </c>
      <c r="M385">
        <v>0</v>
      </c>
      <c r="N385">
        <v>2200</v>
      </c>
    </row>
    <row r="386" spans="1:14" x14ac:dyDescent="0.25">
      <c r="A386">
        <v>142.76695799999999</v>
      </c>
      <c r="B386" s="1">
        <f>DATE(2010,9,20) + TIME(18,24,25)</f>
        <v>40441.766956018517</v>
      </c>
      <c r="C386">
        <v>80</v>
      </c>
      <c r="D386">
        <v>79.908897400000001</v>
      </c>
      <c r="E386">
        <v>50</v>
      </c>
      <c r="F386">
        <v>15.226400375000001</v>
      </c>
      <c r="G386">
        <v>1378.4819336</v>
      </c>
      <c r="H386">
        <v>1366.0579834</v>
      </c>
      <c r="I386">
        <v>1261.7457274999999</v>
      </c>
      <c r="J386">
        <v>1225.3409423999999</v>
      </c>
      <c r="K386">
        <v>2200</v>
      </c>
      <c r="L386">
        <v>0</v>
      </c>
      <c r="M386">
        <v>0</v>
      </c>
      <c r="N386">
        <v>2200</v>
      </c>
    </row>
    <row r="387" spans="1:14" x14ac:dyDescent="0.25">
      <c r="A387">
        <v>143.82599500000001</v>
      </c>
      <c r="B387" s="1">
        <f>DATE(2010,9,21) + TIME(19,49,25)</f>
        <v>40442.825983796298</v>
      </c>
      <c r="C387">
        <v>80</v>
      </c>
      <c r="D387">
        <v>79.909019470000004</v>
      </c>
      <c r="E387">
        <v>50</v>
      </c>
      <c r="F387">
        <v>15.251937866</v>
      </c>
      <c r="G387">
        <v>1378.4281006000001</v>
      </c>
      <c r="H387">
        <v>1366.0072021000001</v>
      </c>
      <c r="I387">
        <v>1261.8248291</v>
      </c>
      <c r="J387">
        <v>1225.4221190999999</v>
      </c>
      <c r="K387">
        <v>2200</v>
      </c>
      <c r="L387">
        <v>0</v>
      </c>
      <c r="M387">
        <v>0</v>
      </c>
      <c r="N387">
        <v>2200</v>
      </c>
    </row>
    <row r="388" spans="1:14" x14ac:dyDescent="0.25">
      <c r="A388">
        <v>144.36436800000001</v>
      </c>
      <c r="B388" s="1">
        <f>DATE(2010,9,22) + TIME(8,44,41)</f>
        <v>40443.364363425928</v>
      </c>
      <c r="C388">
        <v>80</v>
      </c>
      <c r="D388">
        <v>79.909080505000006</v>
      </c>
      <c r="E388">
        <v>50</v>
      </c>
      <c r="F388">
        <v>15.271904944999999</v>
      </c>
      <c r="G388">
        <v>1378.3735352000001</v>
      </c>
      <c r="H388">
        <v>1365.9558105000001</v>
      </c>
      <c r="I388">
        <v>1261.9101562000001</v>
      </c>
      <c r="J388">
        <v>1225.5042725000001</v>
      </c>
      <c r="K388">
        <v>2200</v>
      </c>
      <c r="L388">
        <v>0</v>
      </c>
      <c r="M388">
        <v>0</v>
      </c>
      <c r="N388">
        <v>2200</v>
      </c>
    </row>
    <row r="389" spans="1:14" x14ac:dyDescent="0.25">
      <c r="A389">
        <v>145.39248699999999</v>
      </c>
      <c r="B389" s="1">
        <f>DATE(2010,9,23) + TIME(9,25,10)</f>
        <v>40444.392476851855</v>
      </c>
      <c r="C389">
        <v>80</v>
      </c>
      <c r="D389">
        <v>79.909202575999998</v>
      </c>
      <c r="E389">
        <v>50</v>
      </c>
      <c r="F389">
        <v>15.299629210999999</v>
      </c>
      <c r="G389">
        <v>1378.3455810999999</v>
      </c>
      <c r="H389">
        <v>1365.9293213000001</v>
      </c>
      <c r="I389">
        <v>1261.9501952999999</v>
      </c>
      <c r="J389">
        <v>1225.5554199000001</v>
      </c>
      <c r="K389">
        <v>2200</v>
      </c>
      <c r="L389">
        <v>0</v>
      </c>
      <c r="M389">
        <v>0</v>
      </c>
      <c r="N389">
        <v>2200</v>
      </c>
    </row>
    <row r="390" spans="1:14" x14ac:dyDescent="0.25">
      <c r="A390">
        <v>145.92576199999999</v>
      </c>
      <c r="B390" s="1">
        <f>DATE(2010,9,23) + TIME(22,13,5)</f>
        <v>40444.925752314812</v>
      </c>
      <c r="C390">
        <v>80</v>
      </c>
      <c r="D390">
        <v>79.909263611</v>
      </c>
      <c r="E390">
        <v>50</v>
      </c>
      <c r="F390">
        <v>15.321946144</v>
      </c>
      <c r="G390">
        <v>1378.2930908000001</v>
      </c>
      <c r="H390">
        <v>1365.8797606999999</v>
      </c>
      <c r="I390">
        <v>1262.0373535000001</v>
      </c>
      <c r="J390">
        <v>1225.6403809000001</v>
      </c>
      <c r="K390">
        <v>2200</v>
      </c>
      <c r="L390">
        <v>0</v>
      </c>
      <c r="M390">
        <v>0</v>
      </c>
      <c r="N390">
        <v>2200</v>
      </c>
    </row>
    <row r="391" spans="1:14" x14ac:dyDescent="0.25">
      <c r="A391">
        <v>146.94461699999999</v>
      </c>
      <c r="B391" s="1">
        <f>DATE(2010,9,24) + TIME(22,40,14)</f>
        <v>40445.944606481484</v>
      </c>
      <c r="C391">
        <v>80</v>
      </c>
      <c r="D391">
        <v>79.909385681000003</v>
      </c>
      <c r="E391">
        <v>50</v>
      </c>
      <c r="F391">
        <v>15.353247643</v>
      </c>
      <c r="G391">
        <v>1378.2653809000001</v>
      </c>
      <c r="H391">
        <v>1365.8535156</v>
      </c>
      <c r="I391">
        <v>1262.0787353999999</v>
      </c>
      <c r="J391">
        <v>1225.6948242000001</v>
      </c>
      <c r="K391">
        <v>2200</v>
      </c>
      <c r="L391">
        <v>0</v>
      </c>
      <c r="M391">
        <v>0</v>
      </c>
      <c r="N391">
        <v>2200</v>
      </c>
    </row>
    <row r="392" spans="1:14" x14ac:dyDescent="0.25">
      <c r="A392">
        <v>148.00591600000001</v>
      </c>
      <c r="B392" s="1">
        <f>DATE(2010,9,26) + TIME(0,8,31)</f>
        <v>40447.005914351852</v>
      </c>
      <c r="C392">
        <v>80</v>
      </c>
      <c r="D392">
        <v>79.909515381000006</v>
      </c>
      <c r="E392">
        <v>50</v>
      </c>
      <c r="F392">
        <v>15.390649796</v>
      </c>
      <c r="G392">
        <v>1378.213501</v>
      </c>
      <c r="H392">
        <v>1365.8045654</v>
      </c>
      <c r="I392">
        <v>1262.1658935999999</v>
      </c>
      <c r="J392">
        <v>1225.7899170000001</v>
      </c>
      <c r="K392">
        <v>2200</v>
      </c>
      <c r="L392">
        <v>0</v>
      </c>
      <c r="M392">
        <v>0</v>
      </c>
      <c r="N392">
        <v>2200</v>
      </c>
    </row>
    <row r="393" spans="1:14" x14ac:dyDescent="0.25">
      <c r="A393">
        <v>149.07099199999999</v>
      </c>
      <c r="B393" s="1">
        <f>DATE(2010,9,27) + TIME(1,42,13)</f>
        <v>40448.070983796293</v>
      </c>
      <c r="C393">
        <v>80</v>
      </c>
      <c r="D393">
        <v>79.909637450999995</v>
      </c>
      <c r="E393">
        <v>50</v>
      </c>
      <c r="F393">
        <v>15.433507919</v>
      </c>
      <c r="G393">
        <v>1378.1593018000001</v>
      </c>
      <c r="H393">
        <v>1365.753418</v>
      </c>
      <c r="I393">
        <v>1262.2596435999999</v>
      </c>
      <c r="J393">
        <v>1225.8937988</v>
      </c>
      <c r="K393">
        <v>2200</v>
      </c>
      <c r="L393">
        <v>0</v>
      </c>
      <c r="M393">
        <v>0</v>
      </c>
      <c r="N393">
        <v>2200</v>
      </c>
    </row>
    <row r="394" spans="1:14" x14ac:dyDescent="0.25">
      <c r="A394">
        <v>149.60612499999999</v>
      </c>
      <c r="B394" s="1">
        <f>DATE(2010,9,27) + TIME(14,32,49)</f>
        <v>40448.606122685182</v>
      </c>
      <c r="C394">
        <v>80</v>
      </c>
      <c r="D394">
        <v>79.909690857000001</v>
      </c>
      <c r="E394">
        <v>50</v>
      </c>
      <c r="F394">
        <v>15.466223717</v>
      </c>
      <c r="G394">
        <v>1378.1051024999999</v>
      </c>
      <c r="H394">
        <v>1365.7020264</v>
      </c>
      <c r="I394">
        <v>1262.3612060999999</v>
      </c>
      <c r="J394">
        <v>1225.9968262</v>
      </c>
      <c r="K394">
        <v>2200</v>
      </c>
      <c r="L394">
        <v>0</v>
      </c>
      <c r="M394">
        <v>0</v>
      </c>
      <c r="N394">
        <v>2200</v>
      </c>
    </row>
    <row r="395" spans="1:14" x14ac:dyDescent="0.25">
      <c r="A395">
        <v>150.135289</v>
      </c>
      <c r="B395" s="1">
        <f>DATE(2010,9,28) + TIME(3,14,48)</f>
        <v>40449.135277777779</v>
      </c>
      <c r="C395">
        <v>80</v>
      </c>
      <c r="D395">
        <v>79.909751892000003</v>
      </c>
      <c r="E395">
        <v>50</v>
      </c>
      <c r="F395">
        <v>15.497332573</v>
      </c>
      <c r="G395">
        <v>1378.0771483999999</v>
      </c>
      <c r="H395">
        <v>1365.6755370999999</v>
      </c>
      <c r="I395">
        <v>1262.4102783000001</v>
      </c>
      <c r="J395">
        <v>1226.0571289</v>
      </c>
      <c r="K395">
        <v>2200</v>
      </c>
      <c r="L395">
        <v>0</v>
      </c>
      <c r="M395">
        <v>0</v>
      </c>
      <c r="N395">
        <v>2200</v>
      </c>
    </row>
    <row r="396" spans="1:14" x14ac:dyDescent="0.25">
      <c r="A396">
        <v>150.66445300000001</v>
      </c>
      <c r="B396" s="1">
        <f>DATE(2010,9,28) + TIME(15,56,48)</f>
        <v>40449.664444444446</v>
      </c>
      <c r="C396">
        <v>80</v>
      </c>
      <c r="D396">
        <v>79.909812927000004</v>
      </c>
      <c r="E396">
        <v>50</v>
      </c>
      <c r="F396">
        <v>15.528020859</v>
      </c>
      <c r="G396">
        <v>1378.0501709</v>
      </c>
      <c r="H396">
        <v>1365.6499022999999</v>
      </c>
      <c r="I396">
        <v>1262.4598389</v>
      </c>
      <c r="J396">
        <v>1226.1173096</v>
      </c>
      <c r="K396">
        <v>2200</v>
      </c>
      <c r="L396">
        <v>0</v>
      </c>
      <c r="M396">
        <v>0</v>
      </c>
      <c r="N396">
        <v>2200</v>
      </c>
    </row>
    <row r="397" spans="1:14" x14ac:dyDescent="0.25">
      <c r="A397">
        <v>151.19361699999999</v>
      </c>
      <c r="B397" s="1">
        <f>DATE(2010,9,29) + TIME(4,38,48)</f>
        <v>40450.193611111114</v>
      </c>
      <c r="C397">
        <v>80</v>
      </c>
      <c r="D397">
        <v>79.909873962000006</v>
      </c>
      <c r="E397">
        <v>50</v>
      </c>
      <c r="F397">
        <v>15.558938026</v>
      </c>
      <c r="G397">
        <v>1378.0231934000001</v>
      </c>
      <c r="H397">
        <v>1365.6243896000001</v>
      </c>
      <c r="I397">
        <v>1262.510376</v>
      </c>
      <c r="J397">
        <v>1226.1785889</v>
      </c>
      <c r="K397">
        <v>2200</v>
      </c>
      <c r="L397">
        <v>0</v>
      </c>
      <c r="M397">
        <v>0</v>
      </c>
      <c r="N397">
        <v>2200</v>
      </c>
    </row>
    <row r="398" spans="1:14" x14ac:dyDescent="0.25">
      <c r="A398">
        <v>151.722782</v>
      </c>
      <c r="B398" s="1">
        <f>DATE(2010,9,29) + TIME(17,20,48)</f>
        <v>40450.722777777781</v>
      </c>
      <c r="C398">
        <v>80</v>
      </c>
      <c r="D398">
        <v>79.909934997999997</v>
      </c>
      <c r="E398">
        <v>50</v>
      </c>
      <c r="F398">
        <v>15.590518951</v>
      </c>
      <c r="G398">
        <v>1377.9962158000001</v>
      </c>
      <c r="H398">
        <v>1365.5988769999999</v>
      </c>
      <c r="I398">
        <v>1262.5618896000001</v>
      </c>
      <c r="J398">
        <v>1226.2410889</v>
      </c>
      <c r="K398">
        <v>2200</v>
      </c>
      <c r="L398">
        <v>0</v>
      </c>
      <c r="M398">
        <v>0</v>
      </c>
      <c r="N398">
        <v>2200</v>
      </c>
    </row>
    <row r="399" spans="1:14" x14ac:dyDescent="0.25">
      <c r="A399">
        <v>152.251946</v>
      </c>
      <c r="B399" s="1">
        <f>DATE(2010,9,30) + TIME(6,2,48)</f>
        <v>40451.251944444448</v>
      </c>
      <c r="C399">
        <v>80</v>
      </c>
      <c r="D399">
        <v>79.909996032999999</v>
      </c>
      <c r="E399">
        <v>50</v>
      </c>
      <c r="F399">
        <v>15.623060226</v>
      </c>
      <c r="G399">
        <v>1377.9692382999999</v>
      </c>
      <c r="H399">
        <v>1365.5733643000001</v>
      </c>
      <c r="I399">
        <v>1262.6143798999999</v>
      </c>
      <c r="J399">
        <v>1226.3049315999999</v>
      </c>
      <c r="K399">
        <v>2200</v>
      </c>
      <c r="L399">
        <v>0</v>
      </c>
      <c r="M399">
        <v>0</v>
      </c>
      <c r="N399">
        <v>2200</v>
      </c>
    </row>
    <row r="400" spans="1:14" x14ac:dyDescent="0.25">
      <c r="A400">
        <v>153</v>
      </c>
      <c r="B400" s="1">
        <f>DATE(2010,10,1) + TIME(0,0,0)</f>
        <v>40452</v>
      </c>
      <c r="C400">
        <v>80</v>
      </c>
      <c r="D400">
        <v>79.910087584999999</v>
      </c>
      <c r="E400">
        <v>50</v>
      </c>
      <c r="F400">
        <v>15.664535522</v>
      </c>
      <c r="G400">
        <v>1377.9425048999999</v>
      </c>
      <c r="H400">
        <v>1365.5479736</v>
      </c>
      <c r="I400">
        <v>1262.6650391000001</v>
      </c>
      <c r="J400">
        <v>1226.3734131000001</v>
      </c>
      <c r="K400">
        <v>2200</v>
      </c>
      <c r="L400">
        <v>0</v>
      </c>
      <c r="M400">
        <v>0</v>
      </c>
      <c r="N400">
        <v>2200</v>
      </c>
    </row>
    <row r="401" spans="1:14" x14ac:dyDescent="0.25">
      <c r="A401">
        <v>153.52916400000001</v>
      </c>
      <c r="B401" s="1">
        <f>DATE(2010,10,1) + TIME(12,41,59)</f>
        <v>40452.52915509259</v>
      </c>
      <c r="C401">
        <v>80</v>
      </c>
      <c r="D401">
        <v>79.910148621000005</v>
      </c>
      <c r="E401">
        <v>50</v>
      </c>
      <c r="F401">
        <v>15.702335357999999</v>
      </c>
      <c r="G401">
        <v>1377.9046631000001</v>
      </c>
      <c r="H401">
        <v>1365.5120850000001</v>
      </c>
      <c r="I401">
        <v>1262.7454834</v>
      </c>
      <c r="J401">
        <v>1226.4628906</v>
      </c>
      <c r="K401">
        <v>2200</v>
      </c>
      <c r="L401">
        <v>0</v>
      </c>
      <c r="M401">
        <v>0</v>
      </c>
      <c r="N401">
        <v>2200</v>
      </c>
    </row>
    <row r="402" spans="1:14" x14ac:dyDescent="0.25">
      <c r="A402">
        <v>154.05078599999999</v>
      </c>
      <c r="B402" s="1">
        <f>DATE(2010,10,2) + TIME(1,13,7)</f>
        <v>40453.050775462965</v>
      </c>
      <c r="C402">
        <v>80</v>
      </c>
      <c r="D402">
        <v>79.910209656000006</v>
      </c>
      <c r="E402">
        <v>50</v>
      </c>
      <c r="F402">
        <v>15.740456581</v>
      </c>
      <c r="G402">
        <v>1377.8774414</v>
      </c>
      <c r="H402">
        <v>1365.4863281</v>
      </c>
      <c r="I402">
        <v>1262.8005370999999</v>
      </c>
      <c r="J402">
        <v>1226.5327147999999</v>
      </c>
      <c r="K402">
        <v>2200</v>
      </c>
      <c r="L402">
        <v>0</v>
      </c>
      <c r="M402">
        <v>0</v>
      </c>
      <c r="N402">
        <v>2200</v>
      </c>
    </row>
    <row r="403" spans="1:14" x14ac:dyDescent="0.25">
      <c r="A403">
        <v>154.572408</v>
      </c>
      <c r="B403" s="1">
        <f>DATE(2010,10,2) + TIME(13,44,16)</f>
        <v>40453.57240740741</v>
      </c>
      <c r="C403">
        <v>80</v>
      </c>
      <c r="D403">
        <v>79.910263061999999</v>
      </c>
      <c r="E403">
        <v>50</v>
      </c>
      <c r="F403">
        <v>15.779530525</v>
      </c>
      <c r="G403">
        <v>1377.8509521000001</v>
      </c>
      <c r="H403">
        <v>1365.4611815999999</v>
      </c>
      <c r="I403">
        <v>1262.8557129000001</v>
      </c>
      <c r="J403">
        <v>1226.6032714999999</v>
      </c>
      <c r="K403">
        <v>2200</v>
      </c>
      <c r="L403">
        <v>0</v>
      </c>
      <c r="M403">
        <v>0</v>
      </c>
      <c r="N403">
        <v>2200</v>
      </c>
    </row>
    <row r="404" spans="1:14" x14ac:dyDescent="0.25">
      <c r="A404">
        <v>155.09403</v>
      </c>
      <c r="B404" s="1">
        <f>DATE(2010,10,3) + TIME(2,15,24)</f>
        <v>40454.094027777777</v>
      </c>
      <c r="C404">
        <v>80</v>
      </c>
      <c r="D404">
        <v>79.910324097</v>
      </c>
      <c r="E404">
        <v>50</v>
      </c>
      <c r="F404">
        <v>15.819823265</v>
      </c>
      <c r="G404">
        <v>1377.8245850000001</v>
      </c>
      <c r="H404">
        <v>1365.4360352000001</v>
      </c>
      <c r="I404">
        <v>1262.9117432</v>
      </c>
      <c r="J404">
        <v>1226.675293</v>
      </c>
      <c r="K404">
        <v>2200</v>
      </c>
      <c r="L404">
        <v>0</v>
      </c>
      <c r="M404">
        <v>0</v>
      </c>
      <c r="N404">
        <v>2200</v>
      </c>
    </row>
    <row r="405" spans="1:14" x14ac:dyDescent="0.25">
      <c r="A405">
        <v>155.61565200000001</v>
      </c>
      <c r="B405" s="1">
        <f>DATE(2010,10,3) + TIME(14,46,32)</f>
        <v>40454.615648148145</v>
      </c>
      <c r="C405">
        <v>80</v>
      </c>
      <c r="D405">
        <v>79.910385132000002</v>
      </c>
      <c r="E405">
        <v>50</v>
      </c>
      <c r="F405">
        <v>15.861524581999999</v>
      </c>
      <c r="G405">
        <v>1377.7980957</v>
      </c>
      <c r="H405">
        <v>1365.4108887</v>
      </c>
      <c r="I405">
        <v>1262.9686279</v>
      </c>
      <c r="J405">
        <v>1226.7490233999999</v>
      </c>
      <c r="K405">
        <v>2200</v>
      </c>
      <c r="L405">
        <v>0</v>
      </c>
      <c r="M405">
        <v>0</v>
      </c>
      <c r="N405">
        <v>2200</v>
      </c>
    </row>
    <row r="406" spans="1:14" x14ac:dyDescent="0.25">
      <c r="A406">
        <v>156.13727399999999</v>
      </c>
      <c r="B406" s="1">
        <f>DATE(2010,10,4) + TIME(3,17,40)</f>
        <v>40455.13726851852</v>
      </c>
      <c r="C406">
        <v>80</v>
      </c>
      <c r="D406">
        <v>79.910446167000003</v>
      </c>
      <c r="E406">
        <v>50</v>
      </c>
      <c r="F406">
        <v>15.904771804999999</v>
      </c>
      <c r="G406">
        <v>1377.7716064000001</v>
      </c>
      <c r="H406">
        <v>1365.3857422000001</v>
      </c>
      <c r="I406">
        <v>1263.0263672000001</v>
      </c>
      <c r="J406">
        <v>1226.8245850000001</v>
      </c>
      <c r="K406">
        <v>2200</v>
      </c>
      <c r="L406">
        <v>0</v>
      </c>
      <c r="M406">
        <v>0</v>
      </c>
      <c r="N406">
        <v>2200</v>
      </c>
    </row>
    <row r="407" spans="1:14" x14ac:dyDescent="0.25">
      <c r="A407">
        <v>156.658896</v>
      </c>
      <c r="B407" s="1">
        <f>DATE(2010,10,4) + TIME(15,48,48)</f>
        <v>40455.658888888887</v>
      </c>
      <c r="C407">
        <v>80</v>
      </c>
      <c r="D407">
        <v>79.910507202000005</v>
      </c>
      <c r="E407">
        <v>50</v>
      </c>
      <c r="F407">
        <v>15.949668883999999</v>
      </c>
      <c r="G407">
        <v>1377.7452393000001</v>
      </c>
      <c r="H407">
        <v>1365.3607178</v>
      </c>
      <c r="I407">
        <v>1263.0848389</v>
      </c>
      <c r="J407">
        <v>1226.9018555</v>
      </c>
      <c r="K407">
        <v>2200</v>
      </c>
      <c r="L407">
        <v>0</v>
      </c>
      <c r="M407">
        <v>0</v>
      </c>
      <c r="N407">
        <v>2200</v>
      </c>
    </row>
    <row r="408" spans="1:14" x14ac:dyDescent="0.25">
      <c r="A408">
        <v>157.18051800000001</v>
      </c>
      <c r="B408" s="1">
        <f>DATE(2010,10,5) + TIME(4,19,56)</f>
        <v>40456.180509259262</v>
      </c>
      <c r="C408">
        <v>80</v>
      </c>
      <c r="D408">
        <v>79.910568237000007</v>
      </c>
      <c r="E408">
        <v>50</v>
      </c>
      <c r="F408">
        <v>15.996300697000001</v>
      </c>
      <c r="G408">
        <v>1377.71875</v>
      </c>
      <c r="H408">
        <v>1365.3355713000001</v>
      </c>
      <c r="I408">
        <v>1263.1442870999999</v>
      </c>
      <c r="J408">
        <v>1226.9810791</v>
      </c>
      <c r="K408">
        <v>2200</v>
      </c>
      <c r="L408">
        <v>0</v>
      </c>
      <c r="M408">
        <v>0</v>
      </c>
      <c r="N408">
        <v>2200</v>
      </c>
    </row>
    <row r="409" spans="1:14" x14ac:dyDescent="0.25">
      <c r="A409">
        <v>157.70214000000001</v>
      </c>
      <c r="B409" s="1">
        <f>DATE(2010,10,5) + TIME(16,51,4)</f>
        <v>40456.70212962963</v>
      </c>
      <c r="C409">
        <v>80</v>
      </c>
      <c r="D409">
        <v>79.910629271999994</v>
      </c>
      <c r="E409">
        <v>50</v>
      </c>
      <c r="F409">
        <v>16.04473114</v>
      </c>
      <c r="G409">
        <v>1377.6923827999999</v>
      </c>
      <c r="H409">
        <v>1365.3104248</v>
      </c>
      <c r="I409">
        <v>1263.2043457</v>
      </c>
      <c r="J409">
        <v>1227.0623779</v>
      </c>
      <c r="K409">
        <v>2200</v>
      </c>
      <c r="L409">
        <v>0</v>
      </c>
      <c r="M409">
        <v>0</v>
      </c>
      <c r="N409">
        <v>2200</v>
      </c>
    </row>
    <row r="410" spans="1:14" x14ac:dyDescent="0.25">
      <c r="A410">
        <v>158.745384</v>
      </c>
      <c r="B410" s="1">
        <f>DATE(2010,10,6) + TIME(17,53,21)</f>
        <v>40457.745381944442</v>
      </c>
      <c r="C410">
        <v>80</v>
      </c>
      <c r="D410">
        <v>79.910751343000001</v>
      </c>
      <c r="E410">
        <v>50</v>
      </c>
      <c r="F410">
        <v>16.118793488000001</v>
      </c>
      <c r="G410">
        <v>1377.6662598</v>
      </c>
      <c r="H410">
        <v>1365.2856445</v>
      </c>
      <c r="I410">
        <v>1263.2580565999999</v>
      </c>
      <c r="J410">
        <v>1227.15625</v>
      </c>
      <c r="K410">
        <v>2200</v>
      </c>
      <c r="L410">
        <v>0</v>
      </c>
      <c r="M410">
        <v>0</v>
      </c>
      <c r="N410">
        <v>2200</v>
      </c>
    </row>
    <row r="411" spans="1:14" x14ac:dyDescent="0.25">
      <c r="A411">
        <v>159.791652</v>
      </c>
      <c r="B411" s="1">
        <f>DATE(2010,10,7) + TIME(18,59,58)</f>
        <v>40458.791643518518</v>
      </c>
      <c r="C411">
        <v>80</v>
      </c>
      <c r="D411">
        <v>79.910873413000004</v>
      </c>
      <c r="E411">
        <v>50</v>
      </c>
      <c r="F411">
        <v>16.212667464999999</v>
      </c>
      <c r="G411">
        <v>1377.6138916</v>
      </c>
      <c r="H411">
        <v>1365.2358397999999</v>
      </c>
      <c r="I411">
        <v>1263.3842772999999</v>
      </c>
      <c r="J411">
        <v>1227.3212891000001</v>
      </c>
      <c r="K411">
        <v>2200</v>
      </c>
      <c r="L411">
        <v>0</v>
      </c>
      <c r="M411">
        <v>0</v>
      </c>
      <c r="N411">
        <v>2200</v>
      </c>
    </row>
    <row r="412" spans="1:14" x14ac:dyDescent="0.25">
      <c r="A412">
        <v>160.86026200000001</v>
      </c>
      <c r="B412" s="1">
        <f>DATE(2010,10,8) + TIME(20,38,46)</f>
        <v>40459.860254629632</v>
      </c>
      <c r="C412">
        <v>80</v>
      </c>
      <c r="D412">
        <v>79.911003113000007</v>
      </c>
      <c r="E412">
        <v>50</v>
      </c>
      <c r="F412">
        <v>16.321416854999999</v>
      </c>
      <c r="G412">
        <v>1377.5611572</v>
      </c>
      <c r="H412">
        <v>1365.1856689000001</v>
      </c>
      <c r="I412">
        <v>1263.512207</v>
      </c>
      <c r="J412">
        <v>1227.4984131000001</v>
      </c>
      <c r="K412">
        <v>2200</v>
      </c>
      <c r="L412">
        <v>0</v>
      </c>
      <c r="M412">
        <v>0</v>
      </c>
      <c r="N412">
        <v>2200</v>
      </c>
    </row>
    <row r="413" spans="1:14" x14ac:dyDescent="0.25">
      <c r="A413">
        <v>161.95271099999999</v>
      </c>
      <c r="B413" s="1">
        <f>DATE(2010,10,9) + TIME(22,51,54)</f>
        <v>40460.952708333331</v>
      </c>
      <c r="C413">
        <v>80</v>
      </c>
      <c r="D413">
        <v>79.911125182999996</v>
      </c>
      <c r="E413">
        <v>50</v>
      </c>
      <c r="F413">
        <v>16.443490982</v>
      </c>
      <c r="G413">
        <v>1377.5073242000001</v>
      </c>
      <c r="H413">
        <v>1365.1343993999999</v>
      </c>
      <c r="I413">
        <v>1263.6453856999999</v>
      </c>
      <c r="J413">
        <v>1227.6893310999999</v>
      </c>
      <c r="K413">
        <v>2200</v>
      </c>
      <c r="L413">
        <v>0</v>
      </c>
      <c r="M413">
        <v>0</v>
      </c>
      <c r="N413">
        <v>2200</v>
      </c>
    </row>
    <row r="414" spans="1:14" x14ac:dyDescent="0.25">
      <c r="A414">
        <v>162.502197</v>
      </c>
      <c r="B414" s="1">
        <f>DATE(2010,10,10) + TIME(12,3,9)</f>
        <v>40461.502187500002</v>
      </c>
      <c r="C414">
        <v>80</v>
      </c>
      <c r="D414">
        <v>79.911186217999997</v>
      </c>
      <c r="E414">
        <v>50</v>
      </c>
      <c r="F414">
        <v>16.535524368000001</v>
      </c>
      <c r="G414">
        <v>1377.4525146000001</v>
      </c>
      <c r="H414">
        <v>1365.0822754000001</v>
      </c>
      <c r="I414">
        <v>1263.7974853999999</v>
      </c>
      <c r="J414">
        <v>1227.8746338000001</v>
      </c>
      <c r="K414">
        <v>2200</v>
      </c>
      <c r="L414">
        <v>0</v>
      </c>
      <c r="M414">
        <v>0</v>
      </c>
      <c r="N414">
        <v>2200</v>
      </c>
    </row>
    <row r="415" spans="1:14" x14ac:dyDescent="0.25">
      <c r="A415">
        <v>163.51173700000001</v>
      </c>
      <c r="B415" s="1">
        <f>DATE(2010,10,11) + TIME(12,16,54)</f>
        <v>40462.511736111112</v>
      </c>
      <c r="C415">
        <v>80</v>
      </c>
      <c r="D415">
        <v>79.911300659000005</v>
      </c>
      <c r="E415">
        <v>50</v>
      </c>
      <c r="F415">
        <v>16.656709671000002</v>
      </c>
      <c r="G415">
        <v>1377.4243164</v>
      </c>
      <c r="H415">
        <v>1365.0552978999999</v>
      </c>
      <c r="I415">
        <v>1263.8549805</v>
      </c>
      <c r="J415">
        <v>1228.0057373</v>
      </c>
      <c r="K415">
        <v>2200</v>
      </c>
      <c r="L415">
        <v>0</v>
      </c>
      <c r="M415">
        <v>0</v>
      </c>
      <c r="N415">
        <v>2200</v>
      </c>
    </row>
    <row r="416" spans="1:14" x14ac:dyDescent="0.25">
      <c r="A416">
        <v>164.600729</v>
      </c>
      <c r="B416" s="1">
        <f>DATE(2010,10,12) + TIME(14,25,3)</f>
        <v>40463.600729166668</v>
      </c>
      <c r="C416">
        <v>80</v>
      </c>
      <c r="D416">
        <v>79.911430358999993</v>
      </c>
      <c r="E416">
        <v>50</v>
      </c>
      <c r="F416">
        <v>16.796045303</v>
      </c>
      <c r="G416">
        <v>1377.3739014</v>
      </c>
      <c r="H416">
        <v>1365.0072021000001</v>
      </c>
      <c r="I416">
        <v>1263.987793</v>
      </c>
      <c r="J416">
        <v>1228.2094727000001</v>
      </c>
      <c r="K416">
        <v>2200</v>
      </c>
      <c r="L416">
        <v>0</v>
      </c>
      <c r="M416">
        <v>0</v>
      </c>
      <c r="N416">
        <v>2200</v>
      </c>
    </row>
    <row r="417" spans="1:14" x14ac:dyDescent="0.25">
      <c r="A417">
        <v>165.69610299999999</v>
      </c>
      <c r="B417" s="1">
        <f>DATE(2010,10,13) + TIME(16,42,23)</f>
        <v>40464.696099537039</v>
      </c>
      <c r="C417">
        <v>80</v>
      </c>
      <c r="D417">
        <v>79.911552428999997</v>
      </c>
      <c r="E417">
        <v>50</v>
      </c>
      <c r="F417">
        <v>16.951009750000001</v>
      </c>
      <c r="G417">
        <v>1377.3192139</v>
      </c>
      <c r="H417">
        <v>1364.9552002</v>
      </c>
      <c r="I417">
        <v>1264.1352539</v>
      </c>
      <c r="J417">
        <v>1228.4364014</v>
      </c>
      <c r="K417">
        <v>2200</v>
      </c>
      <c r="L417">
        <v>0</v>
      </c>
      <c r="M417">
        <v>0</v>
      </c>
      <c r="N417">
        <v>2200</v>
      </c>
    </row>
    <row r="418" spans="1:14" x14ac:dyDescent="0.25">
      <c r="A418">
        <v>166.24776600000001</v>
      </c>
      <c r="B418" s="1">
        <f>DATE(2010,10,14) + TIME(5,56,46)</f>
        <v>40465.247754629629</v>
      </c>
      <c r="C418">
        <v>80</v>
      </c>
      <c r="D418">
        <v>79.911605835000003</v>
      </c>
      <c r="E418">
        <v>50</v>
      </c>
      <c r="F418">
        <v>17.066747665000001</v>
      </c>
      <c r="G418">
        <v>1377.2645264</v>
      </c>
      <c r="H418">
        <v>1364.9029541</v>
      </c>
      <c r="I418">
        <v>1264.3016356999999</v>
      </c>
      <c r="J418">
        <v>1228.6517334</v>
      </c>
      <c r="K418">
        <v>2200</v>
      </c>
      <c r="L418">
        <v>0</v>
      </c>
      <c r="M418">
        <v>0</v>
      </c>
      <c r="N418">
        <v>2200</v>
      </c>
    </row>
    <row r="419" spans="1:14" x14ac:dyDescent="0.25">
      <c r="A419">
        <v>167.29153700000001</v>
      </c>
      <c r="B419" s="1">
        <f>DATE(2010,10,15) + TIME(6,59,48)</f>
        <v>40466.291527777779</v>
      </c>
      <c r="C419">
        <v>80</v>
      </c>
      <c r="D419">
        <v>79.911727905000006</v>
      </c>
      <c r="E419">
        <v>50</v>
      </c>
      <c r="F419">
        <v>17.219860077</v>
      </c>
      <c r="G419">
        <v>1377.2363281</v>
      </c>
      <c r="H419">
        <v>1364.8760986</v>
      </c>
      <c r="I419">
        <v>1264.3613281</v>
      </c>
      <c r="J419">
        <v>1228.8079834</v>
      </c>
      <c r="K419">
        <v>2200</v>
      </c>
      <c r="L419">
        <v>0</v>
      </c>
      <c r="M419">
        <v>0</v>
      </c>
      <c r="N419">
        <v>2200</v>
      </c>
    </row>
    <row r="420" spans="1:14" x14ac:dyDescent="0.25">
      <c r="A420">
        <v>168.38179199999999</v>
      </c>
      <c r="B420" s="1">
        <f>DATE(2010,10,16) + TIME(9,9,46)</f>
        <v>40467.381782407407</v>
      </c>
      <c r="C420">
        <v>80</v>
      </c>
      <c r="D420">
        <v>79.911857604999994</v>
      </c>
      <c r="E420">
        <v>50</v>
      </c>
      <c r="F420">
        <v>17.393360137999998</v>
      </c>
      <c r="G420">
        <v>1377.1845702999999</v>
      </c>
      <c r="H420">
        <v>1364.8265381000001</v>
      </c>
      <c r="I420">
        <v>1264.5097656</v>
      </c>
      <c r="J420">
        <v>1229.0501709</v>
      </c>
      <c r="K420">
        <v>2200</v>
      </c>
      <c r="L420">
        <v>0</v>
      </c>
      <c r="M420">
        <v>0</v>
      </c>
      <c r="N420">
        <v>2200</v>
      </c>
    </row>
    <row r="421" spans="1:14" x14ac:dyDescent="0.25">
      <c r="A421">
        <v>169.47732099999999</v>
      </c>
      <c r="B421" s="1">
        <f>DATE(2010,10,17) + TIME(11,27,20)</f>
        <v>40468.477314814816</v>
      </c>
      <c r="C421">
        <v>80</v>
      </c>
      <c r="D421">
        <v>79.911979674999998</v>
      </c>
      <c r="E421">
        <v>50</v>
      </c>
      <c r="F421">
        <v>17.583169937000001</v>
      </c>
      <c r="G421">
        <v>1377.130249</v>
      </c>
      <c r="H421">
        <v>1364.7746582</v>
      </c>
      <c r="I421">
        <v>1264.6679687999999</v>
      </c>
      <c r="J421">
        <v>1229.3125</v>
      </c>
      <c r="K421">
        <v>2200</v>
      </c>
      <c r="L421">
        <v>0</v>
      </c>
      <c r="M421">
        <v>0</v>
      </c>
      <c r="N421">
        <v>2200</v>
      </c>
    </row>
    <row r="422" spans="1:14" x14ac:dyDescent="0.25">
      <c r="A422">
        <v>170.58222799999999</v>
      </c>
      <c r="B422" s="1">
        <f>DATE(2010,10,18) + TIME(13,58,24)</f>
        <v>40469.58222222222</v>
      </c>
      <c r="C422">
        <v>80</v>
      </c>
      <c r="D422">
        <v>79.912101746000005</v>
      </c>
      <c r="E422">
        <v>50</v>
      </c>
      <c r="F422">
        <v>17.786745070999999</v>
      </c>
      <c r="G422">
        <v>1377.0756836</v>
      </c>
      <c r="H422">
        <v>1364.7226562000001</v>
      </c>
      <c r="I422">
        <v>1264.8291016000001</v>
      </c>
      <c r="J422">
        <v>1229.5876464999999</v>
      </c>
      <c r="K422">
        <v>2200</v>
      </c>
      <c r="L422">
        <v>0</v>
      </c>
      <c r="M422">
        <v>0</v>
      </c>
      <c r="N422">
        <v>2200</v>
      </c>
    </row>
    <row r="423" spans="1:14" x14ac:dyDescent="0.25">
      <c r="A423">
        <v>171.69973899999999</v>
      </c>
      <c r="B423" s="1">
        <f>DATE(2010,10,19) + TIME(16,47,37)</f>
        <v>40470.699733796297</v>
      </c>
      <c r="C423">
        <v>80</v>
      </c>
      <c r="D423">
        <v>79.912231445000003</v>
      </c>
      <c r="E423">
        <v>50</v>
      </c>
      <c r="F423">
        <v>18.003274917999999</v>
      </c>
      <c r="G423">
        <v>1377.0209961</v>
      </c>
      <c r="H423">
        <v>1364.6702881000001</v>
      </c>
      <c r="I423">
        <v>1264.9940185999999</v>
      </c>
      <c r="J423">
        <v>1229.8756103999999</v>
      </c>
      <c r="K423">
        <v>2200</v>
      </c>
      <c r="L423">
        <v>0</v>
      </c>
      <c r="M423">
        <v>0</v>
      </c>
      <c r="N423">
        <v>2200</v>
      </c>
    </row>
    <row r="424" spans="1:14" x14ac:dyDescent="0.25">
      <c r="A424">
        <v>172.83280199999999</v>
      </c>
      <c r="B424" s="1">
        <f>DATE(2010,10,20) + TIME(19,59,14)</f>
        <v>40471.832800925928</v>
      </c>
      <c r="C424">
        <v>80</v>
      </c>
      <c r="D424">
        <v>79.912353515999996</v>
      </c>
      <c r="E424">
        <v>50</v>
      </c>
      <c r="F424">
        <v>18.232702255</v>
      </c>
      <c r="G424">
        <v>1376.9658202999999</v>
      </c>
      <c r="H424">
        <v>1364.6174315999999</v>
      </c>
      <c r="I424">
        <v>1265.1633300999999</v>
      </c>
      <c r="J424">
        <v>1230.177124</v>
      </c>
      <c r="K424">
        <v>2200</v>
      </c>
      <c r="L424">
        <v>0</v>
      </c>
      <c r="M424">
        <v>0</v>
      </c>
      <c r="N424">
        <v>2200</v>
      </c>
    </row>
    <row r="425" spans="1:14" x14ac:dyDescent="0.25">
      <c r="A425">
        <v>173.97975700000001</v>
      </c>
      <c r="B425" s="1">
        <f>DATE(2010,10,21) + TIME(23,30,50)</f>
        <v>40472.979745370372</v>
      </c>
      <c r="C425">
        <v>80</v>
      </c>
      <c r="D425">
        <v>79.912483214999995</v>
      </c>
      <c r="E425">
        <v>50</v>
      </c>
      <c r="F425">
        <v>18.474874496000002</v>
      </c>
      <c r="G425">
        <v>1376.9100341999999</v>
      </c>
      <c r="H425">
        <v>1364.5640868999999</v>
      </c>
      <c r="I425">
        <v>1265.3378906</v>
      </c>
      <c r="J425">
        <v>1230.4924315999999</v>
      </c>
      <c r="K425">
        <v>2200</v>
      </c>
      <c r="L425">
        <v>0</v>
      </c>
      <c r="M425">
        <v>0</v>
      </c>
      <c r="N425">
        <v>2200</v>
      </c>
    </row>
    <row r="426" spans="1:14" x14ac:dyDescent="0.25">
      <c r="A426">
        <v>175.137484</v>
      </c>
      <c r="B426" s="1">
        <f>DATE(2010,10,23) + TIME(3,17,58)</f>
        <v>40474.137476851851</v>
      </c>
      <c r="C426">
        <v>80</v>
      </c>
      <c r="D426">
        <v>79.912612914999997</v>
      </c>
      <c r="E426">
        <v>50</v>
      </c>
      <c r="F426">
        <v>18.729257583999999</v>
      </c>
      <c r="G426">
        <v>1376.8537598</v>
      </c>
      <c r="H426">
        <v>1364.510376</v>
      </c>
      <c r="I426">
        <v>1265.5172118999999</v>
      </c>
      <c r="J426">
        <v>1230.8211670000001</v>
      </c>
      <c r="K426">
        <v>2200</v>
      </c>
      <c r="L426">
        <v>0</v>
      </c>
      <c r="M426">
        <v>0</v>
      </c>
      <c r="N426">
        <v>2200</v>
      </c>
    </row>
    <row r="427" spans="1:14" x14ac:dyDescent="0.25">
      <c r="A427">
        <v>176.309211</v>
      </c>
      <c r="B427" s="1">
        <f>DATE(2010,10,24) + TIME(7,25,15)</f>
        <v>40475.309201388889</v>
      </c>
      <c r="C427">
        <v>80</v>
      </c>
      <c r="D427">
        <v>79.912742614999999</v>
      </c>
      <c r="E427">
        <v>50</v>
      </c>
      <c r="F427">
        <v>18.995611190999998</v>
      </c>
      <c r="G427">
        <v>1376.7973632999999</v>
      </c>
      <c r="H427">
        <v>1364.4562988</v>
      </c>
      <c r="I427">
        <v>1265.7008057</v>
      </c>
      <c r="J427">
        <v>1231.1628418</v>
      </c>
      <c r="K427">
        <v>2200</v>
      </c>
      <c r="L427">
        <v>0</v>
      </c>
      <c r="M427">
        <v>0</v>
      </c>
      <c r="N427">
        <v>2200</v>
      </c>
    </row>
    <row r="428" spans="1:14" x14ac:dyDescent="0.25">
      <c r="A428">
        <v>177.49731499999999</v>
      </c>
      <c r="B428" s="1">
        <f>DATE(2010,10,25) + TIME(11,56,8)</f>
        <v>40476.497314814813</v>
      </c>
      <c r="C428">
        <v>80</v>
      </c>
      <c r="D428">
        <v>79.912879943999997</v>
      </c>
      <c r="E428">
        <v>50</v>
      </c>
      <c r="F428">
        <v>19.273824692000002</v>
      </c>
      <c r="G428">
        <v>1376.7404785000001</v>
      </c>
      <c r="H428">
        <v>1364.4018555</v>
      </c>
      <c r="I428">
        <v>1265.8891602000001</v>
      </c>
      <c r="J428">
        <v>1231.5178223</v>
      </c>
      <c r="K428">
        <v>2200</v>
      </c>
      <c r="L428">
        <v>0</v>
      </c>
      <c r="M428">
        <v>0</v>
      </c>
      <c r="N428">
        <v>2200</v>
      </c>
    </row>
    <row r="429" spans="1:14" x14ac:dyDescent="0.25">
      <c r="A429">
        <v>178.704826</v>
      </c>
      <c r="B429" s="1">
        <f>DATE(2010,10,26) + TIME(16,54,56)</f>
        <v>40477.704814814817</v>
      </c>
      <c r="C429">
        <v>80</v>
      </c>
      <c r="D429">
        <v>79.913009643999999</v>
      </c>
      <c r="E429">
        <v>50</v>
      </c>
      <c r="F429">
        <v>19.564107894999999</v>
      </c>
      <c r="G429">
        <v>1376.6831055</v>
      </c>
      <c r="H429">
        <v>1364.3470459</v>
      </c>
      <c r="I429">
        <v>1266.0826416</v>
      </c>
      <c r="J429">
        <v>1231.8864745999999</v>
      </c>
      <c r="K429">
        <v>2200</v>
      </c>
      <c r="L429">
        <v>0</v>
      </c>
      <c r="M429">
        <v>0</v>
      </c>
      <c r="N429">
        <v>2200</v>
      </c>
    </row>
    <row r="430" spans="1:14" x14ac:dyDescent="0.25">
      <c r="A430">
        <v>179.92974000000001</v>
      </c>
      <c r="B430" s="1">
        <f>DATE(2010,10,27) + TIME(22,18,49)</f>
        <v>40478.9297337963</v>
      </c>
      <c r="C430">
        <v>80</v>
      </c>
      <c r="D430">
        <v>79.913146972999996</v>
      </c>
      <c r="E430">
        <v>50</v>
      </c>
      <c r="F430">
        <v>19.866140366</v>
      </c>
      <c r="G430">
        <v>1376.6252440999999</v>
      </c>
      <c r="H430">
        <v>1364.291626</v>
      </c>
      <c r="I430">
        <v>1266.2818603999999</v>
      </c>
      <c r="J430">
        <v>1232.2691649999999</v>
      </c>
      <c r="K430">
        <v>2200</v>
      </c>
      <c r="L430">
        <v>0</v>
      </c>
      <c r="M430">
        <v>0</v>
      </c>
      <c r="N430">
        <v>2200</v>
      </c>
    </row>
    <row r="431" spans="1:14" x14ac:dyDescent="0.25">
      <c r="A431">
        <v>181.169566</v>
      </c>
      <c r="B431" s="1">
        <f>DATE(2010,10,29) + TIME(4,4,10)</f>
        <v>40480.169560185182</v>
      </c>
      <c r="C431">
        <v>80</v>
      </c>
      <c r="D431">
        <v>79.913284301999994</v>
      </c>
      <c r="E431">
        <v>50</v>
      </c>
      <c r="F431">
        <v>20.179325104</v>
      </c>
      <c r="G431">
        <v>1376.5668945</v>
      </c>
      <c r="H431">
        <v>1364.2357178</v>
      </c>
      <c r="I431">
        <v>1266.4863281</v>
      </c>
      <c r="J431">
        <v>1232.6650391000001</v>
      </c>
      <c r="K431">
        <v>2200</v>
      </c>
      <c r="L431">
        <v>0</v>
      </c>
      <c r="M431">
        <v>0</v>
      </c>
      <c r="N431">
        <v>2200</v>
      </c>
    </row>
    <row r="432" spans="1:14" x14ac:dyDescent="0.25">
      <c r="A432">
        <v>182.42756499999999</v>
      </c>
      <c r="B432" s="1">
        <f>DATE(2010,10,30) + TIME(10,15,41)</f>
        <v>40481.427557870367</v>
      </c>
      <c r="C432">
        <v>80</v>
      </c>
      <c r="D432">
        <v>79.913421631000006</v>
      </c>
      <c r="E432">
        <v>50</v>
      </c>
      <c r="F432">
        <v>20.503080367999999</v>
      </c>
      <c r="G432">
        <v>1376.5084228999999</v>
      </c>
      <c r="H432">
        <v>1364.1796875</v>
      </c>
      <c r="I432">
        <v>1266.6953125</v>
      </c>
      <c r="J432">
        <v>1233.0729980000001</v>
      </c>
      <c r="K432">
        <v>2200</v>
      </c>
      <c r="L432">
        <v>0</v>
      </c>
      <c r="M432">
        <v>0</v>
      </c>
      <c r="N432">
        <v>2200</v>
      </c>
    </row>
    <row r="433" spans="1:14" x14ac:dyDescent="0.25">
      <c r="A433">
        <v>183.70715300000001</v>
      </c>
      <c r="B433" s="1">
        <f>DATE(2010,10,31) + TIME(16,58,18)</f>
        <v>40482.707152777781</v>
      </c>
      <c r="C433">
        <v>80</v>
      </c>
      <c r="D433">
        <v>79.913558960000003</v>
      </c>
      <c r="E433">
        <v>50</v>
      </c>
      <c r="F433">
        <v>20.837020874</v>
      </c>
      <c r="G433">
        <v>1376.4494629000001</v>
      </c>
      <c r="H433">
        <v>1364.1234131000001</v>
      </c>
      <c r="I433">
        <v>1266.9095459</v>
      </c>
      <c r="J433">
        <v>1233.4932861</v>
      </c>
      <c r="K433">
        <v>2200</v>
      </c>
      <c r="L433">
        <v>0</v>
      </c>
      <c r="M433">
        <v>0</v>
      </c>
      <c r="N433">
        <v>2200</v>
      </c>
    </row>
    <row r="434" spans="1:14" x14ac:dyDescent="0.25">
      <c r="A434">
        <v>184</v>
      </c>
      <c r="B434" s="1">
        <f>DATE(2010,11,1) + TIME(0,0,0)</f>
        <v>40483</v>
      </c>
      <c r="C434">
        <v>80</v>
      </c>
      <c r="D434">
        <v>79.913581848000007</v>
      </c>
      <c r="E434">
        <v>50</v>
      </c>
      <c r="F434">
        <v>20.980516433999998</v>
      </c>
      <c r="G434">
        <v>1376.3920897999999</v>
      </c>
      <c r="H434">
        <v>1364.0686035000001</v>
      </c>
      <c r="I434">
        <v>1267.1644286999999</v>
      </c>
      <c r="J434">
        <v>1233.8189697</v>
      </c>
      <c r="K434">
        <v>2200</v>
      </c>
      <c r="L434">
        <v>0</v>
      </c>
      <c r="M434">
        <v>0</v>
      </c>
      <c r="N434">
        <v>2200</v>
      </c>
    </row>
    <row r="435" spans="1:14" x14ac:dyDescent="0.25">
      <c r="A435">
        <v>184.000001</v>
      </c>
      <c r="B435" s="1">
        <f>DATE(2010,11,1) + TIME(0,0,0)</f>
        <v>40483</v>
      </c>
      <c r="C435">
        <v>80</v>
      </c>
      <c r="D435">
        <v>79.913467406999999</v>
      </c>
      <c r="E435">
        <v>50</v>
      </c>
      <c r="F435">
        <v>20.980642319000001</v>
      </c>
      <c r="G435">
        <v>1363.2696533000001</v>
      </c>
      <c r="H435">
        <v>1352.3861084</v>
      </c>
      <c r="I435">
        <v>1301.1944579999999</v>
      </c>
      <c r="J435">
        <v>1268.0245361</v>
      </c>
      <c r="K435">
        <v>0</v>
      </c>
      <c r="L435">
        <v>2200</v>
      </c>
      <c r="M435">
        <v>2200</v>
      </c>
      <c r="N435">
        <v>0</v>
      </c>
    </row>
    <row r="436" spans="1:14" x14ac:dyDescent="0.25">
      <c r="A436">
        <v>184.00000399999999</v>
      </c>
      <c r="B436" s="1">
        <f>DATE(2010,11,1) + TIME(0,0,0)</f>
        <v>40483</v>
      </c>
      <c r="C436">
        <v>80</v>
      </c>
      <c r="D436">
        <v>79.913185119999994</v>
      </c>
      <c r="E436">
        <v>50</v>
      </c>
      <c r="F436">
        <v>20.980998993</v>
      </c>
      <c r="G436">
        <v>1361.2512207</v>
      </c>
      <c r="H436">
        <v>1350.3665771000001</v>
      </c>
      <c r="I436">
        <v>1303.4627685999999</v>
      </c>
      <c r="J436">
        <v>1270.4315185999999</v>
      </c>
      <c r="K436">
        <v>0</v>
      </c>
      <c r="L436">
        <v>2200</v>
      </c>
      <c r="M436">
        <v>2200</v>
      </c>
      <c r="N436">
        <v>0</v>
      </c>
    </row>
    <row r="437" spans="1:14" x14ac:dyDescent="0.25">
      <c r="A437">
        <v>184.000013</v>
      </c>
      <c r="B437" s="1">
        <f>DATE(2010,11,1) + TIME(0,0,1)</f>
        <v>40483.000011574077</v>
      </c>
      <c r="C437">
        <v>80</v>
      </c>
      <c r="D437">
        <v>79.912605286000002</v>
      </c>
      <c r="E437">
        <v>50</v>
      </c>
      <c r="F437">
        <v>20.981935500999999</v>
      </c>
      <c r="G437">
        <v>1357.1757812000001</v>
      </c>
      <c r="H437">
        <v>1346.2902832</v>
      </c>
      <c r="I437">
        <v>1309.1925048999999</v>
      </c>
      <c r="J437">
        <v>1276.4382324000001</v>
      </c>
      <c r="K437">
        <v>0</v>
      </c>
      <c r="L437">
        <v>2200</v>
      </c>
      <c r="M437">
        <v>2200</v>
      </c>
      <c r="N437">
        <v>0</v>
      </c>
    </row>
    <row r="438" spans="1:14" x14ac:dyDescent="0.25">
      <c r="A438">
        <v>184.00004000000001</v>
      </c>
      <c r="B438" s="1">
        <f>DATE(2010,11,1) + TIME(0,0,3)</f>
        <v>40483.000034722223</v>
      </c>
      <c r="C438">
        <v>80</v>
      </c>
      <c r="D438">
        <v>79.911750792999996</v>
      </c>
      <c r="E438">
        <v>50</v>
      </c>
      <c r="F438">
        <v>20.984075546</v>
      </c>
      <c r="G438">
        <v>1351.2218018000001</v>
      </c>
      <c r="H438">
        <v>1340.3372803</v>
      </c>
      <c r="I438">
        <v>1320.7751464999999</v>
      </c>
      <c r="J438">
        <v>1288.3433838000001</v>
      </c>
      <c r="K438">
        <v>0</v>
      </c>
      <c r="L438">
        <v>2200</v>
      </c>
      <c r="M438">
        <v>2200</v>
      </c>
      <c r="N438">
        <v>0</v>
      </c>
    </row>
    <row r="439" spans="1:14" x14ac:dyDescent="0.25">
      <c r="A439">
        <v>184.00012100000001</v>
      </c>
      <c r="B439" s="1">
        <f>DATE(2010,11,1) + TIME(0,0,10)</f>
        <v>40483.000115740739</v>
      </c>
      <c r="C439">
        <v>80</v>
      </c>
      <c r="D439">
        <v>79.91078186</v>
      </c>
      <c r="E439">
        <v>50</v>
      </c>
      <c r="F439">
        <v>20.988460540999998</v>
      </c>
      <c r="G439">
        <v>1344.5836182</v>
      </c>
      <c r="H439">
        <v>1333.7113036999999</v>
      </c>
      <c r="I439">
        <v>1337.6943358999999</v>
      </c>
      <c r="J439">
        <v>1305.3455810999999</v>
      </c>
      <c r="K439">
        <v>0</v>
      </c>
      <c r="L439">
        <v>2200</v>
      </c>
      <c r="M439">
        <v>2200</v>
      </c>
      <c r="N439">
        <v>0</v>
      </c>
    </row>
    <row r="440" spans="1:14" x14ac:dyDescent="0.25">
      <c r="A440">
        <v>184.00036399999999</v>
      </c>
      <c r="B440" s="1">
        <f>DATE(2010,11,1) + TIME(0,0,31)</f>
        <v>40483.000358796293</v>
      </c>
      <c r="C440">
        <v>80</v>
      </c>
      <c r="D440">
        <v>79.909751892000003</v>
      </c>
      <c r="E440">
        <v>50</v>
      </c>
      <c r="F440">
        <v>20.998176574999999</v>
      </c>
      <c r="G440">
        <v>1337.9027100000001</v>
      </c>
      <c r="H440">
        <v>1327.0440673999999</v>
      </c>
      <c r="I440">
        <v>1356.5991211</v>
      </c>
      <c r="J440">
        <v>1324.2275391000001</v>
      </c>
      <c r="K440">
        <v>0</v>
      </c>
      <c r="L440">
        <v>2200</v>
      </c>
      <c r="M440">
        <v>2200</v>
      </c>
      <c r="N440">
        <v>0</v>
      </c>
    </row>
    <row r="441" spans="1:14" x14ac:dyDescent="0.25">
      <c r="A441">
        <v>184.001093</v>
      </c>
      <c r="B441" s="1">
        <f>DATE(2010,11,1) + TIME(0,1,34)</f>
        <v>40483.001087962963</v>
      </c>
      <c r="C441">
        <v>80</v>
      </c>
      <c r="D441">
        <v>79.908523560000006</v>
      </c>
      <c r="E441">
        <v>50</v>
      </c>
      <c r="F441">
        <v>21.023269653</v>
      </c>
      <c r="G441">
        <v>1331.1204834</v>
      </c>
      <c r="H441">
        <v>1320.2492675999999</v>
      </c>
      <c r="I441">
        <v>1375.5969238</v>
      </c>
      <c r="J441">
        <v>1343.2403564000001</v>
      </c>
      <c r="K441">
        <v>0</v>
      </c>
      <c r="L441">
        <v>2200</v>
      </c>
      <c r="M441">
        <v>2200</v>
      </c>
      <c r="N441">
        <v>0</v>
      </c>
    </row>
    <row r="442" spans="1:14" x14ac:dyDescent="0.25">
      <c r="A442">
        <v>184.00327999999999</v>
      </c>
      <c r="B442" s="1">
        <f>DATE(2010,11,1) + TIME(0,4,43)</f>
        <v>40483.003275462965</v>
      </c>
      <c r="C442">
        <v>80</v>
      </c>
      <c r="D442">
        <v>79.906669617000006</v>
      </c>
      <c r="E442">
        <v>50</v>
      </c>
      <c r="F442">
        <v>21.094345093000001</v>
      </c>
      <c r="G442">
        <v>1323.7785644999999</v>
      </c>
      <c r="H442">
        <v>1312.8179932</v>
      </c>
      <c r="I442">
        <v>1393.9996338000001</v>
      </c>
      <c r="J442">
        <v>1361.6467285000001</v>
      </c>
      <c r="K442">
        <v>0</v>
      </c>
      <c r="L442">
        <v>2200</v>
      </c>
      <c r="M442">
        <v>2200</v>
      </c>
      <c r="N442">
        <v>0</v>
      </c>
    </row>
    <row r="443" spans="1:14" x14ac:dyDescent="0.25">
      <c r="A443">
        <v>184.00984099999999</v>
      </c>
      <c r="B443" s="1">
        <f>DATE(2010,11,1) + TIME(0,14,10)</f>
        <v>40483.009837962964</v>
      </c>
      <c r="C443">
        <v>80</v>
      </c>
      <c r="D443">
        <v>79.903091431000007</v>
      </c>
      <c r="E443">
        <v>50</v>
      </c>
      <c r="F443">
        <v>21.302837371999999</v>
      </c>
      <c r="G443">
        <v>1315.8272704999999</v>
      </c>
      <c r="H443">
        <v>1304.7615966999999</v>
      </c>
      <c r="I443">
        <v>1409.8834228999999</v>
      </c>
      <c r="J443">
        <v>1377.5449219</v>
      </c>
      <c r="K443">
        <v>0</v>
      </c>
      <c r="L443">
        <v>2200</v>
      </c>
      <c r="M443">
        <v>2200</v>
      </c>
      <c r="N443">
        <v>0</v>
      </c>
    </row>
    <row r="444" spans="1:14" x14ac:dyDescent="0.25">
      <c r="A444">
        <v>184.02952400000001</v>
      </c>
      <c r="B444" s="1">
        <f>DATE(2010,11,1) + TIME(0,42,30)</f>
        <v>40483.029513888891</v>
      </c>
      <c r="C444">
        <v>80</v>
      </c>
      <c r="D444">
        <v>79.894882202000005</v>
      </c>
      <c r="E444">
        <v>50</v>
      </c>
      <c r="F444">
        <v>21.914167404000001</v>
      </c>
      <c r="G444">
        <v>1308.9534911999999</v>
      </c>
      <c r="H444">
        <v>1297.8374022999999</v>
      </c>
      <c r="I444">
        <v>1419.9532471</v>
      </c>
      <c r="J444">
        <v>1387.9403076000001</v>
      </c>
      <c r="K444">
        <v>0</v>
      </c>
      <c r="L444">
        <v>2200</v>
      </c>
      <c r="M444">
        <v>2200</v>
      </c>
      <c r="N444">
        <v>0</v>
      </c>
    </row>
    <row r="445" spans="1:14" x14ac:dyDescent="0.25">
      <c r="A445">
        <v>184.059945</v>
      </c>
      <c r="B445" s="1">
        <f>DATE(2010,11,1) + TIME(1,26,19)</f>
        <v>40483.059942129628</v>
      </c>
      <c r="C445">
        <v>80</v>
      </c>
      <c r="D445">
        <v>79.883430481000005</v>
      </c>
      <c r="E445">
        <v>50</v>
      </c>
      <c r="F445">
        <v>22.829370498999999</v>
      </c>
      <c r="G445">
        <v>1305.8476562000001</v>
      </c>
      <c r="H445">
        <v>1294.7185059000001</v>
      </c>
      <c r="I445">
        <v>1422.6887207</v>
      </c>
      <c r="J445">
        <v>1391.3121338000001</v>
      </c>
      <c r="K445">
        <v>0</v>
      </c>
      <c r="L445">
        <v>2200</v>
      </c>
      <c r="M445">
        <v>2200</v>
      </c>
      <c r="N445">
        <v>0</v>
      </c>
    </row>
    <row r="446" spans="1:14" x14ac:dyDescent="0.25">
      <c r="A446">
        <v>184.09131199999999</v>
      </c>
      <c r="B446" s="1">
        <f>DATE(2010,11,1) + TIME(2,11,29)</f>
        <v>40483.091307870367</v>
      </c>
      <c r="C446">
        <v>80</v>
      </c>
      <c r="D446">
        <v>79.872039795000006</v>
      </c>
      <c r="E446">
        <v>50</v>
      </c>
      <c r="F446">
        <v>23.742656707999998</v>
      </c>
      <c r="G446">
        <v>1304.7501221</v>
      </c>
      <c r="H446">
        <v>1293.6173096</v>
      </c>
      <c r="I446">
        <v>1422.6706543</v>
      </c>
      <c r="J446">
        <v>1391.9447021000001</v>
      </c>
      <c r="K446">
        <v>0</v>
      </c>
      <c r="L446">
        <v>2200</v>
      </c>
      <c r="M446">
        <v>2200</v>
      </c>
      <c r="N446">
        <v>0</v>
      </c>
    </row>
    <row r="447" spans="1:14" x14ac:dyDescent="0.25">
      <c r="A447">
        <v>184.123591</v>
      </c>
      <c r="B447" s="1">
        <f>DATE(2010,11,1) + TIME(2,57,58)</f>
        <v>40483.12358796296</v>
      </c>
      <c r="C447">
        <v>80</v>
      </c>
      <c r="D447">
        <v>79.860534668</v>
      </c>
      <c r="E447">
        <v>50</v>
      </c>
      <c r="F447">
        <v>24.651082992999999</v>
      </c>
      <c r="G447">
        <v>1304.3271483999999</v>
      </c>
      <c r="H447">
        <v>1293.1928711</v>
      </c>
      <c r="I447">
        <v>1421.9278564000001</v>
      </c>
      <c r="J447">
        <v>1391.8388672000001</v>
      </c>
      <c r="K447">
        <v>0</v>
      </c>
      <c r="L447">
        <v>2200</v>
      </c>
      <c r="M447">
        <v>2200</v>
      </c>
      <c r="N447">
        <v>0</v>
      </c>
    </row>
    <row r="448" spans="1:14" x14ac:dyDescent="0.25">
      <c r="A448">
        <v>184.15681599999999</v>
      </c>
      <c r="B448" s="1">
        <f>DATE(2010,11,1) + TIME(3,45,48)</f>
        <v>40483.156805555554</v>
      </c>
      <c r="C448">
        <v>80</v>
      </c>
      <c r="D448">
        <v>79.848861693999993</v>
      </c>
      <c r="E448">
        <v>50</v>
      </c>
      <c r="F448">
        <v>25.554279327</v>
      </c>
      <c r="G448">
        <v>1304.1534423999999</v>
      </c>
      <c r="H448">
        <v>1293.0181885</v>
      </c>
      <c r="I448">
        <v>1421.0083007999999</v>
      </c>
      <c r="J448">
        <v>1391.5338135</v>
      </c>
      <c r="K448">
        <v>0</v>
      </c>
      <c r="L448">
        <v>2200</v>
      </c>
      <c r="M448">
        <v>2200</v>
      </c>
      <c r="N448">
        <v>0</v>
      </c>
    </row>
    <row r="449" spans="1:14" x14ac:dyDescent="0.25">
      <c r="A449">
        <v>184.19104300000001</v>
      </c>
      <c r="B449" s="1">
        <f>DATE(2010,11,1) + TIME(4,35,6)</f>
        <v>40483.191041666665</v>
      </c>
      <c r="C449">
        <v>80</v>
      </c>
      <c r="D449">
        <v>79.836990356000001</v>
      </c>
      <c r="E449">
        <v>50</v>
      </c>
      <c r="F449">
        <v>26.451816559000001</v>
      </c>
      <c r="G449">
        <v>1304.0780029</v>
      </c>
      <c r="H449">
        <v>1292.9421387</v>
      </c>
      <c r="I449">
        <v>1420.0709228999999</v>
      </c>
      <c r="J449">
        <v>1391.1865233999999</v>
      </c>
      <c r="K449">
        <v>0</v>
      </c>
      <c r="L449">
        <v>2200</v>
      </c>
      <c r="M449">
        <v>2200</v>
      </c>
      <c r="N449">
        <v>0</v>
      </c>
    </row>
    <row r="450" spans="1:14" x14ac:dyDescent="0.25">
      <c r="A450">
        <v>184.22631100000001</v>
      </c>
      <c r="B450" s="1">
        <f>DATE(2010,11,1) + TIME(5,25,53)</f>
        <v>40483.226307870369</v>
      </c>
      <c r="C450">
        <v>80</v>
      </c>
      <c r="D450">
        <v>79.824890136999997</v>
      </c>
      <c r="E450">
        <v>50</v>
      </c>
      <c r="F450">
        <v>27.342716217</v>
      </c>
      <c r="G450">
        <v>1304.0435791</v>
      </c>
      <c r="H450">
        <v>1292.9069824000001</v>
      </c>
      <c r="I450">
        <v>1419.1604004000001</v>
      </c>
      <c r="J450">
        <v>1390.8417969</v>
      </c>
      <c r="K450">
        <v>0</v>
      </c>
      <c r="L450">
        <v>2200</v>
      </c>
      <c r="M450">
        <v>2200</v>
      </c>
      <c r="N450">
        <v>0</v>
      </c>
    </row>
    <row r="451" spans="1:14" x14ac:dyDescent="0.25">
      <c r="A451">
        <v>184.262722</v>
      </c>
      <c r="B451" s="1">
        <f>DATE(2010,11,1) + TIME(6,18,19)</f>
        <v>40483.262719907405</v>
      </c>
      <c r="C451">
        <v>80</v>
      </c>
      <c r="D451">
        <v>79.812553406000006</v>
      </c>
      <c r="E451">
        <v>50</v>
      </c>
      <c r="F451">
        <v>28.227613449</v>
      </c>
      <c r="G451">
        <v>1304.0270995999999</v>
      </c>
      <c r="H451">
        <v>1292.8900146000001</v>
      </c>
      <c r="I451">
        <v>1418.2852783000001</v>
      </c>
      <c r="J451">
        <v>1390.5095214999999</v>
      </c>
      <c r="K451">
        <v>0</v>
      </c>
      <c r="L451">
        <v>2200</v>
      </c>
      <c r="M451">
        <v>2200</v>
      </c>
      <c r="N451">
        <v>0</v>
      </c>
    </row>
    <row r="452" spans="1:14" x14ac:dyDescent="0.25">
      <c r="A452">
        <v>184.300363</v>
      </c>
      <c r="B452" s="1">
        <f>DATE(2010,11,1) + TIME(7,12,31)</f>
        <v>40483.300358796296</v>
      </c>
      <c r="C452">
        <v>80</v>
      </c>
      <c r="D452">
        <v>79.799942017000006</v>
      </c>
      <c r="E452">
        <v>50</v>
      </c>
      <c r="F452">
        <v>29.106454848999999</v>
      </c>
      <c r="G452">
        <v>1304.0187988</v>
      </c>
      <c r="H452">
        <v>1292.8812256000001</v>
      </c>
      <c r="I452">
        <v>1417.4454346</v>
      </c>
      <c r="J452">
        <v>1390.1905518000001</v>
      </c>
      <c r="K452">
        <v>0</v>
      </c>
      <c r="L452">
        <v>2200</v>
      </c>
      <c r="M452">
        <v>2200</v>
      </c>
      <c r="N452">
        <v>0</v>
      </c>
    </row>
    <row r="453" spans="1:14" x14ac:dyDescent="0.25">
      <c r="A453">
        <v>184.339325</v>
      </c>
      <c r="B453" s="1">
        <f>DATE(2010,11,1) + TIME(8,8,37)</f>
        <v>40483.339317129627</v>
      </c>
      <c r="C453">
        <v>80</v>
      </c>
      <c r="D453">
        <v>79.787040709999999</v>
      </c>
      <c r="E453">
        <v>50</v>
      </c>
      <c r="F453">
        <v>29.979169846000001</v>
      </c>
      <c r="G453">
        <v>1304.0144043</v>
      </c>
      <c r="H453">
        <v>1292.8762207</v>
      </c>
      <c r="I453">
        <v>1416.6383057</v>
      </c>
      <c r="J453">
        <v>1389.8835449000001</v>
      </c>
      <c r="K453">
        <v>0</v>
      </c>
      <c r="L453">
        <v>2200</v>
      </c>
      <c r="M453">
        <v>2200</v>
      </c>
      <c r="N453">
        <v>0</v>
      </c>
    </row>
    <row r="454" spans="1:14" x14ac:dyDescent="0.25">
      <c r="A454">
        <v>184.379715</v>
      </c>
      <c r="B454" s="1">
        <f>DATE(2010,11,1) + TIME(9,6,47)</f>
        <v>40483.379710648151</v>
      </c>
      <c r="C454">
        <v>80</v>
      </c>
      <c r="D454">
        <v>79.773826599000003</v>
      </c>
      <c r="E454">
        <v>50</v>
      </c>
      <c r="F454">
        <v>30.845874786</v>
      </c>
      <c r="G454">
        <v>1304.0119629000001</v>
      </c>
      <c r="H454">
        <v>1292.8730469</v>
      </c>
      <c r="I454">
        <v>1415.8613281</v>
      </c>
      <c r="J454">
        <v>1389.5870361</v>
      </c>
      <c r="K454">
        <v>0</v>
      </c>
      <c r="L454">
        <v>2200</v>
      </c>
      <c r="M454">
        <v>2200</v>
      </c>
      <c r="N454">
        <v>0</v>
      </c>
    </row>
    <row r="455" spans="1:14" x14ac:dyDescent="0.25">
      <c r="A455">
        <v>184.42162099999999</v>
      </c>
      <c r="B455" s="1">
        <f>DATE(2010,11,1) + TIME(10,7,8)</f>
        <v>40483.421620370369</v>
      </c>
      <c r="C455">
        <v>80</v>
      </c>
      <c r="D455">
        <v>79.760276794000006</v>
      </c>
      <c r="E455">
        <v>50</v>
      </c>
      <c r="F455">
        <v>31.70574379</v>
      </c>
      <c r="G455">
        <v>1304.0101318</v>
      </c>
      <c r="H455">
        <v>1292.8707274999999</v>
      </c>
      <c r="I455">
        <v>1415.112793</v>
      </c>
      <c r="J455">
        <v>1389.2996826000001</v>
      </c>
      <c r="K455">
        <v>0</v>
      </c>
      <c r="L455">
        <v>2200</v>
      </c>
      <c r="M455">
        <v>2200</v>
      </c>
      <c r="N455">
        <v>0</v>
      </c>
    </row>
    <row r="456" spans="1:14" x14ac:dyDescent="0.25">
      <c r="A456">
        <v>184.46519599999999</v>
      </c>
      <c r="B456" s="1">
        <f>DATE(2010,11,1) + TIME(11,9,52)</f>
        <v>40483.465185185189</v>
      </c>
      <c r="C456">
        <v>80</v>
      </c>
      <c r="D456">
        <v>79.746360779</v>
      </c>
      <c r="E456">
        <v>50</v>
      </c>
      <c r="F456">
        <v>32.559101105000003</v>
      </c>
      <c r="G456">
        <v>1304.0086670000001</v>
      </c>
      <c r="H456">
        <v>1292.8686522999999</v>
      </c>
      <c r="I456">
        <v>1414.3905029</v>
      </c>
      <c r="J456">
        <v>1389.0206298999999</v>
      </c>
      <c r="K456">
        <v>0</v>
      </c>
      <c r="L456">
        <v>2200</v>
      </c>
      <c r="M456">
        <v>2200</v>
      </c>
      <c r="N456">
        <v>0</v>
      </c>
    </row>
    <row r="457" spans="1:14" x14ac:dyDescent="0.25">
      <c r="A457">
        <v>184.51058800000001</v>
      </c>
      <c r="B457" s="1">
        <f>DATE(2010,11,1) + TIME(12,15,14)</f>
        <v>40483.510578703703</v>
      </c>
      <c r="C457">
        <v>80</v>
      </c>
      <c r="D457">
        <v>79.732040405000006</v>
      </c>
      <c r="E457">
        <v>50</v>
      </c>
      <c r="F457">
        <v>33.405822753999999</v>
      </c>
      <c r="G457">
        <v>1304.0073242000001</v>
      </c>
      <c r="H457">
        <v>1292.8666992000001</v>
      </c>
      <c r="I457">
        <v>1413.6926269999999</v>
      </c>
      <c r="J457">
        <v>1388.7489014</v>
      </c>
      <c r="K457">
        <v>0</v>
      </c>
      <c r="L457">
        <v>2200</v>
      </c>
      <c r="M457">
        <v>2200</v>
      </c>
      <c r="N457">
        <v>0</v>
      </c>
    </row>
    <row r="458" spans="1:14" x14ac:dyDescent="0.25">
      <c r="A458">
        <v>184.557963</v>
      </c>
      <c r="B458" s="1">
        <f>DATE(2010,11,1) + TIME(13,23,27)</f>
        <v>40483.557951388888</v>
      </c>
      <c r="C458">
        <v>80</v>
      </c>
      <c r="D458">
        <v>79.717285156000003</v>
      </c>
      <c r="E458">
        <v>50</v>
      </c>
      <c r="F458">
        <v>34.245716094999999</v>
      </c>
      <c r="G458">
        <v>1304.0059814000001</v>
      </c>
      <c r="H458">
        <v>1292.864624</v>
      </c>
      <c r="I458">
        <v>1413.0177002</v>
      </c>
      <c r="J458">
        <v>1388.4836425999999</v>
      </c>
      <c r="K458">
        <v>0</v>
      </c>
      <c r="L458">
        <v>2200</v>
      </c>
      <c r="M458">
        <v>2200</v>
      </c>
      <c r="N458">
        <v>0</v>
      </c>
    </row>
    <row r="459" spans="1:14" x14ac:dyDescent="0.25">
      <c r="A459">
        <v>184.60750899999999</v>
      </c>
      <c r="B459" s="1">
        <f>DATE(2010,11,1) + TIME(14,34,48)</f>
        <v>40483.607499999998</v>
      </c>
      <c r="C459">
        <v>80</v>
      </c>
      <c r="D459">
        <v>79.702049255000006</v>
      </c>
      <c r="E459">
        <v>50</v>
      </c>
      <c r="F459">
        <v>35.078548431000002</v>
      </c>
      <c r="G459">
        <v>1304.0043945</v>
      </c>
      <c r="H459">
        <v>1292.8624268000001</v>
      </c>
      <c r="I459">
        <v>1412.3643798999999</v>
      </c>
      <c r="J459">
        <v>1388.2243652</v>
      </c>
      <c r="K459">
        <v>0</v>
      </c>
      <c r="L459">
        <v>2200</v>
      </c>
      <c r="M459">
        <v>2200</v>
      </c>
      <c r="N459">
        <v>0</v>
      </c>
    </row>
    <row r="460" spans="1:14" x14ac:dyDescent="0.25">
      <c r="A460">
        <v>184.65943200000001</v>
      </c>
      <c r="B460" s="1">
        <f>DATE(2010,11,1) + TIME(15,49,34)</f>
        <v>40483.659421296295</v>
      </c>
      <c r="C460">
        <v>80</v>
      </c>
      <c r="D460">
        <v>79.686294556000007</v>
      </c>
      <c r="E460">
        <v>50</v>
      </c>
      <c r="F460">
        <v>35.903915404999999</v>
      </c>
      <c r="G460">
        <v>1304.0026855000001</v>
      </c>
      <c r="H460">
        <v>1292.8599853999999</v>
      </c>
      <c r="I460">
        <v>1411.7314452999999</v>
      </c>
      <c r="J460">
        <v>1387.9704589999999</v>
      </c>
      <c r="K460">
        <v>0</v>
      </c>
      <c r="L460">
        <v>2200</v>
      </c>
      <c r="M460">
        <v>2200</v>
      </c>
      <c r="N460">
        <v>0</v>
      </c>
    </row>
    <row r="461" spans="1:14" x14ac:dyDescent="0.25">
      <c r="A461">
        <v>184.71398500000001</v>
      </c>
      <c r="B461" s="1">
        <f>DATE(2010,11,1) + TIME(17,8,8)</f>
        <v>40483.71398148148</v>
      </c>
      <c r="C461">
        <v>80</v>
      </c>
      <c r="D461">
        <v>79.669952393000003</v>
      </c>
      <c r="E461">
        <v>50</v>
      </c>
      <c r="F461">
        <v>36.721572876000003</v>
      </c>
      <c r="G461">
        <v>1304.0007324000001</v>
      </c>
      <c r="H461">
        <v>1292.8574219</v>
      </c>
      <c r="I461">
        <v>1411.1175536999999</v>
      </c>
      <c r="J461">
        <v>1387.7211914</v>
      </c>
      <c r="K461">
        <v>0</v>
      </c>
      <c r="L461">
        <v>2200</v>
      </c>
      <c r="M461">
        <v>2200</v>
      </c>
      <c r="N461">
        <v>0</v>
      </c>
    </row>
    <row r="462" spans="1:14" x14ac:dyDescent="0.25">
      <c r="A462">
        <v>184.771456</v>
      </c>
      <c r="B462" s="1">
        <f>DATE(2010,11,1) + TIME(18,30,53)</f>
        <v>40483.77144675926</v>
      </c>
      <c r="C462">
        <v>80</v>
      </c>
      <c r="D462">
        <v>79.652976989999999</v>
      </c>
      <c r="E462">
        <v>50</v>
      </c>
      <c r="F462">
        <v>37.531200409</v>
      </c>
      <c r="G462">
        <v>1303.9987793</v>
      </c>
      <c r="H462">
        <v>1292.8546143000001</v>
      </c>
      <c r="I462">
        <v>1410.5214844</v>
      </c>
      <c r="J462">
        <v>1387.4759521000001</v>
      </c>
      <c r="K462">
        <v>0</v>
      </c>
      <c r="L462">
        <v>2200</v>
      </c>
      <c r="M462">
        <v>2200</v>
      </c>
      <c r="N462">
        <v>0</v>
      </c>
    </row>
    <row r="463" spans="1:14" x14ac:dyDescent="0.25">
      <c r="A463">
        <v>184.832179</v>
      </c>
      <c r="B463" s="1">
        <f>DATE(2010,11,1) + TIME(19,58,20)</f>
        <v>40483.832175925927</v>
      </c>
      <c r="C463">
        <v>80</v>
      </c>
      <c r="D463">
        <v>79.635284424000005</v>
      </c>
      <c r="E463">
        <v>50</v>
      </c>
      <c r="F463">
        <v>38.332359314000001</v>
      </c>
      <c r="G463">
        <v>1303.9964600000001</v>
      </c>
      <c r="H463">
        <v>1292.8515625</v>
      </c>
      <c r="I463">
        <v>1409.9421387</v>
      </c>
      <c r="J463">
        <v>1387.2341309000001</v>
      </c>
      <c r="K463">
        <v>0</v>
      </c>
      <c r="L463">
        <v>2200</v>
      </c>
      <c r="M463">
        <v>2200</v>
      </c>
      <c r="N463">
        <v>0</v>
      </c>
    </row>
    <row r="464" spans="1:14" x14ac:dyDescent="0.25">
      <c r="A464">
        <v>184.896546</v>
      </c>
      <c r="B464" s="1">
        <f>DATE(2010,11,1) + TIME(21,31,1)</f>
        <v>40483.896539351852</v>
      </c>
      <c r="C464">
        <v>80</v>
      </c>
      <c r="D464">
        <v>79.616806030000006</v>
      </c>
      <c r="E464">
        <v>50</v>
      </c>
      <c r="F464">
        <v>39.124549866000002</v>
      </c>
      <c r="G464">
        <v>1303.9940185999999</v>
      </c>
      <c r="H464">
        <v>1292.8483887</v>
      </c>
      <c r="I464">
        <v>1409.3782959</v>
      </c>
      <c r="J464">
        <v>1386.9949951000001</v>
      </c>
      <c r="K464">
        <v>0</v>
      </c>
      <c r="L464">
        <v>2200</v>
      </c>
      <c r="M464">
        <v>2200</v>
      </c>
      <c r="N464">
        <v>0</v>
      </c>
    </row>
    <row r="465" spans="1:14" x14ac:dyDescent="0.25">
      <c r="A465">
        <v>184.96502100000001</v>
      </c>
      <c r="B465" s="1">
        <f>DATE(2010,11,1) + TIME(23,9,37)</f>
        <v>40483.965011574073</v>
      </c>
      <c r="C465">
        <v>80</v>
      </c>
      <c r="D465">
        <v>79.597427367999998</v>
      </c>
      <c r="E465">
        <v>50</v>
      </c>
      <c r="F465">
        <v>39.90719223</v>
      </c>
      <c r="G465">
        <v>1303.9913329999999</v>
      </c>
      <c r="H465">
        <v>1292.8448486</v>
      </c>
      <c r="I465">
        <v>1408.8289795000001</v>
      </c>
      <c r="J465">
        <v>1386.7580565999999</v>
      </c>
      <c r="K465">
        <v>0</v>
      </c>
      <c r="L465">
        <v>2200</v>
      </c>
      <c r="M465">
        <v>2200</v>
      </c>
      <c r="N465">
        <v>0</v>
      </c>
    </row>
    <row r="466" spans="1:14" x14ac:dyDescent="0.25">
      <c r="A466">
        <v>185.03816</v>
      </c>
      <c r="B466" s="1">
        <f>DATE(2010,11,2) + TIME(0,54,57)</f>
        <v>40484.038159722222</v>
      </c>
      <c r="C466">
        <v>80</v>
      </c>
      <c r="D466">
        <v>79.577049255000006</v>
      </c>
      <c r="E466">
        <v>50</v>
      </c>
      <c r="F466">
        <v>40.679759979000004</v>
      </c>
      <c r="G466">
        <v>1303.9884033000001</v>
      </c>
      <c r="H466">
        <v>1292.8411865</v>
      </c>
      <c r="I466">
        <v>1408.2930908000001</v>
      </c>
      <c r="J466">
        <v>1386.5223389</v>
      </c>
      <c r="K466">
        <v>0</v>
      </c>
      <c r="L466">
        <v>2200</v>
      </c>
      <c r="M466">
        <v>2200</v>
      </c>
      <c r="N466">
        <v>0</v>
      </c>
    </row>
    <row r="467" spans="1:14" x14ac:dyDescent="0.25">
      <c r="A467">
        <v>185.116635</v>
      </c>
      <c r="B467" s="1">
        <f>DATE(2010,11,2) + TIME(2,47,57)</f>
        <v>40484.116631944446</v>
      </c>
      <c r="C467">
        <v>80</v>
      </c>
      <c r="D467">
        <v>79.555519103999998</v>
      </c>
      <c r="E467">
        <v>50</v>
      </c>
      <c r="F467">
        <v>41.441333770999996</v>
      </c>
      <c r="G467">
        <v>1303.9853516000001</v>
      </c>
      <c r="H467">
        <v>1292.8370361</v>
      </c>
      <c r="I467">
        <v>1407.7692870999999</v>
      </c>
      <c r="J467">
        <v>1386.2872314000001</v>
      </c>
      <c r="K467">
        <v>0</v>
      </c>
      <c r="L467">
        <v>2200</v>
      </c>
      <c r="M467">
        <v>2200</v>
      </c>
      <c r="N467">
        <v>0</v>
      </c>
    </row>
    <row r="468" spans="1:14" x14ac:dyDescent="0.25">
      <c r="A468">
        <v>185.20126999999999</v>
      </c>
      <c r="B468" s="1">
        <f>DATE(2010,11,2) + TIME(4,49,49)</f>
        <v>40484.201261574075</v>
      </c>
      <c r="C468">
        <v>80</v>
      </c>
      <c r="D468">
        <v>79.532676696999999</v>
      </c>
      <c r="E468">
        <v>50</v>
      </c>
      <c r="F468">
        <v>42.190944672000001</v>
      </c>
      <c r="G468">
        <v>1303.9819336</v>
      </c>
      <c r="H468">
        <v>1292.8327637</v>
      </c>
      <c r="I468">
        <v>1407.2564697</v>
      </c>
      <c r="J468">
        <v>1386.0516356999999</v>
      </c>
      <c r="K468">
        <v>0</v>
      </c>
      <c r="L468">
        <v>2200</v>
      </c>
      <c r="M468">
        <v>2200</v>
      </c>
      <c r="N468">
        <v>0</v>
      </c>
    </row>
    <row r="469" spans="1:14" x14ac:dyDescent="0.25">
      <c r="A469">
        <v>185.29308499999999</v>
      </c>
      <c r="B469" s="1">
        <f>DATE(2010,11,2) + TIME(7,2,2)</f>
        <v>40484.293078703704</v>
      </c>
      <c r="C469">
        <v>80</v>
      </c>
      <c r="D469">
        <v>79.508323669000006</v>
      </c>
      <c r="E469">
        <v>50</v>
      </c>
      <c r="F469">
        <v>42.927490233999997</v>
      </c>
      <c r="G469">
        <v>1303.9781493999999</v>
      </c>
      <c r="H469">
        <v>1292.8280029</v>
      </c>
      <c r="I469">
        <v>1406.7536620999999</v>
      </c>
      <c r="J469">
        <v>1385.8148193</v>
      </c>
      <c r="K469">
        <v>0</v>
      </c>
      <c r="L469">
        <v>2200</v>
      </c>
      <c r="M469">
        <v>2200</v>
      </c>
      <c r="N469">
        <v>0</v>
      </c>
    </row>
    <row r="470" spans="1:14" x14ac:dyDescent="0.25">
      <c r="A470">
        <v>185.39336900000001</v>
      </c>
      <c r="B470" s="1">
        <f>DATE(2010,11,2) + TIME(9,26,27)</f>
        <v>40484.393368055556</v>
      </c>
      <c r="C470">
        <v>80</v>
      </c>
      <c r="D470">
        <v>79.482200622999997</v>
      </c>
      <c r="E470">
        <v>50</v>
      </c>
      <c r="F470">
        <v>43.649642944</v>
      </c>
      <c r="G470">
        <v>1303.9741211</v>
      </c>
      <c r="H470">
        <v>1292.822876</v>
      </c>
      <c r="I470">
        <v>1406.2593993999999</v>
      </c>
      <c r="J470">
        <v>1385.5755615</v>
      </c>
      <c r="K470">
        <v>0</v>
      </c>
      <c r="L470">
        <v>2200</v>
      </c>
      <c r="M470">
        <v>2200</v>
      </c>
      <c r="N470">
        <v>0</v>
      </c>
    </row>
    <row r="471" spans="1:14" x14ac:dyDescent="0.25">
      <c r="A471">
        <v>185.503748</v>
      </c>
      <c r="B471" s="1">
        <f>DATE(2010,11,2) + TIME(12,5,23)</f>
        <v>40484.503738425927</v>
      </c>
      <c r="C471">
        <v>80</v>
      </c>
      <c r="D471">
        <v>79.453987122000001</v>
      </c>
      <c r="E471">
        <v>50</v>
      </c>
      <c r="F471">
        <v>44.355682373</v>
      </c>
      <c r="G471">
        <v>1303.9697266000001</v>
      </c>
      <c r="H471">
        <v>1292.8172606999999</v>
      </c>
      <c r="I471">
        <v>1405.7724608999999</v>
      </c>
      <c r="J471">
        <v>1385.3326416</v>
      </c>
      <c r="K471">
        <v>0</v>
      </c>
      <c r="L471">
        <v>2200</v>
      </c>
      <c r="M471">
        <v>2200</v>
      </c>
      <c r="N471">
        <v>0</v>
      </c>
    </row>
    <row r="472" spans="1:14" x14ac:dyDescent="0.25">
      <c r="A472">
        <v>185.62640500000001</v>
      </c>
      <c r="B472" s="1">
        <f>DATE(2010,11,2) + TIME(15,2,1)</f>
        <v>40484.626400462963</v>
      </c>
      <c r="C472">
        <v>80</v>
      </c>
      <c r="D472">
        <v>79.423271178999997</v>
      </c>
      <c r="E472">
        <v>50</v>
      </c>
      <c r="F472">
        <v>45.043827057000001</v>
      </c>
      <c r="G472">
        <v>1303.9648437999999</v>
      </c>
      <c r="H472">
        <v>1292.8111572</v>
      </c>
      <c r="I472">
        <v>1405.2913818</v>
      </c>
      <c r="J472">
        <v>1385.0845947</v>
      </c>
      <c r="K472">
        <v>0</v>
      </c>
      <c r="L472">
        <v>2200</v>
      </c>
      <c r="M472">
        <v>2200</v>
      </c>
      <c r="N472">
        <v>0</v>
      </c>
    </row>
    <row r="473" spans="1:14" x14ac:dyDescent="0.25">
      <c r="A473">
        <v>185.75584699999999</v>
      </c>
      <c r="B473" s="1">
        <f>DATE(2010,11,2) + TIME(18,8,25)</f>
        <v>40484.755844907406</v>
      </c>
      <c r="C473">
        <v>80</v>
      </c>
      <c r="D473">
        <v>79.391319275000001</v>
      </c>
      <c r="E473">
        <v>50</v>
      </c>
      <c r="F473">
        <v>45.676326752000001</v>
      </c>
      <c r="G473">
        <v>1303.9592285000001</v>
      </c>
      <c r="H473">
        <v>1292.8044434000001</v>
      </c>
      <c r="I473">
        <v>1404.8353271000001</v>
      </c>
      <c r="J473">
        <v>1384.8378906</v>
      </c>
      <c r="K473">
        <v>0</v>
      </c>
      <c r="L473">
        <v>2200</v>
      </c>
      <c r="M473">
        <v>2200</v>
      </c>
      <c r="N473">
        <v>0</v>
      </c>
    </row>
    <row r="474" spans="1:14" x14ac:dyDescent="0.25">
      <c r="A474">
        <v>185.88711000000001</v>
      </c>
      <c r="B474" s="1">
        <f>DATE(2010,11,2) + TIME(21,17,26)</f>
        <v>40484.887106481481</v>
      </c>
      <c r="C474">
        <v>80</v>
      </c>
      <c r="D474">
        <v>79.359191894999995</v>
      </c>
      <c r="E474">
        <v>50</v>
      </c>
      <c r="F474">
        <v>46.233825684000003</v>
      </c>
      <c r="G474">
        <v>1303.9532471</v>
      </c>
      <c r="H474">
        <v>1292.7972411999999</v>
      </c>
      <c r="I474">
        <v>1404.4177245999999</v>
      </c>
      <c r="J474">
        <v>1384.6011963000001</v>
      </c>
      <c r="K474">
        <v>0</v>
      </c>
      <c r="L474">
        <v>2200</v>
      </c>
      <c r="M474">
        <v>2200</v>
      </c>
      <c r="N474">
        <v>0</v>
      </c>
    </row>
    <row r="475" spans="1:14" x14ac:dyDescent="0.25">
      <c r="A475">
        <v>186.02071699999999</v>
      </c>
      <c r="B475" s="1">
        <f>DATE(2010,11,3) + TIME(0,29,49)</f>
        <v>40485.02070601852</v>
      </c>
      <c r="C475">
        <v>80</v>
      </c>
      <c r="D475">
        <v>79.326789856000005</v>
      </c>
      <c r="E475">
        <v>50</v>
      </c>
      <c r="F475">
        <v>46.725772857999999</v>
      </c>
      <c r="G475">
        <v>1303.9472656</v>
      </c>
      <c r="H475">
        <v>1292.7900391000001</v>
      </c>
      <c r="I475">
        <v>1404.0355225000001</v>
      </c>
      <c r="J475">
        <v>1384.3767089999999</v>
      </c>
      <c r="K475">
        <v>0</v>
      </c>
      <c r="L475">
        <v>2200</v>
      </c>
      <c r="M475">
        <v>2200</v>
      </c>
      <c r="N475">
        <v>0</v>
      </c>
    </row>
    <row r="476" spans="1:14" x14ac:dyDescent="0.25">
      <c r="A476">
        <v>186.15707599999999</v>
      </c>
      <c r="B476" s="1">
        <f>DATE(2010,11,3) + TIME(3,46,11)</f>
        <v>40485.157071759262</v>
      </c>
      <c r="C476">
        <v>80</v>
      </c>
      <c r="D476">
        <v>79.294013977000006</v>
      </c>
      <c r="E476">
        <v>50</v>
      </c>
      <c r="F476">
        <v>47.159763335999997</v>
      </c>
      <c r="G476">
        <v>1303.9410399999999</v>
      </c>
      <c r="H476">
        <v>1292.7827147999999</v>
      </c>
      <c r="I476">
        <v>1403.6833495999999</v>
      </c>
      <c r="J476">
        <v>1384.1625977000001</v>
      </c>
      <c r="K476">
        <v>0</v>
      </c>
      <c r="L476">
        <v>2200</v>
      </c>
      <c r="M476">
        <v>2200</v>
      </c>
      <c r="N476">
        <v>0</v>
      </c>
    </row>
    <row r="477" spans="1:14" x14ac:dyDescent="0.25">
      <c r="A477">
        <v>186.29659599999999</v>
      </c>
      <c r="B477" s="1">
        <f>DATE(2010,11,3) + TIME(7,7,5)</f>
        <v>40485.296585648146</v>
      </c>
      <c r="C477">
        <v>80</v>
      </c>
      <c r="D477">
        <v>79.260780334000003</v>
      </c>
      <c r="E477">
        <v>50</v>
      </c>
      <c r="F477">
        <v>47.542324065999999</v>
      </c>
      <c r="G477">
        <v>1303.9346923999999</v>
      </c>
      <c r="H477">
        <v>1292.7751464999999</v>
      </c>
      <c r="I477">
        <v>1403.3572998</v>
      </c>
      <c r="J477">
        <v>1383.9573975000001</v>
      </c>
      <c r="K477">
        <v>0</v>
      </c>
      <c r="L477">
        <v>2200</v>
      </c>
      <c r="M477">
        <v>2200</v>
      </c>
      <c r="N477">
        <v>0</v>
      </c>
    </row>
    <row r="478" spans="1:14" x14ac:dyDescent="0.25">
      <c r="A478">
        <v>186.439865</v>
      </c>
      <c r="B478" s="1">
        <f>DATE(2010,11,3) + TIME(10,33,24)</f>
        <v>40485.43986111111</v>
      </c>
      <c r="C478">
        <v>80</v>
      </c>
      <c r="D478">
        <v>79.226966857999997</v>
      </c>
      <c r="E478">
        <v>50</v>
      </c>
      <c r="F478">
        <v>47.879467009999999</v>
      </c>
      <c r="G478">
        <v>1303.9282227000001</v>
      </c>
      <c r="H478">
        <v>1292.7674560999999</v>
      </c>
      <c r="I478">
        <v>1403.0533447</v>
      </c>
      <c r="J478">
        <v>1383.7596435999999</v>
      </c>
      <c r="K478">
        <v>0</v>
      </c>
      <c r="L478">
        <v>2200</v>
      </c>
      <c r="M478">
        <v>2200</v>
      </c>
      <c r="N478">
        <v>0</v>
      </c>
    </row>
    <row r="479" spans="1:14" x14ac:dyDescent="0.25">
      <c r="A479">
        <v>186.58735799999999</v>
      </c>
      <c r="B479" s="1">
        <f>DATE(2010,11,3) + TIME(14,5,47)</f>
        <v>40485.58734953704</v>
      </c>
      <c r="C479">
        <v>80</v>
      </c>
      <c r="D479">
        <v>79.192474364999995</v>
      </c>
      <c r="E479">
        <v>50</v>
      </c>
      <c r="F479">
        <v>48.176071167000003</v>
      </c>
      <c r="G479">
        <v>1303.9215088000001</v>
      </c>
      <c r="H479">
        <v>1292.7595214999999</v>
      </c>
      <c r="I479">
        <v>1402.7685547000001</v>
      </c>
      <c r="J479">
        <v>1383.5681152</v>
      </c>
      <c r="K479">
        <v>0</v>
      </c>
      <c r="L479">
        <v>2200</v>
      </c>
      <c r="M479">
        <v>2200</v>
      </c>
      <c r="N479">
        <v>0</v>
      </c>
    </row>
    <row r="480" spans="1:14" x14ac:dyDescent="0.25">
      <c r="A480">
        <v>186.73970800000001</v>
      </c>
      <c r="B480" s="1">
        <f>DATE(2010,11,3) + TIME(17,45,10)</f>
        <v>40485.739699074074</v>
      </c>
      <c r="C480">
        <v>80</v>
      </c>
      <c r="D480">
        <v>79.157180785999998</v>
      </c>
      <c r="E480">
        <v>50</v>
      </c>
      <c r="F480">
        <v>48.436626433999997</v>
      </c>
      <c r="G480">
        <v>1303.9145507999999</v>
      </c>
      <c r="H480">
        <v>1292.7513428</v>
      </c>
      <c r="I480">
        <v>1402.5002440999999</v>
      </c>
      <c r="J480">
        <v>1383.3819579999999</v>
      </c>
      <c r="K480">
        <v>0</v>
      </c>
      <c r="L480">
        <v>2200</v>
      </c>
      <c r="M480">
        <v>2200</v>
      </c>
      <c r="N480">
        <v>0</v>
      </c>
    </row>
    <row r="481" spans="1:14" x14ac:dyDescent="0.25">
      <c r="A481">
        <v>186.897561</v>
      </c>
      <c r="B481" s="1">
        <f>DATE(2010,11,3) + TIME(21,32,29)</f>
        <v>40485.897557870368</v>
      </c>
      <c r="C481">
        <v>80</v>
      </c>
      <c r="D481">
        <v>79.120956421000002</v>
      </c>
      <c r="E481">
        <v>50</v>
      </c>
      <c r="F481">
        <v>48.664989470999998</v>
      </c>
      <c r="G481">
        <v>1303.9074707</v>
      </c>
      <c r="H481">
        <v>1292.7429199000001</v>
      </c>
      <c r="I481">
        <v>1402.2460937999999</v>
      </c>
      <c r="J481">
        <v>1383.2003173999999</v>
      </c>
      <c r="K481">
        <v>0</v>
      </c>
      <c r="L481">
        <v>2200</v>
      </c>
      <c r="M481">
        <v>2200</v>
      </c>
      <c r="N481">
        <v>0</v>
      </c>
    </row>
    <row r="482" spans="1:14" x14ac:dyDescent="0.25">
      <c r="A482">
        <v>187.061576</v>
      </c>
      <c r="B482" s="1">
        <f>DATE(2010,11,4) + TIME(1,28,40)</f>
        <v>40486.061574074076</v>
      </c>
      <c r="C482">
        <v>80</v>
      </c>
      <c r="D482">
        <v>79.083679199000002</v>
      </c>
      <c r="E482">
        <v>50</v>
      </c>
      <c r="F482">
        <v>48.864501953000001</v>
      </c>
      <c r="G482">
        <v>1303.9000243999999</v>
      </c>
      <c r="H482">
        <v>1292.7341309000001</v>
      </c>
      <c r="I482">
        <v>1402.0041504000001</v>
      </c>
      <c r="J482">
        <v>1383.0220947</v>
      </c>
      <c r="K482">
        <v>0</v>
      </c>
      <c r="L482">
        <v>2200</v>
      </c>
      <c r="M482">
        <v>2200</v>
      </c>
      <c r="N482">
        <v>0</v>
      </c>
    </row>
    <row r="483" spans="1:14" x14ac:dyDescent="0.25">
      <c r="A483">
        <v>187.232527</v>
      </c>
      <c r="B483" s="1">
        <f>DATE(2010,11,4) + TIME(5,34,50)</f>
        <v>40486.232523148145</v>
      </c>
      <c r="C483">
        <v>80</v>
      </c>
      <c r="D483">
        <v>79.045211792000003</v>
      </c>
      <c r="E483">
        <v>50</v>
      </c>
      <c r="F483">
        <v>49.038211822999997</v>
      </c>
      <c r="G483">
        <v>1303.8923339999999</v>
      </c>
      <c r="H483">
        <v>1292.7249756000001</v>
      </c>
      <c r="I483">
        <v>1401.7725829999999</v>
      </c>
      <c r="J483">
        <v>1382.8468018000001</v>
      </c>
      <c r="K483">
        <v>0</v>
      </c>
      <c r="L483">
        <v>2200</v>
      </c>
      <c r="M483">
        <v>2200</v>
      </c>
      <c r="N483">
        <v>0</v>
      </c>
    </row>
    <row r="484" spans="1:14" x14ac:dyDescent="0.25">
      <c r="A484">
        <v>187.411327</v>
      </c>
      <c r="B484" s="1">
        <f>DATE(2010,11,4) + TIME(9,52,18)</f>
        <v>40486.411319444444</v>
      </c>
      <c r="C484">
        <v>80</v>
      </c>
      <c r="D484">
        <v>79.005371093999997</v>
      </c>
      <c r="E484">
        <v>50</v>
      </c>
      <c r="F484">
        <v>49.188861846999998</v>
      </c>
      <c r="G484">
        <v>1303.8841553</v>
      </c>
      <c r="H484">
        <v>1292.7155762</v>
      </c>
      <c r="I484">
        <v>1401.5499268000001</v>
      </c>
      <c r="J484">
        <v>1382.6735839999999</v>
      </c>
      <c r="K484">
        <v>0</v>
      </c>
      <c r="L484">
        <v>2200</v>
      </c>
      <c r="M484">
        <v>2200</v>
      </c>
      <c r="N484">
        <v>0</v>
      </c>
    </row>
    <row r="485" spans="1:14" x14ac:dyDescent="0.25">
      <c r="A485">
        <v>187.59912199999999</v>
      </c>
      <c r="B485" s="1">
        <f>DATE(2010,11,4) + TIME(14,22,44)</f>
        <v>40486.599120370367</v>
      </c>
      <c r="C485">
        <v>80</v>
      </c>
      <c r="D485">
        <v>78.963973999000004</v>
      </c>
      <c r="E485">
        <v>50</v>
      </c>
      <c r="F485">
        <v>49.318977355999998</v>
      </c>
      <c r="G485">
        <v>1303.8757324000001</v>
      </c>
      <c r="H485">
        <v>1292.7055664</v>
      </c>
      <c r="I485">
        <v>1401.3345947</v>
      </c>
      <c r="J485">
        <v>1382.5018310999999</v>
      </c>
      <c r="K485">
        <v>0</v>
      </c>
      <c r="L485">
        <v>2200</v>
      </c>
      <c r="M485">
        <v>2200</v>
      </c>
      <c r="N485">
        <v>0</v>
      </c>
    </row>
    <row r="486" spans="1:14" x14ac:dyDescent="0.25">
      <c r="A486">
        <v>187.797247</v>
      </c>
      <c r="B486" s="1">
        <f>DATE(2010,11,4) + TIME(19,8,2)</f>
        <v>40486.79724537037</v>
      </c>
      <c r="C486">
        <v>80</v>
      </c>
      <c r="D486">
        <v>78.920761107999994</v>
      </c>
      <c r="E486">
        <v>50</v>
      </c>
      <c r="F486">
        <v>49.430805206000002</v>
      </c>
      <c r="G486">
        <v>1303.8668213000001</v>
      </c>
      <c r="H486">
        <v>1292.6950684000001</v>
      </c>
      <c r="I486">
        <v>1401.125</v>
      </c>
      <c r="J486">
        <v>1382.3308105000001</v>
      </c>
      <c r="K486">
        <v>0</v>
      </c>
      <c r="L486">
        <v>2200</v>
      </c>
      <c r="M486">
        <v>2200</v>
      </c>
      <c r="N486">
        <v>0</v>
      </c>
    </row>
    <row r="487" spans="1:14" x14ac:dyDescent="0.25">
      <c r="A487">
        <v>188.00728599999999</v>
      </c>
      <c r="B487" s="1">
        <f>DATE(2010,11,5) + TIME(0,10,29)</f>
        <v>40487.007280092592</v>
      </c>
      <c r="C487">
        <v>80</v>
      </c>
      <c r="D487">
        <v>78.875480651999993</v>
      </c>
      <c r="E487">
        <v>50</v>
      </c>
      <c r="F487">
        <v>49.526359558000003</v>
      </c>
      <c r="G487">
        <v>1303.8574219</v>
      </c>
      <c r="H487">
        <v>1292.684082</v>
      </c>
      <c r="I487">
        <v>1400.9197998</v>
      </c>
      <c r="J487">
        <v>1382.1595459</v>
      </c>
      <c r="K487">
        <v>0</v>
      </c>
      <c r="L487">
        <v>2200</v>
      </c>
      <c r="M487">
        <v>2200</v>
      </c>
      <c r="N487">
        <v>0</v>
      </c>
    </row>
    <row r="488" spans="1:14" x14ac:dyDescent="0.25">
      <c r="A488">
        <v>188.231145</v>
      </c>
      <c r="B488" s="1">
        <f>DATE(2010,11,5) + TIME(5,32,50)</f>
        <v>40487.231134259258</v>
      </c>
      <c r="C488">
        <v>80</v>
      </c>
      <c r="D488">
        <v>78.827789307000003</v>
      </c>
      <c r="E488">
        <v>50</v>
      </c>
      <c r="F488">
        <v>49.607460021999998</v>
      </c>
      <c r="G488">
        <v>1303.8472899999999</v>
      </c>
      <c r="H488">
        <v>1292.6723632999999</v>
      </c>
      <c r="I488">
        <v>1400.7176514</v>
      </c>
      <c r="J488">
        <v>1381.9875488</v>
      </c>
      <c r="K488">
        <v>0</v>
      </c>
      <c r="L488">
        <v>2200</v>
      </c>
      <c r="M488">
        <v>2200</v>
      </c>
      <c r="N488">
        <v>0</v>
      </c>
    </row>
    <row r="489" spans="1:14" x14ac:dyDescent="0.25">
      <c r="A489">
        <v>188.471148</v>
      </c>
      <c r="B489" s="1">
        <f>DATE(2010,11,5) + TIME(11,18,27)</f>
        <v>40487.471145833333</v>
      </c>
      <c r="C489">
        <v>80</v>
      </c>
      <c r="D489">
        <v>78.777313231999997</v>
      </c>
      <c r="E489">
        <v>50</v>
      </c>
      <c r="F489">
        <v>49.675746918000002</v>
      </c>
      <c r="G489">
        <v>1303.8366699000001</v>
      </c>
      <c r="H489">
        <v>1292.6599120999999</v>
      </c>
      <c r="I489">
        <v>1400.5170897999999</v>
      </c>
      <c r="J489">
        <v>1381.8137207</v>
      </c>
      <c r="K489">
        <v>0</v>
      </c>
      <c r="L489">
        <v>2200</v>
      </c>
      <c r="M489">
        <v>2200</v>
      </c>
      <c r="N489">
        <v>0</v>
      </c>
    </row>
    <row r="490" spans="1:14" x14ac:dyDescent="0.25">
      <c r="A490">
        <v>188.72568699999999</v>
      </c>
      <c r="B490" s="1">
        <f>DATE(2010,11,5) + TIME(17,24,59)</f>
        <v>40487.725682870368</v>
      </c>
      <c r="C490">
        <v>80</v>
      </c>
      <c r="D490">
        <v>78.724304199000002</v>
      </c>
      <c r="E490">
        <v>50</v>
      </c>
      <c r="F490">
        <v>49.731956482000001</v>
      </c>
      <c r="G490">
        <v>1303.8251952999999</v>
      </c>
      <c r="H490">
        <v>1292.6464844</v>
      </c>
      <c r="I490">
        <v>1400.3172606999999</v>
      </c>
      <c r="J490">
        <v>1381.6373291</v>
      </c>
      <c r="K490">
        <v>0</v>
      </c>
      <c r="L490">
        <v>2200</v>
      </c>
      <c r="M490">
        <v>2200</v>
      </c>
      <c r="N490">
        <v>0</v>
      </c>
    </row>
    <row r="491" spans="1:14" x14ac:dyDescent="0.25">
      <c r="A491">
        <v>188.99691999999999</v>
      </c>
      <c r="B491" s="1">
        <f>DATE(2010,11,5) + TIME(23,55,33)</f>
        <v>40487.99690972222</v>
      </c>
      <c r="C491">
        <v>80</v>
      </c>
      <c r="D491">
        <v>78.668426514000004</v>
      </c>
      <c r="E491">
        <v>50</v>
      </c>
      <c r="F491">
        <v>49.777832031000003</v>
      </c>
      <c r="G491">
        <v>1303.8128661999999</v>
      </c>
      <c r="H491">
        <v>1292.6323242000001</v>
      </c>
      <c r="I491">
        <v>1400.1193848</v>
      </c>
      <c r="J491">
        <v>1381.4602050999999</v>
      </c>
      <c r="K491">
        <v>0</v>
      </c>
      <c r="L491">
        <v>2200</v>
      </c>
      <c r="M491">
        <v>2200</v>
      </c>
      <c r="N491">
        <v>0</v>
      </c>
    </row>
    <row r="492" spans="1:14" x14ac:dyDescent="0.25">
      <c r="A492">
        <v>189.274688</v>
      </c>
      <c r="B492" s="1">
        <f>DATE(2010,11,6) + TIME(6,35,33)</f>
        <v>40488.274687500001</v>
      </c>
      <c r="C492">
        <v>80</v>
      </c>
      <c r="D492">
        <v>78.611267089999998</v>
      </c>
      <c r="E492">
        <v>50</v>
      </c>
      <c r="F492">
        <v>49.813667297000002</v>
      </c>
      <c r="G492">
        <v>1303.7998047000001</v>
      </c>
      <c r="H492">
        <v>1292.6173096</v>
      </c>
      <c r="I492">
        <v>1399.9228516000001</v>
      </c>
      <c r="J492">
        <v>1381.2817382999999</v>
      </c>
      <c r="K492">
        <v>0</v>
      </c>
      <c r="L492">
        <v>2200</v>
      </c>
      <c r="M492">
        <v>2200</v>
      </c>
      <c r="N492">
        <v>0</v>
      </c>
    </row>
    <row r="493" spans="1:14" x14ac:dyDescent="0.25">
      <c r="A493">
        <v>189.55470800000001</v>
      </c>
      <c r="B493" s="1">
        <f>DATE(2010,11,6) + TIME(13,18,46)</f>
        <v>40488.554699074077</v>
      </c>
      <c r="C493">
        <v>80</v>
      </c>
      <c r="D493">
        <v>78.553604125999996</v>
      </c>
      <c r="E493">
        <v>50</v>
      </c>
      <c r="F493">
        <v>49.841220856</v>
      </c>
      <c r="G493">
        <v>1303.7862548999999</v>
      </c>
      <c r="H493">
        <v>1292.6018065999999</v>
      </c>
      <c r="I493">
        <v>1399.7341309000001</v>
      </c>
      <c r="J493">
        <v>1381.1086425999999</v>
      </c>
      <c r="K493">
        <v>0</v>
      </c>
      <c r="L493">
        <v>2200</v>
      </c>
      <c r="M493">
        <v>2200</v>
      </c>
      <c r="N493">
        <v>0</v>
      </c>
    </row>
    <row r="494" spans="1:14" x14ac:dyDescent="0.25">
      <c r="A494">
        <v>189.8383</v>
      </c>
      <c r="B494" s="1">
        <f>DATE(2010,11,6) + TIME(20,7,9)</f>
        <v>40488.83829861111</v>
      </c>
      <c r="C494">
        <v>80</v>
      </c>
      <c r="D494">
        <v>78.495315551999994</v>
      </c>
      <c r="E494">
        <v>50</v>
      </c>
      <c r="F494">
        <v>49.862487793</v>
      </c>
      <c r="G494">
        <v>1303.7725829999999</v>
      </c>
      <c r="H494">
        <v>1292.5861815999999</v>
      </c>
      <c r="I494">
        <v>1399.5546875</v>
      </c>
      <c r="J494">
        <v>1380.9429932</v>
      </c>
      <c r="K494">
        <v>0</v>
      </c>
      <c r="L494">
        <v>2200</v>
      </c>
      <c r="M494">
        <v>2200</v>
      </c>
      <c r="N494">
        <v>0</v>
      </c>
    </row>
    <row r="495" spans="1:14" x14ac:dyDescent="0.25">
      <c r="A495">
        <v>190.12638000000001</v>
      </c>
      <c r="B495" s="1">
        <f>DATE(2010,11,7) + TIME(3,1,59)</f>
        <v>40489.126377314817</v>
      </c>
      <c r="C495">
        <v>80</v>
      </c>
      <c r="D495">
        <v>78.436355590999995</v>
      </c>
      <c r="E495">
        <v>50</v>
      </c>
      <c r="F495">
        <v>49.878932953000003</v>
      </c>
      <c r="G495">
        <v>1303.7587891000001</v>
      </c>
      <c r="H495">
        <v>1292.5703125</v>
      </c>
      <c r="I495">
        <v>1399.3829346</v>
      </c>
      <c r="J495">
        <v>1380.7834473</v>
      </c>
      <c r="K495">
        <v>0</v>
      </c>
      <c r="L495">
        <v>2200</v>
      </c>
      <c r="M495">
        <v>2200</v>
      </c>
      <c r="N495">
        <v>0</v>
      </c>
    </row>
    <row r="496" spans="1:14" x14ac:dyDescent="0.25">
      <c r="A496">
        <v>190.41984099999999</v>
      </c>
      <c r="B496" s="1">
        <f>DATE(2010,11,7) + TIME(10,4,34)</f>
        <v>40489.41983796296</v>
      </c>
      <c r="C496">
        <v>80</v>
      </c>
      <c r="D496">
        <v>78.376617432000003</v>
      </c>
      <c r="E496">
        <v>50</v>
      </c>
      <c r="F496">
        <v>49.891666411999999</v>
      </c>
      <c r="G496">
        <v>1303.744751</v>
      </c>
      <c r="H496">
        <v>1292.5540771000001</v>
      </c>
      <c r="I496">
        <v>1399.2174072</v>
      </c>
      <c r="J496">
        <v>1380.6290283000001</v>
      </c>
      <c r="K496">
        <v>0</v>
      </c>
      <c r="L496">
        <v>2200</v>
      </c>
      <c r="M496">
        <v>2200</v>
      </c>
      <c r="N496">
        <v>0</v>
      </c>
    </row>
    <row r="497" spans="1:14" x14ac:dyDescent="0.25">
      <c r="A497">
        <v>190.71993900000001</v>
      </c>
      <c r="B497" s="1">
        <f>DATE(2010,11,7) + TIME(17,16,42)</f>
        <v>40489.719930555555</v>
      </c>
      <c r="C497">
        <v>80</v>
      </c>
      <c r="D497">
        <v>78.315948485999996</v>
      </c>
      <c r="E497">
        <v>50</v>
      </c>
      <c r="F497">
        <v>49.901546478</v>
      </c>
      <c r="G497">
        <v>1303.7304687999999</v>
      </c>
      <c r="H497">
        <v>1292.5377197</v>
      </c>
      <c r="I497">
        <v>1399.057251</v>
      </c>
      <c r="J497">
        <v>1380.479126</v>
      </c>
      <c r="K497">
        <v>0</v>
      </c>
      <c r="L497">
        <v>2200</v>
      </c>
      <c r="M497">
        <v>2200</v>
      </c>
      <c r="N497">
        <v>0</v>
      </c>
    </row>
    <row r="498" spans="1:14" x14ac:dyDescent="0.25">
      <c r="A498">
        <v>191.02815100000001</v>
      </c>
      <c r="B498" s="1">
        <f>DATE(2010,11,8) + TIME(0,40,32)</f>
        <v>40490.028148148151</v>
      </c>
      <c r="C498">
        <v>80</v>
      </c>
      <c r="D498">
        <v>78.254150390999996</v>
      </c>
      <c r="E498">
        <v>50</v>
      </c>
      <c r="F498">
        <v>49.909233092999997</v>
      </c>
      <c r="G498">
        <v>1303.7158202999999</v>
      </c>
      <c r="H498">
        <v>1292.520874</v>
      </c>
      <c r="I498">
        <v>1398.9013672000001</v>
      </c>
      <c r="J498">
        <v>1380.3326416</v>
      </c>
      <c r="K498">
        <v>0</v>
      </c>
      <c r="L498">
        <v>2200</v>
      </c>
      <c r="M498">
        <v>2200</v>
      </c>
      <c r="N498">
        <v>0</v>
      </c>
    </row>
    <row r="499" spans="1:14" x14ac:dyDescent="0.25">
      <c r="A499">
        <v>191.34603799999999</v>
      </c>
      <c r="B499" s="1">
        <f>DATE(2010,11,8) + TIME(8,18,17)</f>
        <v>40490.346030092594</v>
      </c>
      <c r="C499">
        <v>80</v>
      </c>
      <c r="D499">
        <v>78.190994262999993</v>
      </c>
      <c r="E499">
        <v>50</v>
      </c>
      <c r="F499">
        <v>49.915222168</v>
      </c>
      <c r="G499">
        <v>1303.7008057</v>
      </c>
      <c r="H499">
        <v>1292.5035399999999</v>
      </c>
      <c r="I499">
        <v>1398.7486572</v>
      </c>
      <c r="J499">
        <v>1380.1890868999999</v>
      </c>
      <c r="K499">
        <v>0</v>
      </c>
      <c r="L499">
        <v>2200</v>
      </c>
      <c r="M499">
        <v>2200</v>
      </c>
      <c r="N499">
        <v>0</v>
      </c>
    </row>
    <row r="500" spans="1:14" x14ac:dyDescent="0.25">
      <c r="A500">
        <v>191.675318</v>
      </c>
      <c r="B500" s="1">
        <f>DATE(2010,11,8) + TIME(16,12,27)</f>
        <v>40490.675312500003</v>
      </c>
      <c r="C500">
        <v>80</v>
      </c>
      <c r="D500">
        <v>78.126228333</v>
      </c>
      <c r="E500">
        <v>50</v>
      </c>
      <c r="F500">
        <v>49.919898987000003</v>
      </c>
      <c r="G500">
        <v>1303.6853027</v>
      </c>
      <c r="H500">
        <v>1292.4857178</v>
      </c>
      <c r="I500">
        <v>1398.5983887</v>
      </c>
      <c r="J500">
        <v>1380.0474853999999</v>
      </c>
      <c r="K500">
        <v>0</v>
      </c>
      <c r="L500">
        <v>2200</v>
      </c>
      <c r="M500">
        <v>2200</v>
      </c>
      <c r="N500">
        <v>0</v>
      </c>
    </row>
    <row r="501" spans="1:14" x14ac:dyDescent="0.25">
      <c r="A501">
        <v>192.01793000000001</v>
      </c>
      <c r="B501" s="1">
        <f>DATE(2010,11,9) + TIME(0,25,49)</f>
        <v>40491.017928240741</v>
      </c>
      <c r="C501">
        <v>80</v>
      </c>
      <c r="D501">
        <v>78.059555054</v>
      </c>
      <c r="E501">
        <v>50</v>
      </c>
      <c r="F501">
        <v>49.923561096</v>
      </c>
      <c r="G501">
        <v>1303.6691894999999</v>
      </c>
      <c r="H501">
        <v>1292.4671631000001</v>
      </c>
      <c r="I501">
        <v>1398.449707</v>
      </c>
      <c r="J501">
        <v>1379.9072266000001</v>
      </c>
      <c r="K501">
        <v>0</v>
      </c>
      <c r="L501">
        <v>2200</v>
      </c>
      <c r="M501">
        <v>2200</v>
      </c>
      <c r="N501">
        <v>0</v>
      </c>
    </row>
    <row r="502" spans="1:14" x14ac:dyDescent="0.25">
      <c r="A502">
        <v>192.37610100000001</v>
      </c>
      <c r="B502" s="1">
        <f>DATE(2010,11,9) + TIME(9,1,35)</f>
        <v>40491.376099537039</v>
      </c>
      <c r="C502">
        <v>80</v>
      </c>
      <c r="D502">
        <v>77.990653992000006</v>
      </c>
      <c r="E502">
        <v>50</v>
      </c>
      <c r="F502">
        <v>49.926433563000003</v>
      </c>
      <c r="G502">
        <v>1303.6524658000001</v>
      </c>
      <c r="H502">
        <v>1292.447876</v>
      </c>
      <c r="I502">
        <v>1398.3018798999999</v>
      </c>
      <c r="J502">
        <v>1379.7677002</v>
      </c>
      <c r="K502">
        <v>0</v>
      </c>
      <c r="L502">
        <v>2200</v>
      </c>
      <c r="M502">
        <v>2200</v>
      </c>
      <c r="N502">
        <v>0</v>
      </c>
    </row>
    <row r="503" spans="1:14" x14ac:dyDescent="0.25">
      <c r="A503">
        <v>192.75243599999999</v>
      </c>
      <c r="B503" s="1">
        <f>DATE(2010,11,9) + TIME(18,3,30)</f>
        <v>40491.752430555556</v>
      </c>
      <c r="C503">
        <v>80</v>
      </c>
      <c r="D503">
        <v>77.919143676999994</v>
      </c>
      <c r="E503">
        <v>50</v>
      </c>
      <c r="F503">
        <v>49.928695679</v>
      </c>
      <c r="G503">
        <v>1303.6350098</v>
      </c>
      <c r="H503">
        <v>1292.4276123</v>
      </c>
      <c r="I503">
        <v>1398.1541748</v>
      </c>
      <c r="J503">
        <v>1379.6281738</v>
      </c>
      <c r="K503">
        <v>0</v>
      </c>
      <c r="L503">
        <v>2200</v>
      </c>
      <c r="M503">
        <v>2200</v>
      </c>
      <c r="N503">
        <v>0</v>
      </c>
    </row>
    <row r="504" spans="1:14" x14ac:dyDescent="0.25">
      <c r="A504">
        <v>193.15004400000001</v>
      </c>
      <c r="B504" s="1">
        <f>DATE(2010,11,10) + TIME(3,36,3)</f>
        <v>40492.150034722225</v>
      </c>
      <c r="C504">
        <v>80</v>
      </c>
      <c r="D504">
        <v>77.844558715999995</v>
      </c>
      <c r="E504">
        <v>50</v>
      </c>
      <c r="F504">
        <v>49.930484772</v>
      </c>
      <c r="G504">
        <v>1303.6165771000001</v>
      </c>
      <c r="H504">
        <v>1292.4063721</v>
      </c>
      <c r="I504">
        <v>1398.0058594</v>
      </c>
      <c r="J504">
        <v>1379.4880370999999</v>
      </c>
      <c r="K504">
        <v>0</v>
      </c>
      <c r="L504">
        <v>2200</v>
      </c>
      <c r="M504">
        <v>2200</v>
      </c>
      <c r="N504">
        <v>0</v>
      </c>
    </row>
    <row r="505" spans="1:14" x14ac:dyDescent="0.25">
      <c r="A505">
        <v>193.56574800000001</v>
      </c>
      <c r="B505" s="1">
        <f>DATE(2010,11,10) + TIME(13,34,40)</f>
        <v>40492.565740740742</v>
      </c>
      <c r="C505">
        <v>80</v>
      </c>
      <c r="D505">
        <v>77.767272949000002</v>
      </c>
      <c r="E505">
        <v>50</v>
      </c>
      <c r="F505">
        <v>49.931892394999998</v>
      </c>
      <c r="G505">
        <v>1303.5970459</v>
      </c>
      <c r="H505">
        <v>1292.3840332</v>
      </c>
      <c r="I505">
        <v>1397.8560791</v>
      </c>
      <c r="J505">
        <v>1379.3466797000001</v>
      </c>
      <c r="K505">
        <v>0</v>
      </c>
      <c r="L505">
        <v>2200</v>
      </c>
      <c r="M505">
        <v>2200</v>
      </c>
      <c r="N505">
        <v>0</v>
      </c>
    </row>
    <row r="506" spans="1:14" x14ac:dyDescent="0.25">
      <c r="A506">
        <v>194.00194099999999</v>
      </c>
      <c r="B506" s="1">
        <f>DATE(2010,11,11) + TIME(0,2,47)</f>
        <v>40493.001932870371</v>
      </c>
      <c r="C506">
        <v>80</v>
      </c>
      <c r="D506">
        <v>77.686988830999994</v>
      </c>
      <c r="E506">
        <v>50</v>
      </c>
      <c r="F506">
        <v>49.933002471999998</v>
      </c>
      <c r="G506">
        <v>1303.5765381000001</v>
      </c>
      <c r="H506">
        <v>1292.3604736</v>
      </c>
      <c r="I506">
        <v>1397.706543</v>
      </c>
      <c r="J506">
        <v>1379.2055664</v>
      </c>
      <c r="K506">
        <v>0</v>
      </c>
      <c r="L506">
        <v>2200</v>
      </c>
      <c r="M506">
        <v>2200</v>
      </c>
      <c r="N506">
        <v>0</v>
      </c>
    </row>
    <row r="507" spans="1:14" x14ac:dyDescent="0.25">
      <c r="A507">
        <v>194.44546700000001</v>
      </c>
      <c r="B507" s="1">
        <f>DATE(2010,11,11) + TIME(10,41,28)</f>
        <v>40493.445462962962</v>
      </c>
      <c r="C507">
        <v>80</v>
      </c>
      <c r="D507">
        <v>77.605339049999998</v>
      </c>
      <c r="E507">
        <v>50</v>
      </c>
      <c r="F507">
        <v>49.933868408000002</v>
      </c>
      <c r="G507">
        <v>1303.5549315999999</v>
      </c>
      <c r="H507">
        <v>1292.3358154</v>
      </c>
      <c r="I507">
        <v>1397.5567627</v>
      </c>
      <c r="J507">
        <v>1379.0640868999999</v>
      </c>
      <c r="K507">
        <v>0</v>
      </c>
      <c r="L507">
        <v>2200</v>
      </c>
      <c r="M507">
        <v>2200</v>
      </c>
      <c r="N507">
        <v>0</v>
      </c>
    </row>
    <row r="508" spans="1:14" x14ac:dyDescent="0.25">
      <c r="A508">
        <v>194.89188200000001</v>
      </c>
      <c r="B508" s="1">
        <f>DATE(2010,11,11) + TIME(21,24,18)</f>
        <v>40493.891875000001</v>
      </c>
      <c r="C508">
        <v>80</v>
      </c>
      <c r="D508">
        <v>77.523109435999999</v>
      </c>
      <c r="E508">
        <v>50</v>
      </c>
      <c r="F508">
        <v>49.934539794999999</v>
      </c>
      <c r="G508">
        <v>1303.5328368999999</v>
      </c>
      <c r="H508">
        <v>1292.3105469</v>
      </c>
      <c r="I508">
        <v>1397.4112548999999</v>
      </c>
      <c r="J508">
        <v>1378.9267577999999</v>
      </c>
      <c r="K508">
        <v>0</v>
      </c>
      <c r="L508">
        <v>2200</v>
      </c>
      <c r="M508">
        <v>2200</v>
      </c>
      <c r="N508">
        <v>0</v>
      </c>
    </row>
    <row r="509" spans="1:14" x14ac:dyDescent="0.25">
      <c r="A509">
        <v>195.34304</v>
      </c>
      <c r="B509" s="1">
        <f>DATE(2010,11,12) + TIME(8,13,58)</f>
        <v>40494.343032407407</v>
      </c>
      <c r="C509">
        <v>80</v>
      </c>
      <c r="D509">
        <v>77.440315247000001</v>
      </c>
      <c r="E509">
        <v>50</v>
      </c>
      <c r="F509">
        <v>49.935073852999999</v>
      </c>
      <c r="G509">
        <v>1303.5104980000001</v>
      </c>
      <c r="H509">
        <v>1292.2851562000001</v>
      </c>
      <c r="I509">
        <v>1397.2711182</v>
      </c>
      <c r="J509">
        <v>1378.7947998</v>
      </c>
      <c r="K509">
        <v>0</v>
      </c>
      <c r="L509">
        <v>2200</v>
      </c>
      <c r="M509">
        <v>2200</v>
      </c>
      <c r="N509">
        <v>0</v>
      </c>
    </row>
    <row r="510" spans="1:14" x14ac:dyDescent="0.25">
      <c r="A510">
        <v>195.80132</v>
      </c>
      <c r="B510" s="1">
        <f>DATE(2010,11,12) + TIME(19,13,54)</f>
        <v>40494.801319444443</v>
      </c>
      <c r="C510">
        <v>80</v>
      </c>
      <c r="D510">
        <v>77.356803893999995</v>
      </c>
      <c r="E510">
        <v>50</v>
      </c>
      <c r="F510">
        <v>49.935504913000003</v>
      </c>
      <c r="G510">
        <v>1303.4880370999999</v>
      </c>
      <c r="H510">
        <v>1292.2593993999999</v>
      </c>
      <c r="I510">
        <v>1397.1356201000001</v>
      </c>
      <c r="J510">
        <v>1378.6669922000001</v>
      </c>
      <c r="K510">
        <v>0</v>
      </c>
      <c r="L510">
        <v>2200</v>
      </c>
      <c r="M510">
        <v>2200</v>
      </c>
      <c r="N510">
        <v>0</v>
      </c>
    </row>
    <row r="511" spans="1:14" x14ac:dyDescent="0.25">
      <c r="A511">
        <v>196.269103</v>
      </c>
      <c r="B511" s="1">
        <f>DATE(2010,11,13) + TIME(6,27,30)</f>
        <v>40495.269097222219</v>
      </c>
      <c r="C511">
        <v>80</v>
      </c>
      <c r="D511">
        <v>77.272346497000001</v>
      </c>
      <c r="E511">
        <v>50</v>
      </c>
      <c r="F511">
        <v>49.935863495</v>
      </c>
      <c r="G511">
        <v>1303.4650879000001</v>
      </c>
      <c r="H511">
        <v>1292.2330322</v>
      </c>
      <c r="I511">
        <v>1397.0036620999999</v>
      </c>
      <c r="J511">
        <v>1378.5427245999999</v>
      </c>
      <c r="K511">
        <v>0</v>
      </c>
      <c r="L511">
        <v>2200</v>
      </c>
      <c r="M511">
        <v>2200</v>
      </c>
      <c r="N511">
        <v>0</v>
      </c>
    </row>
    <row r="512" spans="1:14" x14ac:dyDescent="0.25">
      <c r="A512">
        <v>196.74883800000001</v>
      </c>
      <c r="B512" s="1">
        <f>DATE(2010,11,13) + TIME(17,58,19)</f>
        <v>40495.748831018522</v>
      </c>
      <c r="C512">
        <v>80</v>
      </c>
      <c r="D512">
        <v>77.186653136999993</v>
      </c>
      <c r="E512">
        <v>50</v>
      </c>
      <c r="F512">
        <v>49.936157227000002</v>
      </c>
      <c r="G512">
        <v>1303.4416504000001</v>
      </c>
      <c r="H512">
        <v>1292.2061768000001</v>
      </c>
      <c r="I512">
        <v>1396.8743896000001</v>
      </c>
      <c r="J512">
        <v>1378.4211425999999</v>
      </c>
      <c r="K512">
        <v>0</v>
      </c>
      <c r="L512">
        <v>2200</v>
      </c>
      <c r="M512">
        <v>2200</v>
      </c>
      <c r="N512">
        <v>0</v>
      </c>
    </row>
    <row r="513" spans="1:14" x14ac:dyDescent="0.25">
      <c r="A513">
        <v>197.243156</v>
      </c>
      <c r="B513" s="1">
        <f>DATE(2010,11,14) + TIME(5,50,8)</f>
        <v>40496.243148148147</v>
      </c>
      <c r="C513">
        <v>80</v>
      </c>
      <c r="D513">
        <v>77.099388122999997</v>
      </c>
      <c r="E513">
        <v>50</v>
      </c>
      <c r="F513">
        <v>49.936408997000001</v>
      </c>
      <c r="G513">
        <v>1303.4176024999999</v>
      </c>
      <c r="H513">
        <v>1292.1784668</v>
      </c>
      <c r="I513">
        <v>1396.7471923999999</v>
      </c>
      <c r="J513">
        <v>1378.3015137</v>
      </c>
      <c r="K513">
        <v>0</v>
      </c>
      <c r="L513">
        <v>2200</v>
      </c>
      <c r="M513">
        <v>2200</v>
      </c>
      <c r="N513">
        <v>0</v>
      </c>
    </row>
    <row r="514" spans="1:14" x14ac:dyDescent="0.25">
      <c r="A514">
        <v>197.754166</v>
      </c>
      <c r="B514" s="1">
        <f>DATE(2010,11,14) + TIME(18,5,59)</f>
        <v>40496.754155092596</v>
      </c>
      <c r="C514">
        <v>80</v>
      </c>
      <c r="D514">
        <v>77.010276794000006</v>
      </c>
      <c r="E514">
        <v>50</v>
      </c>
      <c r="F514">
        <v>49.936622620000001</v>
      </c>
      <c r="G514">
        <v>1303.3927002</v>
      </c>
      <c r="H514">
        <v>1292.1497803</v>
      </c>
      <c r="I514">
        <v>1396.6213379000001</v>
      </c>
      <c r="J514">
        <v>1378.1832274999999</v>
      </c>
      <c r="K514">
        <v>0</v>
      </c>
      <c r="L514">
        <v>2200</v>
      </c>
      <c r="M514">
        <v>2200</v>
      </c>
      <c r="N514">
        <v>0</v>
      </c>
    </row>
    <row r="515" spans="1:14" x14ac:dyDescent="0.25">
      <c r="A515">
        <v>198.28317300000001</v>
      </c>
      <c r="B515" s="1">
        <f>DATE(2010,11,15) + TIME(6,47,46)</f>
        <v>40497.283171296294</v>
      </c>
      <c r="C515">
        <v>80</v>
      </c>
      <c r="D515">
        <v>76.919105529999996</v>
      </c>
      <c r="E515">
        <v>50</v>
      </c>
      <c r="F515">
        <v>49.936809539999999</v>
      </c>
      <c r="G515">
        <v>1303.3669434000001</v>
      </c>
      <c r="H515">
        <v>1292.1201172000001</v>
      </c>
      <c r="I515">
        <v>1396.4963379000001</v>
      </c>
      <c r="J515">
        <v>1378.0657959</v>
      </c>
      <c r="K515">
        <v>0</v>
      </c>
      <c r="L515">
        <v>2200</v>
      </c>
      <c r="M515">
        <v>2200</v>
      </c>
      <c r="N515">
        <v>0</v>
      </c>
    </row>
    <row r="516" spans="1:14" x14ac:dyDescent="0.25">
      <c r="A516">
        <v>198.83348899999999</v>
      </c>
      <c r="B516" s="1">
        <f>DATE(2010,11,15) + TIME(20,0,13)</f>
        <v>40497.833483796298</v>
      </c>
      <c r="C516">
        <v>80</v>
      </c>
      <c r="D516">
        <v>76.825469971000004</v>
      </c>
      <c r="E516">
        <v>50</v>
      </c>
      <c r="F516">
        <v>49.936969757</v>
      </c>
      <c r="G516">
        <v>1303.3400879000001</v>
      </c>
      <c r="H516">
        <v>1292.0892334</v>
      </c>
      <c r="I516">
        <v>1396.3720702999999</v>
      </c>
      <c r="J516">
        <v>1377.9490966999999</v>
      </c>
      <c r="K516">
        <v>0</v>
      </c>
      <c r="L516">
        <v>2200</v>
      </c>
      <c r="M516">
        <v>2200</v>
      </c>
      <c r="N516">
        <v>0</v>
      </c>
    </row>
    <row r="517" spans="1:14" x14ac:dyDescent="0.25">
      <c r="A517">
        <v>199.40887699999999</v>
      </c>
      <c r="B517" s="1">
        <f>DATE(2010,11,16) + TIME(9,48,47)</f>
        <v>40498.408877314818</v>
      </c>
      <c r="C517">
        <v>80</v>
      </c>
      <c r="D517">
        <v>76.728912354000002</v>
      </c>
      <c r="E517">
        <v>50</v>
      </c>
      <c r="F517">
        <v>49.937114716000004</v>
      </c>
      <c r="G517">
        <v>1303.3121338000001</v>
      </c>
      <c r="H517">
        <v>1292.0570068</v>
      </c>
      <c r="I517">
        <v>1396.2479248</v>
      </c>
      <c r="J517">
        <v>1377.8326416</v>
      </c>
      <c r="K517">
        <v>0</v>
      </c>
      <c r="L517">
        <v>2200</v>
      </c>
      <c r="M517">
        <v>2200</v>
      </c>
      <c r="N517">
        <v>0</v>
      </c>
    </row>
    <row r="518" spans="1:14" x14ac:dyDescent="0.25">
      <c r="A518">
        <v>200.009367</v>
      </c>
      <c r="B518" s="1">
        <f>DATE(2010,11,17) + TIME(0,13,29)</f>
        <v>40499.009363425925</v>
      </c>
      <c r="C518">
        <v>80</v>
      </c>
      <c r="D518">
        <v>76.629333496000001</v>
      </c>
      <c r="E518">
        <v>50</v>
      </c>
      <c r="F518">
        <v>49.937244415000002</v>
      </c>
      <c r="G518">
        <v>1303.2827147999999</v>
      </c>
      <c r="H518">
        <v>1292.0231934000001</v>
      </c>
      <c r="I518">
        <v>1396.1232910000001</v>
      </c>
      <c r="J518">
        <v>1377.7156981999999</v>
      </c>
      <c r="K518">
        <v>0</v>
      </c>
      <c r="L518">
        <v>2200</v>
      </c>
      <c r="M518">
        <v>2200</v>
      </c>
      <c r="N518">
        <v>0</v>
      </c>
    </row>
    <row r="519" spans="1:14" x14ac:dyDescent="0.25">
      <c r="A519">
        <v>200.616253</v>
      </c>
      <c r="B519" s="1">
        <f>DATE(2010,11,17) + TIME(14,47,24)</f>
        <v>40499.616249999999</v>
      </c>
      <c r="C519">
        <v>80</v>
      </c>
      <c r="D519">
        <v>76.528572083</v>
      </c>
      <c r="E519">
        <v>50</v>
      </c>
      <c r="F519">
        <v>49.937355042</v>
      </c>
      <c r="G519">
        <v>1303.2517089999999</v>
      </c>
      <c r="H519">
        <v>1291.987793</v>
      </c>
      <c r="I519">
        <v>1395.9982910000001</v>
      </c>
      <c r="J519">
        <v>1377.5986327999999</v>
      </c>
      <c r="K519">
        <v>0</v>
      </c>
      <c r="L519">
        <v>2200</v>
      </c>
      <c r="M519">
        <v>2200</v>
      </c>
      <c r="N519">
        <v>0</v>
      </c>
    </row>
    <row r="520" spans="1:14" x14ac:dyDescent="0.25">
      <c r="A520">
        <v>201.227666</v>
      </c>
      <c r="B520" s="1">
        <f>DATE(2010,11,18) + TIME(5,27,50)</f>
        <v>40500.227662037039</v>
      </c>
      <c r="C520">
        <v>80</v>
      </c>
      <c r="D520">
        <v>76.427253723000007</v>
      </c>
      <c r="E520">
        <v>50</v>
      </c>
      <c r="F520">
        <v>49.937458038000003</v>
      </c>
      <c r="G520">
        <v>1303.2202147999999</v>
      </c>
      <c r="H520">
        <v>1291.9516602000001</v>
      </c>
      <c r="I520">
        <v>1395.8770752</v>
      </c>
      <c r="J520">
        <v>1377.4849853999999</v>
      </c>
      <c r="K520">
        <v>0</v>
      </c>
      <c r="L520">
        <v>2200</v>
      </c>
      <c r="M520">
        <v>2200</v>
      </c>
      <c r="N520">
        <v>0</v>
      </c>
    </row>
    <row r="521" spans="1:14" x14ac:dyDescent="0.25">
      <c r="A521">
        <v>201.845665</v>
      </c>
      <c r="B521" s="1">
        <f>DATE(2010,11,18) + TIME(20,17,45)</f>
        <v>40500.845659722225</v>
      </c>
      <c r="C521">
        <v>80</v>
      </c>
      <c r="D521">
        <v>76.325508118000002</v>
      </c>
      <c r="E521">
        <v>50</v>
      </c>
      <c r="F521">
        <v>49.937545776</v>
      </c>
      <c r="G521">
        <v>1303.1883545000001</v>
      </c>
      <c r="H521">
        <v>1291.9150391000001</v>
      </c>
      <c r="I521">
        <v>1395.7596435999999</v>
      </c>
      <c r="J521">
        <v>1377.3751221</v>
      </c>
      <c r="K521">
        <v>0</v>
      </c>
      <c r="L521">
        <v>2200</v>
      </c>
      <c r="M521">
        <v>2200</v>
      </c>
      <c r="N521">
        <v>0</v>
      </c>
    </row>
    <row r="522" spans="1:14" x14ac:dyDescent="0.25">
      <c r="A522">
        <v>202.472782</v>
      </c>
      <c r="B522" s="1">
        <f>DATE(2010,11,19) + TIME(11,20,48)</f>
        <v>40501.472777777781</v>
      </c>
      <c r="C522">
        <v>80</v>
      </c>
      <c r="D522">
        <v>76.223228454999997</v>
      </c>
      <c r="E522">
        <v>50</v>
      </c>
      <c r="F522">
        <v>49.937629700000002</v>
      </c>
      <c r="G522">
        <v>1303.1561279</v>
      </c>
      <c r="H522">
        <v>1291.8778076000001</v>
      </c>
      <c r="I522">
        <v>1395.6453856999999</v>
      </c>
      <c r="J522">
        <v>1377.2681885</v>
      </c>
      <c r="K522">
        <v>0</v>
      </c>
      <c r="L522">
        <v>2200</v>
      </c>
      <c r="M522">
        <v>2200</v>
      </c>
      <c r="N522">
        <v>0</v>
      </c>
    </row>
    <row r="523" spans="1:14" x14ac:dyDescent="0.25">
      <c r="A523">
        <v>203.11073500000001</v>
      </c>
      <c r="B523" s="1">
        <f>DATE(2010,11,20) + TIME(2,39,27)</f>
        <v>40502.110729166663</v>
      </c>
      <c r="C523">
        <v>80</v>
      </c>
      <c r="D523">
        <v>76.120285034000005</v>
      </c>
      <c r="E523">
        <v>50</v>
      </c>
      <c r="F523">
        <v>49.937705993999998</v>
      </c>
      <c r="G523">
        <v>1303.1230469</v>
      </c>
      <c r="H523">
        <v>1291.8397216999999</v>
      </c>
      <c r="I523">
        <v>1395.5338135</v>
      </c>
      <c r="J523">
        <v>1377.1639404</v>
      </c>
      <c r="K523">
        <v>0</v>
      </c>
      <c r="L523">
        <v>2200</v>
      </c>
      <c r="M523">
        <v>2200</v>
      </c>
      <c r="N523">
        <v>0</v>
      </c>
    </row>
    <row r="524" spans="1:14" x14ac:dyDescent="0.25">
      <c r="A524">
        <v>203.76279400000001</v>
      </c>
      <c r="B524" s="1">
        <f>DATE(2010,11,20) + TIME(18,18,25)</f>
        <v>40502.762789351851</v>
      </c>
      <c r="C524">
        <v>80</v>
      </c>
      <c r="D524">
        <v>76.016372681000007</v>
      </c>
      <c r="E524">
        <v>50</v>
      </c>
      <c r="F524">
        <v>49.937782288000001</v>
      </c>
      <c r="G524">
        <v>1303.0893555</v>
      </c>
      <c r="H524">
        <v>1291.8006591999999</v>
      </c>
      <c r="I524">
        <v>1395.4244385</v>
      </c>
      <c r="J524">
        <v>1377.0616454999999</v>
      </c>
      <c r="K524">
        <v>0</v>
      </c>
      <c r="L524">
        <v>2200</v>
      </c>
      <c r="M524">
        <v>2200</v>
      </c>
      <c r="N524">
        <v>0</v>
      </c>
    </row>
    <row r="525" spans="1:14" x14ac:dyDescent="0.25">
      <c r="A525">
        <v>204.432413</v>
      </c>
      <c r="B525" s="1">
        <f>DATE(2010,11,21) + TIME(10,22,40)</f>
        <v>40503.43240740741</v>
      </c>
      <c r="C525">
        <v>80</v>
      </c>
      <c r="D525">
        <v>75.911094665999997</v>
      </c>
      <c r="E525">
        <v>50</v>
      </c>
      <c r="F525">
        <v>49.937854766999997</v>
      </c>
      <c r="G525">
        <v>1303.0545654</v>
      </c>
      <c r="H525">
        <v>1291.7604980000001</v>
      </c>
      <c r="I525">
        <v>1395.3166504000001</v>
      </c>
      <c r="J525">
        <v>1376.9610596</v>
      </c>
      <c r="K525">
        <v>0</v>
      </c>
      <c r="L525">
        <v>2200</v>
      </c>
      <c r="M525">
        <v>2200</v>
      </c>
      <c r="N525">
        <v>0</v>
      </c>
    </row>
    <row r="526" spans="1:14" x14ac:dyDescent="0.25">
      <c r="A526">
        <v>205.12337400000001</v>
      </c>
      <c r="B526" s="1">
        <f>DATE(2010,11,22) + TIME(2,57,39)</f>
        <v>40504.123368055552</v>
      </c>
      <c r="C526">
        <v>80</v>
      </c>
      <c r="D526">
        <v>75.804016113000003</v>
      </c>
      <c r="E526">
        <v>50</v>
      </c>
      <c r="F526">
        <v>49.937923431000002</v>
      </c>
      <c r="G526">
        <v>1303.0186768000001</v>
      </c>
      <c r="H526">
        <v>1291.7189940999999</v>
      </c>
      <c r="I526">
        <v>1395.2100829999999</v>
      </c>
      <c r="J526">
        <v>1376.8614502</v>
      </c>
      <c r="K526">
        <v>0</v>
      </c>
      <c r="L526">
        <v>2200</v>
      </c>
      <c r="M526">
        <v>2200</v>
      </c>
      <c r="N526">
        <v>0</v>
      </c>
    </row>
    <row r="527" spans="1:14" x14ac:dyDescent="0.25">
      <c r="A527">
        <v>205.839923</v>
      </c>
      <c r="B527" s="1">
        <f>DATE(2010,11,22) + TIME(20,9,29)</f>
        <v>40504.839918981481</v>
      </c>
      <c r="C527">
        <v>80</v>
      </c>
      <c r="D527">
        <v>75.694641113000003</v>
      </c>
      <c r="E527">
        <v>50</v>
      </c>
      <c r="F527">
        <v>49.937995911000002</v>
      </c>
      <c r="G527">
        <v>1302.9814452999999</v>
      </c>
      <c r="H527">
        <v>1291.6757812000001</v>
      </c>
      <c r="I527">
        <v>1395.1038818</v>
      </c>
      <c r="J527">
        <v>1376.7623291</v>
      </c>
      <c r="K527">
        <v>0</v>
      </c>
      <c r="L527">
        <v>2200</v>
      </c>
      <c r="M527">
        <v>2200</v>
      </c>
      <c r="N527">
        <v>0</v>
      </c>
    </row>
    <row r="528" spans="1:14" x14ac:dyDescent="0.25">
      <c r="A528">
        <v>206.586939</v>
      </c>
      <c r="B528" s="1">
        <f>DATE(2010,11,23) + TIME(14,5,11)</f>
        <v>40505.58693287037</v>
      </c>
      <c r="C528">
        <v>80</v>
      </c>
      <c r="D528">
        <v>75.582389832000004</v>
      </c>
      <c r="E528">
        <v>50</v>
      </c>
      <c r="F528">
        <v>49.938068389999998</v>
      </c>
      <c r="G528">
        <v>1302.9426269999999</v>
      </c>
      <c r="H528">
        <v>1291.6306152</v>
      </c>
      <c r="I528">
        <v>1394.9978027</v>
      </c>
      <c r="J528">
        <v>1376.6634521000001</v>
      </c>
      <c r="K528">
        <v>0</v>
      </c>
      <c r="L528">
        <v>2200</v>
      </c>
      <c r="M528">
        <v>2200</v>
      </c>
      <c r="N528">
        <v>0</v>
      </c>
    </row>
    <row r="529" spans="1:14" x14ac:dyDescent="0.25">
      <c r="A529">
        <v>207.37015099999999</v>
      </c>
      <c r="B529" s="1">
        <f>DATE(2010,11,24) + TIME(8,53,1)</f>
        <v>40506.370150462964</v>
      </c>
      <c r="C529">
        <v>80</v>
      </c>
      <c r="D529">
        <v>75.466636657999999</v>
      </c>
      <c r="E529">
        <v>50</v>
      </c>
      <c r="F529">
        <v>49.938140869000001</v>
      </c>
      <c r="G529">
        <v>1302.9017334</v>
      </c>
      <c r="H529">
        <v>1291.5831298999999</v>
      </c>
      <c r="I529">
        <v>1394.8911132999999</v>
      </c>
      <c r="J529">
        <v>1376.5639647999999</v>
      </c>
      <c r="K529">
        <v>0</v>
      </c>
      <c r="L529">
        <v>2200</v>
      </c>
      <c r="M529">
        <v>2200</v>
      </c>
      <c r="N529">
        <v>0</v>
      </c>
    </row>
    <row r="530" spans="1:14" x14ac:dyDescent="0.25">
      <c r="A530">
        <v>208.16047399999999</v>
      </c>
      <c r="B530" s="1">
        <f>DATE(2010,11,25) + TIME(3,51,4)</f>
        <v>40507.160462962966</v>
      </c>
      <c r="C530">
        <v>80</v>
      </c>
      <c r="D530">
        <v>75.349487304999997</v>
      </c>
      <c r="E530">
        <v>50</v>
      </c>
      <c r="F530">
        <v>49.938213347999998</v>
      </c>
      <c r="G530">
        <v>1302.8585204999999</v>
      </c>
      <c r="H530">
        <v>1291.5330810999999</v>
      </c>
      <c r="I530">
        <v>1394.7833252</v>
      </c>
      <c r="J530">
        <v>1376.463501</v>
      </c>
      <c r="K530">
        <v>0</v>
      </c>
      <c r="L530">
        <v>2200</v>
      </c>
      <c r="M530">
        <v>2200</v>
      </c>
      <c r="N530">
        <v>0</v>
      </c>
    </row>
    <row r="531" spans="1:14" x14ac:dyDescent="0.25">
      <c r="A531">
        <v>208.95539299999999</v>
      </c>
      <c r="B531" s="1">
        <f>DATE(2010,11,25) + TIME(22,55,45)</f>
        <v>40507.955381944441</v>
      </c>
      <c r="C531">
        <v>80</v>
      </c>
      <c r="D531">
        <v>75.231918335000003</v>
      </c>
      <c r="E531">
        <v>50</v>
      </c>
      <c r="F531">
        <v>49.938285827999998</v>
      </c>
      <c r="G531">
        <v>1302.8144531</v>
      </c>
      <c r="H531">
        <v>1291.4818115</v>
      </c>
      <c r="I531">
        <v>1394.6785889</v>
      </c>
      <c r="J531">
        <v>1376.3659668</v>
      </c>
      <c r="K531">
        <v>0</v>
      </c>
      <c r="L531">
        <v>2200</v>
      </c>
      <c r="M531">
        <v>2200</v>
      </c>
      <c r="N531">
        <v>0</v>
      </c>
    </row>
    <row r="532" spans="1:14" x14ac:dyDescent="0.25">
      <c r="A532">
        <v>209.75728699999999</v>
      </c>
      <c r="B532" s="1">
        <f>DATE(2010,11,26) + TIME(18,10,29)</f>
        <v>40508.757280092592</v>
      </c>
      <c r="C532">
        <v>80</v>
      </c>
      <c r="D532">
        <v>75.114227295000006</v>
      </c>
      <c r="E532">
        <v>50</v>
      </c>
      <c r="F532">
        <v>49.938354492000002</v>
      </c>
      <c r="G532">
        <v>1302.7697754000001</v>
      </c>
      <c r="H532">
        <v>1291.4296875</v>
      </c>
      <c r="I532">
        <v>1394.5769043</v>
      </c>
      <c r="J532">
        <v>1376.2713623</v>
      </c>
      <c r="K532">
        <v>0</v>
      </c>
      <c r="L532">
        <v>2200</v>
      </c>
      <c r="M532">
        <v>2200</v>
      </c>
      <c r="N532">
        <v>0</v>
      </c>
    </row>
    <row r="533" spans="1:14" x14ac:dyDescent="0.25">
      <c r="A533">
        <v>210.56988100000001</v>
      </c>
      <c r="B533" s="1">
        <f>DATE(2010,11,27) + TIME(13,40,37)</f>
        <v>40509.569872685184</v>
      </c>
      <c r="C533">
        <v>80</v>
      </c>
      <c r="D533">
        <v>74.996353149000001</v>
      </c>
      <c r="E533">
        <v>50</v>
      </c>
      <c r="F533">
        <v>49.938426970999998</v>
      </c>
      <c r="G533">
        <v>1302.7242432</v>
      </c>
      <c r="H533">
        <v>1291.3765868999999</v>
      </c>
      <c r="I533">
        <v>1394.4779053</v>
      </c>
      <c r="J533">
        <v>1376.1793213000001</v>
      </c>
      <c r="K533">
        <v>0</v>
      </c>
      <c r="L533">
        <v>2200</v>
      </c>
      <c r="M533">
        <v>2200</v>
      </c>
      <c r="N533">
        <v>0</v>
      </c>
    </row>
    <row r="534" spans="1:14" x14ac:dyDescent="0.25">
      <c r="A534">
        <v>211.397437</v>
      </c>
      <c r="B534" s="1">
        <f>DATE(2010,11,28) + TIME(9,32,18)</f>
        <v>40510.397430555553</v>
      </c>
      <c r="C534">
        <v>80</v>
      </c>
      <c r="D534">
        <v>74.877861022999994</v>
      </c>
      <c r="E534">
        <v>50</v>
      </c>
      <c r="F534">
        <v>49.938503265000001</v>
      </c>
      <c r="G534">
        <v>1302.6777344</v>
      </c>
      <c r="H534">
        <v>1291.3220214999999</v>
      </c>
      <c r="I534">
        <v>1394.3811035000001</v>
      </c>
      <c r="J534">
        <v>1376.0892334</v>
      </c>
      <c r="K534">
        <v>0</v>
      </c>
      <c r="L534">
        <v>2200</v>
      </c>
      <c r="M534">
        <v>2200</v>
      </c>
      <c r="N534">
        <v>0</v>
      </c>
    </row>
    <row r="535" spans="1:14" x14ac:dyDescent="0.25">
      <c r="A535">
        <v>212.24439899999999</v>
      </c>
      <c r="B535" s="1">
        <f>DATE(2010,11,29) + TIME(5,51,56)</f>
        <v>40511.244398148148</v>
      </c>
      <c r="C535">
        <v>80</v>
      </c>
      <c r="D535">
        <v>74.758384704999997</v>
      </c>
      <c r="E535">
        <v>50</v>
      </c>
      <c r="F535">
        <v>49.938579558999997</v>
      </c>
      <c r="G535">
        <v>1302.6298827999999</v>
      </c>
      <c r="H535">
        <v>1291.2658690999999</v>
      </c>
      <c r="I535">
        <v>1394.2858887</v>
      </c>
      <c r="J535">
        <v>1376.0006103999999</v>
      </c>
      <c r="K535">
        <v>0</v>
      </c>
      <c r="L535">
        <v>2200</v>
      </c>
      <c r="M535">
        <v>2200</v>
      </c>
      <c r="N535">
        <v>0</v>
      </c>
    </row>
    <row r="536" spans="1:14" x14ac:dyDescent="0.25">
      <c r="A536">
        <v>213.11554899999999</v>
      </c>
      <c r="B536" s="1">
        <f>DATE(2010,11,30) + TIME(2,46,23)</f>
        <v>40512.115543981483</v>
      </c>
      <c r="C536">
        <v>80</v>
      </c>
      <c r="D536">
        <v>74.637420653999996</v>
      </c>
      <c r="E536">
        <v>50</v>
      </c>
      <c r="F536">
        <v>49.938655853</v>
      </c>
      <c r="G536">
        <v>1302.5805664</v>
      </c>
      <c r="H536">
        <v>1291.2077637</v>
      </c>
      <c r="I536">
        <v>1394.1916504000001</v>
      </c>
      <c r="J536">
        <v>1375.9130858999999</v>
      </c>
      <c r="K536">
        <v>0</v>
      </c>
      <c r="L536">
        <v>2200</v>
      </c>
      <c r="M536">
        <v>2200</v>
      </c>
      <c r="N536">
        <v>0</v>
      </c>
    </row>
    <row r="537" spans="1:14" x14ac:dyDescent="0.25">
      <c r="A537">
        <v>214</v>
      </c>
      <c r="B537" s="1">
        <f>DATE(2010,12,1) + TIME(0,0,0)</f>
        <v>40513</v>
      </c>
      <c r="C537">
        <v>80</v>
      </c>
      <c r="D537">
        <v>74.515548706000004</v>
      </c>
      <c r="E537">
        <v>50</v>
      </c>
      <c r="F537">
        <v>49.938735962000003</v>
      </c>
      <c r="G537">
        <v>1302.5290527</v>
      </c>
      <c r="H537">
        <v>1291.1472168</v>
      </c>
      <c r="I537">
        <v>1394.0980225000001</v>
      </c>
      <c r="J537">
        <v>1375.8260498</v>
      </c>
      <c r="K537">
        <v>0</v>
      </c>
      <c r="L537">
        <v>2200</v>
      </c>
      <c r="M537">
        <v>2200</v>
      </c>
      <c r="N537">
        <v>0</v>
      </c>
    </row>
    <row r="538" spans="1:14" x14ac:dyDescent="0.25">
      <c r="A538">
        <v>214.90064000000001</v>
      </c>
      <c r="B538" s="1">
        <f>DATE(2010,12,1) + TIME(21,36,55)</f>
        <v>40513.900636574072</v>
      </c>
      <c r="C538">
        <v>80</v>
      </c>
      <c r="D538">
        <v>74.392799377000003</v>
      </c>
      <c r="E538">
        <v>50</v>
      </c>
      <c r="F538">
        <v>49.938816070999998</v>
      </c>
      <c r="G538">
        <v>1302.4763184000001</v>
      </c>
      <c r="H538">
        <v>1291.0849608999999</v>
      </c>
      <c r="I538">
        <v>1394.0059814000001</v>
      </c>
      <c r="J538">
        <v>1375.7406006000001</v>
      </c>
      <c r="K538">
        <v>0</v>
      </c>
      <c r="L538">
        <v>2200</v>
      </c>
      <c r="M538">
        <v>2200</v>
      </c>
      <c r="N538">
        <v>0</v>
      </c>
    </row>
    <row r="539" spans="1:14" x14ac:dyDescent="0.25">
      <c r="A539">
        <v>215.864589</v>
      </c>
      <c r="B539" s="1">
        <f>DATE(2010,12,2) + TIME(20,45,0)</f>
        <v>40514.864583333336</v>
      </c>
      <c r="C539">
        <v>80</v>
      </c>
      <c r="D539">
        <v>74.266036987000007</v>
      </c>
      <c r="E539">
        <v>50</v>
      </c>
      <c r="F539">
        <v>49.938903809000003</v>
      </c>
      <c r="G539">
        <v>1302.4221190999999</v>
      </c>
      <c r="H539">
        <v>1291.0205077999999</v>
      </c>
      <c r="I539">
        <v>1393.9155272999999</v>
      </c>
      <c r="J539">
        <v>1375.6566161999999</v>
      </c>
      <c r="K539">
        <v>0</v>
      </c>
      <c r="L539">
        <v>2200</v>
      </c>
      <c r="M539">
        <v>2200</v>
      </c>
      <c r="N539">
        <v>0</v>
      </c>
    </row>
    <row r="540" spans="1:14" x14ac:dyDescent="0.25">
      <c r="A540">
        <v>216.85167200000001</v>
      </c>
      <c r="B540" s="1">
        <f>DATE(2010,12,3) + TIME(20,26,24)</f>
        <v>40515.851666666669</v>
      </c>
      <c r="C540">
        <v>80</v>
      </c>
      <c r="D540">
        <v>74.136550903</v>
      </c>
      <c r="E540">
        <v>50</v>
      </c>
      <c r="F540">
        <v>49.938991547000001</v>
      </c>
      <c r="G540">
        <v>1302.3634033000001</v>
      </c>
      <c r="H540">
        <v>1290.9509277</v>
      </c>
      <c r="I540">
        <v>1393.8217772999999</v>
      </c>
      <c r="J540">
        <v>1375.5697021000001</v>
      </c>
      <c r="K540">
        <v>0</v>
      </c>
      <c r="L540">
        <v>2200</v>
      </c>
      <c r="M540">
        <v>2200</v>
      </c>
      <c r="N540">
        <v>0</v>
      </c>
    </row>
    <row r="541" spans="1:14" x14ac:dyDescent="0.25">
      <c r="A541">
        <v>217.84438</v>
      </c>
      <c r="B541" s="1">
        <f>DATE(2010,12,4) + TIME(20,15,54)</f>
        <v>40516.844375000001</v>
      </c>
      <c r="C541">
        <v>80</v>
      </c>
      <c r="D541">
        <v>74.006103515999996</v>
      </c>
      <c r="E541">
        <v>50</v>
      </c>
      <c r="F541">
        <v>49.939083099000001</v>
      </c>
      <c r="G541">
        <v>1302.3023682</v>
      </c>
      <c r="H541">
        <v>1290.8785399999999</v>
      </c>
      <c r="I541">
        <v>1393.729126</v>
      </c>
      <c r="J541">
        <v>1375.4836425999999</v>
      </c>
      <c r="K541">
        <v>0</v>
      </c>
      <c r="L541">
        <v>2200</v>
      </c>
      <c r="M541">
        <v>2200</v>
      </c>
      <c r="N541">
        <v>0</v>
      </c>
    </row>
    <row r="542" spans="1:14" x14ac:dyDescent="0.25">
      <c r="A542">
        <v>218.84600499999999</v>
      </c>
      <c r="B542" s="1">
        <f>DATE(2010,12,5) + TIME(20,18,14)</f>
        <v>40517.845995370371</v>
      </c>
      <c r="C542">
        <v>80</v>
      </c>
      <c r="D542">
        <v>73.875389099000003</v>
      </c>
      <c r="E542">
        <v>50</v>
      </c>
      <c r="F542">
        <v>49.939170836999999</v>
      </c>
      <c r="G542">
        <v>1302.2401123</v>
      </c>
      <c r="H542">
        <v>1290.8044434000001</v>
      </c>
      <c r="I542">
        <v>1393.6389160000001</v>
      </c>
      <c r="J542">
        <v>1375.4000243999999</v>
      </c>
      <c r="K542">
        <v>0</v>
      </c>
      <c r="L542">
        <v>2200</v>
      </c>
      <c r="M542">
        <v>2200</v>
      </c>
      <c r="N542">
        <v>0</v>
      </c>
    </row>
    <row r="543" spans="1:14" x14ac:dyDescent="0.25">
      <c r="A543">
        <v>219.85965200000001</v>
      </c>
      <c r="B543" s="1">
        <f>DATE(2010,12,6) + TIME(20,37,53)</f>
        <v>40518.8596412037</v>
      </c>
      <c r="C543">
        <v>80</v>
      </c>
      <c r="D543">
        <v>73.744552612000007</v>
      </c>
      <c r="E543">
        <v>50</v>
      </c>
      <c r="F543">
        <v>49.939262390000003</v>
      </c>
      <c r="G543">
        <v>1302.1765137</v>
      </c>
      <c r="H543">
        <v>1290.7282714999999</v>
      </c>
      <c r="I543">
        <v>1393.5510254000001</v>
      </c>
      <c r="J543">
        <v>1375.3184814000001</v>
      </c>
      <c r="K543">
        <v>0</v>
      </c>
      <c r="L543">
        <v>2200</v>
      </c>
      <c r="M543">
        <v>2200</v>
      </c>
      <c r="N543">
        <v>0</v>
      </c>
    </row>
    <row r="544" spans="1:14" x14ac:dyDescent="0.25">
      <c r="A544">
        <v>220.88976400000001</v>
      </c>
      <c r="B544" s="1">
        <f>DATE(2010,12,7) + TIME(21,21,15)</f>
        <v>40519.889756944445</v>
      </c>
      <c r="C544">
        <v>80</v>
      </c>
      <c r="D544">
        <v>73.613380432</v>
      </c>
      <c r="E544">
        <v>50</v>
      </c>
      <c r="F544">
        <v>49.939357758</v>
      </c>
      <c r="G544">
        <v>1302.1112060999999</v>
      </c>
      <c r="H544">
        <v>1290.6500243999999</v>
      </c>
      <c r="I544">
        <v>1393.4648437999999</v>
      </c>
      <c r="J544">
        <v>1375.2386475000001</v>
      </c>
      <c r="K544">
        <v>0</v>
      </c>
      <c r="L544">
        <v>2200</v>
      </c>
      <c r="M544">
        <v>2200</v>
      </c>
      <c r="N544">
        <v>0</v>
      </c>
    </row>
    <row r="545" spans="1:14" x14ac:dyDescent="0.25">
      <c r="A545">
        <v>221.94179399999999</v>
      </c>
      <c r="B545" s="1">
        <f>DATE(2010,12,8) + TIME(22,36,11)</f>
        <v>40520.941793981481</v>
      </c>
      <c r="C545">
        <v>80</v>
      </c>
      <c r="D545">
        <v>73.481460571</v>
      </c>
      <c r="E545">
        <v>50</v>
      </c>
      <c r="F545">
        <v>49.939453125</v>
      </c>
      <c r="G545">
        <v>1302.0439452999999</v>
      </c>
      <c r="H545">
        <v>1290.5690918</v>
      </c>
      <c r="I545">
        <v>1393.3801269999999</v>
      </c>
      <c r="J545">
        <v>1375.1601562000001</v>
      </c>
      <c r="K545">
        <v>0</v>
      </c>
      <c r="L545">
        <v>2200</v>
      </c>
      <c r="M545">
        <v>2200</v>
      </c>
      <c r="N545">
        <v>0</v>
      </c>
    </row>
    <row r="546" spans="1:14" x14ac:dyDescent="0.25">
      <c r="A546">
        <v>223.01881399999999</v>
      </c>
      <c r="B546" s="1">
        <f>DATE(2010,12,10) + TIME(0,27,5)</f>
        <v>40522.018807870372</v>
      </c>
      <c r="C546">
        <v>80</v>
      </c>
      <c r="D546">
        <v>73.348388671999999</v>
      </c>
      <c r="E546">
        <v>50</v>
      </c>
      <c r="F546">
        <v>49.939552307</v>
      </c>
      <c r="G546">
        <v>1301.9743652</v>
      </c>
      <c r="H546">
        <v>1290.4849853999999</v>
      </c>
      <c r="I546">
        <v>1393.2962646000001</v>
      </c>
      <c r="J546">
        <v>1375.0825195</v>
      </c>
      <c r="K546">
        <v>0</v>
      </c>
      <c r="L546">
        <v>2200</v>
      </c>
      <c r="M546">
        <v>2200</v>
      </c>
      <c r="N546">
        <v>0</v>
      </c>
    </row>
    <row r="547" spans="1:14" x14ac:dyDescent="0.25">
      <c r="A547">
        <v>224.12670399999999</v>
      </c>
      <c r="B547" s="1">
        <f>DATE(2010,12,11) + TIME(3,2,27)</f>
        <v>40523.126701388886</v>
      </c>
      <c r="C547">
        <v>80</v>
      </c>
      <c r="D547">
        <v>73.213653563999998</v>
      </c>
      <c r="E547">
        <v>50</v>
      </c>
      <c r="F547">
        <v>49.939651488999999</v>
      </c>
      <c r="G547">
        <v>1301.9019774999999</v>
      </c>
      <c r="H547">
        <v>1290.3973389</v>
      </c>
      <c r="I547">
        <v>1393.2131348</v>
      </c>
      <c r="J547">
        <v>1375.0056152</v>
      </c>
      <c r="K547">
        <v>0</v>
      </c>
      <c r="L547">
        <v>2200</v>
      </c>
      <c r="M547">
        <v>2200</v>
      </c>
      <c r="N547">
        <v>0</v>
      </c>
    </row>
    <row r="548" spans="1:14" x14ac:dyDescent="0.25">
      <c r="A548">
        <v>225.27226999999999</v>
      </c>
      <c r="B548" s="1">
        <f>DATE(2010,12,12) + TIME(6,32,4)</f>
        <v>40524.272268518522</v>
      </c>
      <c r="C548">
        <v>80</v>
      </c>
      <c r="D548">
        <v>73.076637267999999</v>
      </c>
      <c r="E548">
        <v>50</v>
      </c>
      <c r="F548">
        <v>49.939758300999998</v>
      </c>
      <c r="G548">
        <v>1301.8264160000001</v>
      </c>
      <c r="H548">
        <v>1290.3055420000001</v>
      </c>
      <c r="I548">
        <v>1393.1303711</v>
      </c>
      <c r="J548">
        <v>1374.9289550999999</v>
      </c>
      <c r="K548">
        <v>0</v>
      </c>
      <c r="L548">
        <v>2200</v>
      </c>
      <c r="M548">
        <v>2200</v>
      </c>
      <c r="N548">
        <v>0</v>
      </c>
    </row>
    <row r="549" spans="1:14" x14ac:dyDescent="0.25">
      <c r="A549">
        <v>226.45551</v>
      </c>
      <c r="B549" s="1">
        <f>DATE(2010,12,13) + TIME(10,55,56)</f>
        <v>40525.455509259256</v>
      </c>
      <c r="C549">
        <v>80</v>
      </c>
      <c r="D549">
        <v>72.937019348000007</v>
      </c>
      <c r="E549">
        <v>50</v>
      </c>
      <c r="F549">
        <v>49.939865112</v>
      </c>
      <c r="G549">
        <v>1301.7469481999999</v>
      </c>
      <c r="H549">
        <v>1290.2088623</v>
      </c>
      <c r="I549">
        <v>1393.0473632999999</v>
      </c>
      <c r="J549">
        <v>1374.8521728999999</v>
      </c>
      <c r="K549">
        <v>0</v>
      </c>
      <c r="L549">
        <v>2200</v>
      </c>
      <c r="M549">
        <v>2200</v>
      </c>
      <c r="N549">
        <v>0</v>
      </c>
    </row>
    <row r="550" spans="1:14" x14ac:dyDescent="0.25">
      <c r="A550">
        <v>227.64299199999999</v>
      </c>
      <c r="B550" s="1">
        <f>DATE(2010,12,14) + TIME(15,25,54)</f>
        <v>40526.64298611111</v>
      </c>
      <c r="C550">
        <v>80</v>
      </c>
      <c r="D550">
        <v>72.796470642000003</v>
      </c>
      <c r="E550">
        <v>50</v>
      </c>
      <c r="F550">
        <v>49.939975738999998</v>
      </c>
      <c r="G550">
        <v>1301.6635742000001</v>
      </c>
      <c r="H550">
        <v>1290.1072998</v>
      </c>
      <c r="I550">
        <v>1392.9644774999999</v>
      </c>
      <c r="J550">
        <v>1374.7755127</v>
      </c>
      <c r="K550">
        <v>0</v>
      </c>
      <c r="L550">
        <v>2200</v>
      </c>
      <c r="M550">
        <v>2200</v>
      </c>
      <c r="N550">
        <v>0</v>
      </c>
    </row>
    <row r="551" spans="1:14" x14ac:dyDescent="0.25">
      <c r="A551">
        <v>228.839033</v>
      </c>
      <c r="B551" s="1">
        <f>DATE(2010,12,15) + TIME(20,8,12)</f>
        <v>40527.83902777778</v>
      </c>
      <c r="C551">
        <v>80</v>
      </c>
      <c r="D551">
        <v>72.655883789000001</v>
      </c>
      <c r="E551">
        <v>50</v>
      </c>
      <c r="F551">
        <v>49.940086364999999</v>
      </c>
      <c r="G551">
        <v>1301.5784911999999</v>
      </c>
      <c r="H551">
        <v>1290.0029297000001</v>
      </c>
      <c r="I551">
        <v>1392.8837891000001</v>
      </c>
      <c r="J551">
        <v>1374.7008057</v>
      </c>
      <c r="K551">
        <v>0</v>
      </c>
      <c r="L551">
        <v>2200</v>
      </c>
      <c r="M551">
        <v>2200</v>
      </c>
      <c r="N551">
        <v>0</v>
      </c>
    </row>
    <row r="552" spans="1:14" x14ac:dyDescent="0.25">
      <c r="A552">
        <v>230.04885200000001</v>
      </c>
      <c r="B552" s="1">
        <f>DATE(2010,12,17) + TIME(1,10,20)</f>
        <v>40529.048842592594</v>
      </c>
      <c r="C552">
        <v>80</v>
      </c>
      <c r="D552">
        <v>72.515319824000002</v>
      </c>
      <c r="E552">
        <v>50</v>
      </c>
      <c r="F552">
        <v>49.940196991000001</v>
      </c>
      <c r="G552">
        <v>1301.4910889</v>
      </c>
      <c r="H552">
        <v>1289.8955077999999</v>
      </c>
      <c r="I552">
        <v>1392.8050536999999</v>
      </c>
      <c r="J552">
        <v>1374.6280518000001</v>
      </c>
      <c r="K552">
        <v>0</v>
      </c>
      <c r="L552">
        <v>2200</v>
      </c>
      <c r="M552">
        <v>2200</v>
      </c>
      <c r="N552">
        <v>0</v>
      </c>
    </row>
    <row r="553" spans="1:14" x14ac:dyDescent="0.25">
      <c r="A553">
        <v>231.27892800000001</v>
      </c>
      <c r="B553" s="1">
        <f>DATE(2010,12,18) + TIME(6,41,39)</f>
        <v>40530.278923611113</v>
      </c>
      <c r="C553">
        <v>80</v>
      </c>
      <c r="D553">
        <v>72.374404906999999</v>
      </c>
      <c r="E553">
        <v>50</v>
      </c>
      <c r="F553">
        <v>49.940307617000002</v>
      </c>
      <c r="G553">
        <v>1301.4012451000001</v>
      </c>
      <c r="H553">
        <v>1289.7845459</v>
      </c>
      <c r="I553">
        <v>1392.7277832</v>
      </c>
      <c r="J553">
        <v>1374.5566406</v>
      </c>
      <c r="K553">
        <v>0</v>
      </c>
      <c r="L553">
        <v>2200</v>
      </c>
      <c r="M553">
        <v>2200</v>
      </c>
      <c r="N553">
        <v>0</v>
      </c>
    </row>
    <row r="554" spans="1:14" x14ac:dyDescent="0.25">
      <c r="A554">
        <v>232.535245</v>
      </c>
      <c r="B554" s="1">
        <f>DATE(2010,12,19) + TIME(12,50,45)</f>
        <v>40531.535243055558</v>
      </c>
      <c r="C554">
        <v>80</v>
      </c>
      <c r="D554">
        <v>72.232597350999995</v>
      </c>
      <c r="E554">
        <v>50</v>
      </c>
      <c r="F554">
        <v>49.940425873000002</v>
      </c>
      <c r="G554">
        <v>1301.3083495999999</v>
      </c>
      <c r="H554">
        <v>1289.6693115</v>
      </c>
      <c r="I554">
        <v>1392.6517334</v>
      </c>
      <c r="J554">
        <v>1374.4863281</v>
      </c>
      <c r="K554">
        <v>0</v>
      </c>
      <c r="L554">
        <v>2200</v>
      </c>
      <c r="M554">
        <v>2200</v>
      </c>
      <c r="N554">
        <v>0</v>
      </c>
    </row>
    <row r="555" spans="1:14" x14ac:dyDescent="0.25">
      <c r="A555">
        <v>233.82162500000001</v>
      </c>
      <c r="B555" s="1">
        <f>DATE(2010,12,20) + TIME(19,43,8)</f>
        <v>40532.821620370371</v>
      </c>
      <c r="C555">
        <v>80</v>
      </c>
      <c r="D555">
        <v>72.089378357000001</v>
      </c>
      <c r="E555">
        <v>50</v>
      </c>
      <c r="F555">
        <v>49.940544127999999</v>
      </c>
      <c r="G555">
        <v>1301.2117920000001</v>
      </c>
      <c r="H555">
        <v>1289.5491943</v>
      </c>
      <c r="I555">
        <v>1392.5762939000001</v>
      </c>
      <c r="J555">
        <v>1374.416626</v>
      </c>
      <c r="K555">
        <v>0</v>
      </c>
      <c r="L555">
        <v>2200</v>
      </c>
      <c r="M555">
        <v>2200</v>
      </c>
      <c r="N555">
        <v>0</v>
      </c>
    </row>
    <row r="556" spans="1:14" x14ac:dyDescent="0.25">
      <c r="A556">
        <v>235.14570699999999</v>
      </c>
      <c r="B556" s="1">
        <f>DATE(2010,12,22) + TIME(3,29,49)</f>
        <v>40534.14570601852</v>
      </c>
      <c r="C556">
        <v>80</v>
      </c>
      <c r="D556">
        <v>71.944129943999997</v>
      </c>
      <c r="E556">
        <v>50</v>
      </c>
      <c r="F556">
        <v>49.940666198999999</v>
      </c>
      <c r="G556">
        <v>1301.1110839999999</v>
      </c>
      <c r="H556">
        <v>1289.4235839999999</v>
      </c>
      <c r="I556">
        <v>1392.5013428</v>
      </c>
      <c r="J556">
        <v>1374.3474120999999</v>
      </c>
      <c r="K556">
        <v>0</v>
      </c>
      <c r="L556">
        <v>2200</v>
      </c>
      <c r="M556">
        <v>2200</v>
      </c>
      <c r="N556">
        <v>0</v>
      </c>
    </row>
    <row r="557" spans="1:14" x14ac:dyDescent="0.25">
      <c r="A557">
        <v>236.51468600000001</v>
      </c>
      <c r="B557" s="1">
        <f>DATE(2010,12,23) + TIME(12,21,8)</f>
        <v>40535.514675925922</v>
      </c>
      <c r="C557">
        <v>80</v>
      </c>
      <c r="D557">
        <v>71.796127318999993</v>
      </c>
      <c r="E557">
        <v>50</v>
      </c>
      <c r="F557">
        <v>49.940792084000002</v>
      </c>
      <c r="G557">
        <v>1301.0054932</v>
      </c>
      <c r="H557">
        <v>1289.2913818</v>
      </c>
      <c r="I557">
        <v>1392.4265137</v>
      </c>
      <c r="J557">
        <v>1374.2781981999999</v>
      </c>
      <c r="K557">
        <v>0</v>
      </c>
      <c r="L557">
        <v>2200</v>
      </c>
      <c r="M557">
        <v>2200</v>
      </c>
      <c r="N557">
        <v>0</v>
      </c>
    </row>
    <row r="558" spans="1:14" x14ac:dyDescent="0.25">
      <c r="A558">
        <v>237.916799</v>
      </c>
      <c r="B558" s="1">
        <f>DATE(2010,12,24) + TIME(22,0,11)</f>
        <v>40536.91679398148</v>
      </c>
      <c r="C558">
        <v>80</v>
      </c>
      <c r="D558">
        <v>71.645477295000006</v>
      </c>
      <c r="E558">
        <v>50</v>
      </c>
      <c r="F558">
        <v>49.940921783</v>
      </c>
      <c r="G558">
        <v>1300.8942870999999</v>
      </c>
      <c r="H558">
        <v>1289.1517334</v>
      </c>
      <c r="I558">
        <v>1392.3514404</v>
      </c>
      <c r="J558">
        <v>1374.2089844</v>
      </c>
      <c r="K558">
        <v>0</v>
      </c>
      <c r="L558">
        <v>2200</v>
      </c>
      <c r="M558">
        <v>2200</v>
      </c>
      <c r="N558">
        <v>0</v>
      </c>
    </row>
    <row r="559" spans="1:14" x14ac:dyDescent="0.25">
      <c r="A559">
        <v>239.323463</v>
      </c>
      <c r="B559" s="1">
        <f>DATE(2010,12,26) + TIME(7,45,47)</f>
        <v>40538.323460648149</v>
      </c>
      <c r="C559">
        <v>80</v>
      </c>
      <c r="D559">
        <v>71.493682860999996</v>
      </c>
      <c r="E559">
        <v>50</v>
      </c>
      <c r="F559">
        <v>49.941047668000003</v>
      </c>
      <c r="G559">
        <v>1300.7781981999999</v>
      </c>
      <c r="H559">
        <v>1289.0054932</v>
      </c>
      <c r="I559">
        <v>1392.2768555</v>
      </c>
      <c r="J559">
        <v>1374.1400146000001</v>
      </c>
      <c r="K559">
        <v>0</v>
      </c>
      <c r="L559">
        <v>2200</v>
      </c>
      <c r="M559">
        <v>2200</v>
      </c>
      <c r="N559">
        <v>0</v>
      </c>
    </row>
    <row r="560" spans="1:14" x14ac:dyDescent="0.25">
      <c r="A560">
        <v>240.74231700000001</v>
      </c>
      <c r="B560" s="1">
        <f>DATE(2010,12,27) + TIME(17,48,56)</f>
        <v>40539.742314814815</v>
      </c>
      <c r="C560">
        <v>80</v>
      </c>
      <c r="D560">
        <v>71.341522217000005</v>
      </c>
      <c r="E560">
        <v>50</v>
      </c>
      <c r="F560">
        <v>49.941177367999998</v>
      </c>
      <c r="G560">
        <v>1300.6591797000001</v>
      </c>
      <c r="H560">
        <v>1288.8548584</v>
      </c>
      <c r="I560">
        <v>1392.2042236</v>
      </c>
      <c r="J560">
        <v>1374.0729980000001</v>
      </c>
      <c r="K560">
        <v>0</v>
      </c>
      <c r="L560">
        <v>2200</v>
      </c>
      <c r="M560">
        <v>2200</v>
      </c>
      <c r="N560">
        <v>0</v>
      </c>
    </row>
    <row r="561" spans="1:14" x14ac:dyDescent="0.25">
      <c r="A561">
        <v>242.18120999999999</v>
      </c>
      <c r="B561" s="1">
        <f>DATE(2010,12,29) + TIME(4,20,56)</f>
        <v>40541.181203703702</v>
      </c>
      <c r="C561">
        <v>80</v>
      </c>
      <c r="D561">
        <v>71.188789368000002</v>
      </c>
      <c r="E561">
        <v>50</v>
      </c>
      <c r="F561">
        <v>49.941310883</v>
      </c>
      <c r="G561">
        <v>1300.5367432</v>
      </c>
      <c r="H561">
        <v>1288.6992187999999</v>
      </c>
      <c r="I561">
        <v>1392.1331786999999</v>
      </c>
      <c r="J561">
        <v>1374.0074463000001</v>
      </c>
      <c r="K561">
        <v>0</v>
      </c>
      <c r="L561">
        <v>2200</v>
      </c>
      <c r="M561">
        <v>2200</v>
      </c>
      <c r="N561">
        <v>0</v>
      </c>
    </row>
    <row r="562" spans="1:14" x14ac:dyDescent="0.25">
      <c r="A562">
        <v>243.64817099999999</v>
      </c>
      <c r="B562" s="1">
        <f>DATE(2010,12,30) + TIME(15,33,21)</f>
        <v>40542.648159722223</v>
      </c>
      <c r="C562">
        <v>80</v>
      </c>
      <c r="D562">
        <v>71.034843445000007</v>
      </c>
      <c r="E562">
        <v>50</v>
      </c>
      <c r="F562">
        <v>49.941444396999998</v>
      </c>
      <c r="G562">
        <v>1300.4100341999999</v>
      </c>
      <c r="H562">
        <v>1288.5375977000001</v>
      </c>
      <c r="I562">
        <v>1392.0632324000001</v>
      </c>
      <c r="J562">
        <v>1373.942749</v>
      </c>
      <c r="K562">
        <v>0</v>
      </c>
      <c r="L562">
        <v>2200</v>
      </c>
      <c r="M562">
        <v>2200</v>
      </c>
      <c r="N562">
        <v>0</v>
      </c>
    </row>
    <row r="563" spans="1:14" x14ac:dyDescent="0.25">
      <c r="A563">
        <v>245</v>
      </c>
      <c r="B563" s="1">
        <f>DATE(2011,1,1) + TIME(0,0,0)</f>
        <v>40544</v>
      </c>
      <c r="C563">
        <v>80</v>
      </c>
      <c r="D563">
        <v>70.885475158999995</v>
      </c>
      <c r="E563">
        <v>50</v>
      </c>
      <c r="F563">
        <v>49.941566467000001</v>
      </c>
      <c r="G563">
        <v>1300.2785644999999</v>
      </c>
      <c r="H563">
        <v>1288.3702393000001</v>
      </c>
      <c r="I563">
        <v>1391.9937743999999</v>
      </c>
      <c r="J563">
        <v>1373.8786620999999</v>
      </c>
      <c r="K563">
        <v>0</v>
      </c>
      <c r="L563">
        <v>2200</v>
      </c>
      <c r="M563">
        <v>2200</v>
      </c>
      <c r="N563">
        <v>0</v>
      </c>
    </row>
    <row r="564" spans="1:14" x14ac:dyDescent="0.25">
      <c r="A564">
        <v>246.49241000000001</v>
      </c>
      <c r="B564" s="1">
        <f>DATE(2011,1,2) + TIME(11,49,4)</f>
        <v>40545.492407407408</v>
      </c>
      <c r="C564">
        <v>80</v>
      </c>
      <c r="D564">
        <v>70.734413146999998</v>
      </c>
      <c r="E564">
        <v>50</v>
      </c>
      <c r="F564">
        <v>49.941703795999999</v>
      </c>
      <c r="G564">
        <v>1300.1538086</v>
      </c>
      <c r="H564">
        <v>1288.2082519999999</v>
      </c>
      <c r="I564">
        <v>1391.9317627</v>
      </c>
      <c r="J564">
        <v>1373.8214111</v>
      </c>
      <c r="K564">
        <v>0</v>
      </c>
      <c r="L564">
        <v>2200</v>
      </c>
      <c r="M564">
        <v>2200</v>
      </c>
      <c r="N564">
        <v>0</v>
      </c>
    </row>
    <row r="565" spans="1:14" x14ac:dyDescent="0.25">
      <c r="A565">
        <v>248.05338399999999</v>
      </c>
      <c r="B565" s="1">
        <f>DATE(2011,1,4) + TIME(1,16,52)</f>
        <v>40547.053379629629</v>
      </c>
      <c r="C565">
        <v>80</v>
      </c>
      <c r="D565">
        <v>70.577590942</v>
      </c>
      <c r="E565">
        <v>50</v>
      </c>
      <c r="F565">
        <v>49.941844940000003</v>
      </c>
      <c r="G565">
        <v>1300.0148925999999</v>
      </c>
      <c r="H565">
        <v>1288.0292969</v>
      </c>
      <c r="I565">
        <v>1391.8649902</v>
      </c>
      <c r="J565">
        <v>1373.7598877</v>
      </c>
      <c r="K565">
        <v>0</v>
      </c>
      <c r="L565">
        <v>2200</v>
      </c>
      <c r="M565">
        <v>2200</v>
      </c>
      <c r="N565">
        <v>0</v>
      </c>
    </row>
    <row r="566" spans="1:14" x14ac:dyDescent="0.25">
      <c r="A566">
        <v>249.66253800000001</v>
      </c>
      <c r="B566" s="1">
        <f>DATE(2011,1,5) + TIME(15,54,3)</f>
        <v>40548.662534722222</v>
      </c>
      <c r="C566">
        <v>80</v>
      </c>
      <c r="D566">
        <v>70.415298461999996</v>
      </c>
      <c r="E566">
        <v>50</v>
      </c>
      <c r="F566">
        <v>49.941989898999999</v>
      </c>
      <c r="G566">
        <v>1299.8668213000001</v>
      </c>
      <c r="H566">
        <v>1287.8378906</v>
      </c>
      <c r="I566">
        <v>1391.7971190999999</v>
      </c>
      <c r="J566">
        <v>1373.6972656</v>
      </c>
      <c r="K566">
        <v>0</v>
      </c>
      <c r="L566">
        <v>2200</v>
      </c>
      <c r="M566">
        <v>2200</v>
      </c>
      <c r="N566">
        <v>0</v>
      </c>
    </row>
    <row r="567" spans="1:14" x14ac:dyDescent="0.25">
      <c r="A567">
        <v>251.288059</v>
      </c>
      <c r="B567" s="1">
        <f>DATE(2011,1,7) + TIME(6,54,48)</f>
        <v>40550.288055555553</v>
      </c>
      <c r="C567">
        <v>80</v>
      </c>
      <c r="D567">
        <v>70.249275208</v>
      </c>
      <c r="E567">
        <v>50</v>
      </c>
      <c r="F567">
        <v>49.942138671999999</v>
      </c>
      <c r="G567">
        <v>1299.7108154</v>
      </c>
      <c r="H567">
        <v>1287.6354980000001</v>
      </c>
      <c r="I567">
        <v>1391.729126</v>
      </c>
      <c r="J567">
        <v>1373.6345214999999</v>
      </c>
      <c r="K567">
        <v>0</v>
      </c>
      <c r="L567">
        <v>2200</v>
      </c>
      <c r="M567">
        <v>2200</v>
      </c>
      <c r="N567">
        <v>0</v>
      </c>
    </row>
    <row r="568" spans="1:14" x14ac:dyDescent="0.25">
      <c r="A568">
        <v>252.92443700000001</v>
      </c>
      <c r="B568" s="1">
        <f>DATE(2011,1,8) + TIME(22,11,11)</f>
        <v>40551.924432870372</v>
      </c>
      <c r="C568">
        <v>80</v>
      </c>
      <c r="D568">
        <v>70.081176757999998</v>
      </c>
      <c r="E568">
        <v>50</v>
      </c>
      <c r="F568">
        <v>49.942283629999999</v>
      </c>
      <c r="G568">
        <v>1299.5495605000001</v>
      </c>
      <c r="H568">
        <v>1287.4255370999999</v>
      </c>
      <c r="I568">
        <v>1391.6623535000001</v>
      </c>
      <c r="J568">
        <v>1373.5729980000001</v>
      </c>
      <c r="K568">
        <v>0</v>
      </c>
      <c r="L568">
        <v>2200</v>
      </c>
      <c r="M568">
        <v>2200</v>
      </c>
      <c r="N568">
        <v>0</v>
      </c>
    </row>
    <row r="569" spans="1:14" x14ac:dyDescent="0.25">
      <c r="A569">
        <v>254.577696</v>
      </c>
      <c r="B569" s="1">
        <f>DATE(2011,1,10) + TIME(13,51,52)</f>
        <v>40553.577685185184</v>
      </c>
      <c r="C569">
        <v>80</v>
      </c>
      <c r="D569">
        <v>69.911308289000004</v>
      </c>
      <c r="E569">
        <v>50</v>
      </c>
      <c r="F569">
        <v>49.942432404000002</v>
      </c>
      <c r="G569">
        <v>1299.3837891000001</v>
      </c>
      <c r="H569">
        <v>1287.208374</v>
      </c>
      <c r="I569">
        <v>1391.5970459</v>
      </c>
      <c r="J569">
        <v>1373.5126952999999</v>
      </c>
      <c r="K569">
        <v>0</v>
      </c>
      <c r="L569">
        <v>2200</v>
      </c>
      <c r="M569">
        <v>2200</v>
      </c>
      <c r="N569">
        <v>0</v>
      </c>
    </row>
    <row r="570" spans="1:14" x14ac:dyDescent="0.25">
      <c r="A570">
        <v>256.25439699999998</v>
      </c>
      <c r="B570" s="1">
        <f>DATE(2011,1,12) + TIME(6,6,19)</f>
        <v>40555.254386574074</v>
      </c>
      <c r="C570">
        <v>80</v>
      </c>
      <c r="D570">
        <v>69.739212035999998</v>
      </c>
      <c r="E570">
        <v>50</v>
      </c>
      <c r="F570">
        <v>49.942584990999997</v>
      </c>
      <c r="G570">
        <v>1299.2127685999999</v>
      </c>
      <c r="H570">
        <v>1286.9836425999999</v>
      </c>
      <c r="I570">
        <v>1391.5328368999999</v>
      </c>
      <c r="J570">
        <v>1373.4534911999999</v>
      </c>
      <c r="K570">
        <v>0</v>
      </c>
      <c r="L570">
        <v>2200</v>
      </c>
      <c r="M570">
        <v>2200</v>
      </c>
      <c r="N570">
        <v>0</v>
      </c>
    </row>
    <row r="571" spans="1:14" x14ac:dyDescent="0.25">
      <c r="A571">
        <v>257.95914399999998</v>
      </c>
      <c r="B571" s="1">
        <f>DATE(2011,1,13) + TIME(23,1,10)</f>
        <v>40556.959143518521</v>
      </c>
      <c r="C571">
        <v>80</v>
      </c>
      <c r="D571">
        <v>69.564315796000002</v>
      </c>
      <c r="E571">
        <v>50</v>
      </c>
      <c r="F571">
        <v>49.942737579000003</v>
      </c>
      <c r="G571">
        <v>1299.0357666</v>
      </c>
      <c r="H571">
        <v>1286.7501221</v>
      </c>
      <c r="I571">
        <v>1391.4694824000001</v>
      </c>
      <c r="J571">
        <v>1373.3951416</v>
      </c>
      <c r="K571">
        <v>0</v>
      </c>
      <c r="L571">
        <v>2200</v>
      </c>
      <c r="M571">
        <v>2200</v>
      </c>
      <c r="N571">
        <v>0</v>
      </c>
    </row>
    <row r="572" spans="1:14" x14ac:dyDescent="0.25">
      <c r="A572">
        <v>259.70140199999997</v>
      </c>
      <c r="B572" s="1">
        <f>DATE(2011,1,15) + TIME(16,50,1)</f>
        <v>40558.70140046296</v>
      </c>
      <c r="C572">
        <v>80</v>
      </c>
      <c r="D572">
        <v>69.385696410999998</v>
      </c>
      <c r="E572">
        <v>50</v>
      </c>
      <c r="F572">
        <v>49.942890167000002</v>
      </c>
      <c r="G572">
        <v>1298.8521728999999</v>
      </c>
      <c r="H572">
        <v>1286.5069579999999</v>
      </c>
      <c r="I572">
        <v>1391.4068603999999</v>
      </c>
      <c r="J572">
        <v>1373.3374022999999</v>
      </c>
      <c r="K572">
        <v>0</v>
      </c>
      <c r="L572">
        <v>2200</v>
      </c>
      <c r="M572">
        <v>2200</v>
      </c>
      <c r="N572">
        <v>0</v>
      </c>
    </row>
    <row r="573" spans="1:14" x14ac:dyDescent="0.25">
      <c r="A573">
        <v>261.49130700000001</v>
      </c>
      <c r="B573" s="1">
        <f>DATE(2011,1,17) + TIME(11,47,28)</f>
        <v>40560.491296296299</v>
      </c>
      <c r="C573">
        <v>80</v>
      </c>
      <c r="D573">
        <v>69.202178954999994</v>
      </c>
      <c r="E573">
        <v>50</v>
      </c>
      <c r="F573">
        <v>49.943050384999999</v>
      </c>
      <c r="G573">
        <v>1298.6608887</v>
      </c>
      <c r="H573">
        <v>1286.2525635</v>
      </c>
      <c r="I573">
        <v>1391.3444824000001</v>
      </c>
      <c r="J573">
        <v>1373.2799072</v>
      </c>
      <c r="K573">
        <v>0</v>
      </c>
      <c r="L573">
        <v>2200</v>
      </c>
      <c r="M573">
        <v>2200</v>
      </c>
      <c r="N573">
        <v>0</v>
      </c>
    </row>
    <row r="574" spans="1:14" x14ac:dyDescent="0.25">
      <c r="A574">
        <v>263.338503</v>
      </c>
      <c r="B574" s="1">
        <f>DATE(2011,1,19) + TIME(8,7,26)</f>
        <v>40562.338495370372</v>
      </c>
      <c r="C574">
        <v>80</v>
      </c>
      <c r="D574">
        <v>69.012420653999996</v>
      </c>
      <c r="E574">
        <v>50</v>
      </c>
      <c r="F574">
        <v>49.943214417</v>
      </c>
      <c r="G574">
        <v>1298.4604492000001</v>
      </c>
      <c r="H574">
        <v>1285.9851074000001</v>
      </c>
      <c r="I574">
        <v>1391.2821045000001</v>
      </c>
      <c r="J574">
        <v>1373.2224120999999</v>
      </c>
      <c r="K574">
        <v>0</v>
      </c>
      <c r="L574">
        <v>2200</v>
      </c>
      <c r="M574">
        <v>2200</v>
      </c>
      <c r="N574">
        <v>0</v>
      </c>
    </row>
    <row r="575" spans="1:14" x14ac:dyDescent="0.25">
      <c r="A575">
        <v>265.19207599999999</v>
      </c>
      <c r="B575" s="1">
        <f>DATE(2011,1,21) + TIME(4,36,35)</f>
        <v>40564.192071759258</v>
      </c>
      <c r="C575">
        <v>80</v>
      </c>
      <c r="D575">
        <v>68.817123413000004</v>
      </c>
      <c r="E575">
        <v>50</v>
      </c>
      <c r="F575">
        <v>49.943374634000001</v>
      </c>
      <c r="G575">
        <v>1298.2496338000001</v>
      </c>
      <c r="H575">
        <v>1285.7032471</v>
      </c>
      <c r="I575">
        <v>1391.2194824000001</v>
      </c>
      <c r="J575">
        <v>1373.1646728999999</v>
      </c>
      <c r="K575">
        <v>0</v>
      </c>
      <c r="L575">
        <v>2200</v>
      </c>
      <c r="M575">
        <v>2200</v>
      </c>
      <c r="N575">
        <v>0</v>
      </c>
    </row>
    <row r="576" spans="1:14" x14ac:dyDescent="0.25">
      <c r="A576">
        <v>267.05960199999998</v>
      </c>
      <c r="B576" s="1">
        <f>DATE(2011,1,23) + TIME(1,25,49)</f>
        <v>40566.059594907405</v>
      </c>
      <c r="C576">
        <v>80</v>
      </c>
      <c r="D576">
        <v>68.617744446000003</v>
      </c>
      <c r="E576">
        <v>50</v>
      </c>
      <c r="F576">
        <v>49.943538666000002</v>
      </c>
      <c r="G576">
        <v>1298.0333252</v>
      </c>
      <c r="H576">
        <v>1285.4123535000001</v>
      </c>
      <c r="I576">
        <v>1391.1582031</v>
      </c>
      <c r="J576">
        <v>1373.1082764</v>
      </c>
      <c r="K576">
        <v>0</v>
      </c>
      <c r="L576">
        <v>2200</v>
      </c>
      <c r="M576">
        <v>2200</v>
      </c>
      <c r="N576">
        <v>0</v>
      </c>
    </row>
    <row r="577" spans="1:14" x14ac:dyDescent="0.25">
      <c r="A577">
        <v>268.94869599999998</v>
      </c>
      <c r="B577" s="1">
        <f>DATE(2011,1,24) + TIME(22,46,7)</f>
        <v>40567.948692129627</v>
      </c>
      <c r="C577">
        <v>80</v>
      </c>
      <c r="D577">
        <v>68.413978576999995</v>
      </c>
      <c r="E577">
        <v>50</v>
      </c>
      <c r="F577">
        <v>49.943702698000003</v>
      </c>
      <c r="G577">
        <v>1297.8107910000001</v>
      </c>
      <c r="H577">
        <v>1285.1120605000001</v>
      </c>
      <c r="I577">
        <v>1391.0980225000001</v>
      </c>
      <c r="J577">
        <v>1373.0528564000001</v>
      </c>
      <c r="K577">
        <v>0</v>
      </c>
      <c r="L577">
        <v>2200</v>
      </c>
      <c r="M577">
        <v>2200</v>
      </c>
      <c r="N577">
        <v>0</v>
      </c>
    </row>
    <row r="578" spans="1:14" x14ac:dyDescent="0.25">
      <c r="A578">
        <v>270.86527000000001</v>
      </c>
      <c r="B578" s="1">
        <f>DATE(2011,1,26) + TIME(20,45,59)</f>
        <v>40569.865266203706</v>
      </c>
      <c r="C578">
        <v>80</v>
      </c>
      <c r="D578">
        <v>68.204948424999998</v>
      </c>
      <c r="E578">
        <v>50</v>
      </c>
      <c r="F578">
        <v>49.943870543999999</v>
      </c>
      <c r="G578">
        <v>1297.581543</v>
      </c>
      <c r="H578">
        <v>1284.8012695</v>
      </c>
      <c r="I578">
        <v>1391.0388184000001</v>
      </c>
      <c r="J578">
        <v>1372.9982910000001</v>
      </c>
      <c r="K578">
        <v>0</v>
      </c>
      <c r="L578">
        <v>2200</v>
      </c>
      <c r="M578">
        <v>2200</v>
      </c>
      <c r="N578">
        <v>0</v>
      </c>
    </row>
    <row r="579" spans="1:14" x14ac:dyDescent="0.25">
      <c r="A579">
        <v>272.81826899999999</v>
      </c>
      <c r="B579" s="1">
        <f>DATE(2011,1,28) + TIME(19,38,18)</f>
        <v>40571.81826388889</v>
      </c>
      <c r="C579">
        <v>80</v>
      </c>
      <c r="D579">
        <v>67.989471436000002</v>
      </c>
      <c r="E579">
        <v>50</v>
      </c>
      <c r="F579">
        <v>49.944038390999999</v>
      </c>
      <c r="G579">
        <v>1297.3444824000001</v>
      </c>
      <c r="H579">
        <v>1284.4788818</v>
      </c>
      <c r="I579">
        <v>1390.9802245999999</v>
      </c>
      <c r="J579">
        <v>1372.9442139</v>
      </c>
      <c r="K579">
        <v>0</v>
      </c>
      <c r="L579">
        <v>2200</v>
      </c>
      <c r="M579">
        <v>2200</v>
      </c>
      <c r="N579">
        <v>0</v>
      </c>
    </row>
    <row r="580" spans="1:14" x14ac:dyDescent="0.25">
      <c r="A580">
        <v>274.81896499999999</v>
      </c>
      <c r="B580" s="1">
        <f>DATE(2011,1,30) + TIME(19,39,18)</f>
        <v>40573.818958333337</v>
      </c>
      <c r="C580">
        <v>80</v>
      </c>
      <c r="D580">
        <v>67.766021729000002</v>
      </c>
      <c r="E580">
        <v>50</v>
      </c>
      <c r="F580">
        <v>49.944210052000003</v>
      </c>
      <c r="G580">
        <v>1297.0985106999999</v>
      </c>
      <c r="H580">
        <v>1284.1429443</v>
      </c>
      <c r="I580">
        <v>1390.921875</v>
      </c>
      <c r="J580">
        <v>1372.8905029</v>
      </c>
      <c r="K580">
        <v>0</v>
      </c>
      <c r="L580">
        <v>2200</v>
      </c>
      <c r="M580">
        <v>2200</v>
      </c>
      <c r="N580">
        <v>0</v>
      </c>
    </row>
    <row r="581" spans="1:14" x14ac:dyDescent="0.25">
      <c r="A581">
        <v>276</v>
      </c>
      <c r="B581" s="1">
        <f>DATE(2011,2,1) + TIME(0,0,0)</f>
        <v>40575</v>
      </c>
      <c r="C581">
        <v>80</v>
      </c>
      <c r="D581">
        <v>67.576751709000007</v>
      </c>
      <c r="E581">
        <v>50</v>
      </c>
      <c r="F581">
        <v>49.944305419999999</v>
      </c>
      <c r="G581">
        <v>1296.8469238</v>
      </c>
      <c r="H581">
        <v>1283.8076172000001</v>
      </c>
      <c r="I581">
        <v>1390.862793</v>
      </c>
      <c r="J581">
        <v>1372.8360596</v>
      </c>
      <c r="K581">
        <v>0</v>
      </c>
      <c r="L581">
        <v>2200</v>
      </c>
      <c r="M581">
        <v>2200</v>
      </c>
      <c r="N581">
        <v>0</v>
      </c>
    </row>
    <row r="582" spans="1:14" x14ac:dyDescent="0.25">
      <c r="A582">
        <v>278.04789</v>
      </c>
      <c r="B582" s="1">
        <f>DATE(2011,2,3) + TIME(1,8,57)</f>
        <v>40577.047881944447</v>
      </c>
      <c r="C582">
        <v>80</v>
      </c>
      <c r="D582">
        <v>67.376586914000001</v>
      </c>
      <c r="E582">
        <v>50</v>
      </c>
      <c r="F582">
        <v>49.944484711000001</v>
      </c>
      <c r="G582">
        <v>1296.6784668</v>
      </c>
      <c r="H582">
        <v>1283.5609131000001</v>
      </c>
      <c r="I582">
        <v>1390.8299560999999</v>
      </c>
      <c r="J582">
        <v>1372.8057861</v>
      </c>
      <c r="K582">
        <v>0</v>
      </c>
      <c r="L582">
        <v>2200</v>
      </c>
      <c r="M582">
        <v>2200</v>
      </c>
      <c r="N582">
        <v>0</v>
      </c>
    </row>
    <row r="583" spans="1:14" x14ac:dyDescent="0.25">
      <c r="A583">
        <v>280.150848</v>
      </c>
      <c r="B583" s="1">
        <f>DATE(2011,2,5) + TIME(3,37,13)</f>
        <v>40579.15084490741</v>
      </c>
      <c r="C583">
        <v>80</v>
      </c>
      <c r="D583">
        <v>67.141151428000001</v>
      </c>
      <c r="E583">
        <v>50</v>
      </c>
      <c r="F583">
        <v>49.944664001</v>
      </c>
      <c r="G583">
        <v>1296.4151611</v>
      </c>
      <c r="H583">
        <v>1283.2015381000001</v>
      </c>
      <c r="I583">
        <v>1390.7724608999999</v>
      </c>
      <c r="J583">
        <v>1372.7529297000001</v>
      </c>
      <c r="K583">
        <v>0</v>
      </c>
      <c r="L583">
        <v>2200</v>
      </c>
      <c r="M583">
        <v>2200</v>
      </c>
      <c r="N583">
        <v>0</v>
      </c>
    </row>
    <row r="584" spans="1:14" x14ac:dyDescent="0.25">
      <c r="A584">
        <v>282.26888100000002</v>
      </c>
      <c r="B584" s="1">
        <f>DATE(2011,2,7) + TIME(6,27,11)</f>
        <v>40581.268877314818</v>
      </c>
      <c r="C584">
        <v>80</v>
      </c>
      <c r="D584">
        <v>66.887077332000004</v>
      </c>
      <c r="E584">
        <v>50</v>
      </c>
      <c r="F584">
        <v>49.944843292000002</v>
      </c>
      <c r="G584">
        <v>1296.1352539</v>
      </c>
      <c r="H584">
        <v>1282.8156738</v>
      </c>
      <c r="I584">
        <v>1390.7148437999999</v>
      </c>
      <c r="J584">
        <v>1372.6998291</v>
      </c>
      <c r="K584">
        <v>0</v>
      </c>
      <c r="L584">
        <v>2200</v>
      </c>
      <c r="M584">
        <v>2200</v>
      </c>
      <c r="N584">
        <v>0</v>
      </c>
    </row>
    <row r="585" spans="1:14" x14ac:dyDescent="0.25">
      <c r="A585">
        <v>284.40870999999999</v>
      </c>
      <c r="B585" s="1">
        <f>DATE(2011,2,9) + TIME(9,48,32)</f>
        <v>40583.408703703702</v>
      </c>
      <c r="C585">
        <v>80</v>
      </c>
      <c r="D585">
        <v>66.620979309000006</v>
      </c>
      <c r="E585">
        <v>50</v>
      </c>
      <c r="F585">
        <v>49.945022582999997</v>
      </c>
      <c r="G585">
        <v>1295.8466797000001</v>
      </c>
      <c r="H585">
        <v>1282.4147949000001</v>
      </c>
      <c r="I585">
        <v>1390.6582031</v>
      </c>
      <c r="J585">
        <v>1372.6477050999999</v>
      </c>
      <c r="K585">
        <v>0</v>
      </c>
      <c r="L585">
        <v>2200</v>
      </c>
      <c r="M585">
        <v>2200</v>
      </c>
      <c r="N585">
        <v>0</v>
      </c>
    </row>
    <row r="586" spans="1:14" x14ac:dyDescent="0.25">
      <c r="A586">
        <v>286.57838800000002</v>
      </c>
      <c r="B586" s="1">
        <f>DATE(2011,2,11) + TIME(13,52,52)</f>
        <v>40585.578379629631</v>
      </c>
      <c r="C586">
        <v>80</v>
      </c>
      <c r="D586">
        <v>66.343811035000002</v>
      </c>
      <c r="E586">
        <v>50</v>
      </c>
      <c r="F586">
        <v>49.945201873999999</v>
      </c>
      <c r="G586">
        <v>1295.5496826000001</v>
      </c>
      <c r="H586">
        <v>1282.0004882999999</v>
      </c>
      <c r="I586">
        <v>1390.6021728999999</v>
      </c>
      <c r="J586">
        <v>1372.5960693</v>
      </c>
      <c r="K586">
        <v>0</v>
      </c>
      <c r="L586">
        <v>2200</v>
      </c>
      <c r="M586">
        <v>2200</v>
      </c>
      <c r="N586">
        <v>0</v>
      </c>
    </row>
    <row r="587" spans="1:14" x14ac:dyDescent="0.25">
      <c r="A587">
        <v>288.78439400000002</v>
      </c>
      <c r="B587" s="1">
        <f>DATE(2011,2,13) + TIME(18,49,31)</f>
        <v>40587.784386574072</v>
      </c>
      <c r="C587">
        <v>80</v>
      </c>
      <c r="D587">
        <v>66.0546875</v>
      </c>
      <c r="E587">
        <v>50</v>
      </c>
      <c r="F587">
        <v>49.945384979000004</v>
      </c>
      <c r="G587">
        <v>1295.2438964999999</v>
      </c>
      <c r="H587">
        <v>1281.5718993999999</v>
      </c>
      <c r="I587">
        <v>1390.5466309000001</v>
      </c>
      <c r="J587">
        <v>1372.5449219</v>
      </c>
      <c r="K587">
        <v>0</v>
      </c>
      <c r="L587">
        <v>2200</v>
      </c>
      <c r="M587">
        <v>2200</v>
      </c>
      <c r="N587">
        <v>0</v>
      </c>
    </row>
    <row r="588" spans="1:14" x14ac:dyDescent="0.25">
      <c r="A588">
        <v>291.03319900000002</v>
      </c>
      <c r="B588" s="1">
        <f>DATE(2011,2,16) + TIME(0,47,48)</f>
        <v>40590.033194444448</v>
      </c>
      <c r="C588">
        <v>80</v>
      </c>
      <c r="D588">
        <v>65.752174377000003</v>
      </c>
      <c r="E588">
        <v>50</v>
      </c>
      <c r="F588">
        <v>49.945568084999998</v>
      </c>
      <c r="G588">
        <v>1294.9282227000001</v>
      </c>
      <c r="H588">
        <v>1281.1278076000001</v>
      </c>
      <c r="I588">
        <v>1390.4913329999999</v>
      </c>
      <c r="J588">
        <v>1372.4940185999999</v>
      </c>
      <c r="K588">
        <v>0</v>
      </c>
      <c r="L588">
        <v>2200</v>
      </c>
      <c r="M588">
        <v>2200</v>
      </c>
      <c r="N588">
        <v>0</v>
      </c>
    </row>
    <row r="589" spans="1:14" x14ac:dyDescent="0.25">
      <c r="A589">
        <v>293.33609000000001</v>
      </c>
      <c r="B589" s="1">
        <f>DATE(2011,2,18) + TIME(8,3,58)</f>
        <v>40592.336087962962</v>
      </c>
      <c r="C589">
        <v>80</v>
      </c>
      <c r="D589">
        <v>65.434364318999997</v>
      </c>
      <c r="E589">
        <v>50</v>
      </c>
      <c r="F589">
        <v>49.945758820000002</v>
      </c>
      <c r="G589">
        <v>1294.6018065999999</v>
      </c>
      <c r="H589">
        <v>1280.666626</v>
      </c>
      <c r="I589">
        <v>1390.4361572</v>
      </c>
      <c r="J589">
        <v>1372.4432373</v>
      </c>
      <c r="K589">
        <v>0</v>
      </c>
      <c r="L589">
        <v>2200</v>
      </c>
      <c r="M589">
        <v>2200</v>
      </c>
      <c r="N589">
        <v>0</v>
      </c>
    </row>
    <row r="590" spans="1:14" x14ac:dyDescent="0.25">
      <c r="A590">
        <v>295.67264599999999</v>
      </c>
      <c r="B590" s="1">
        <f>DATE(2011,2,20) + TIME(16,8,36)</f>
        <v>40594.672638888886</v>
      </c>
      <c r="C590">
        <v>80</v>
      </c>
      <c r="D590">
        <v>65.100059509000005</v>
      </c>
      <c r="E590">
        <v>50</v>
      </c>
      <c r="F590">
        <v>49.945945739999999</v>
      </c>
      <c r="G590">
        <v>1294.2633057</v>
      </c>
      <c r="H590">
        <v>1280.1865233999999</v>
      </c>
      <c r="I590">
        <v>1390.3807373</v>
      </c>
      <c r="J590">
        <v>1372.3922118999999</v>
      </c>
      <c r="K590">
        <v>0</v>
      </c>
      <c r="L590">
        <v>2200</v>
      </c>
      <c r="M590">
        <v>2200</v>
      </c>
      <c r="N590">
        <v>0</v>
      </c>
    </row>
    <row r="591" spans="1:14" x14ac:dyDescent="0.25">
      <c r="A591">
        <v>298.02390600000001</v>
      </c>
      <c r="B591" s="1">
        <f>DATE(2011,2,23) + TIME(0,34,25)</f>
        <v>40597.023900462962</v>
      </c>
      <c r="C591">
        <v>80</v>
      </c>
      <c r="D591">
        <v>64.750480651999993</v>
      </c>
      <c r="E591">
        <v>50</v>
      </c>
      <c r="F591">
        <v>49.946136475000003</v>
      </c>
      <c r="G591">
        <v>1293.9150391000001</v>
      </c>
      <c r="H591">
        <v>1279.6906738</v>
      </c>
      <c r="I591">
        <v>1390.3255615</v>
      </c>
      <c r="J591">
        <v>1372.3414307</v>
      </c>
      <c r="K591">
        <v>0</v>
      </c>
      <c r="L591">
        <v>2200</v>
      </c>
      <c r="M591">
        <v>2200</v>
      </c>
      <c r="N591">
        <v>0</v>
      </c>
    </row>
    <row r="592" spans="1:14" x14ac:dyDescent="0.25">
      <c r="A592">
        <v>300.39986900000002</v>
      </c>
      <c r="B592" s="1">
        <f>DATE(2011,2,25) + TIME(9,35,48)</f>
        <v>40599.399861111109</v>
      </c>
      <c r="C592">
        <v>80</v>
      </c>
      <c r="D592">
        <v>64.386360167999996</v>
      </c>
      <c r="E592">
        <v>50</v>
      </c>
      <c r="F592">
        <v>49.946327209000003</v>
      </c>
      <c r="G592">
        <v>1293.5596923999999</v>
      </c>
      <c r="H592">
        <v>1279.1821289</v>
      </c>
      <c r="I592">
        <v>1390.2711182</v>
      </c>
      <c r="J592">
        <v>1372.2912598</v>
      </c>
      <c r="K592">
        <v>0</v>
      </c>
      <c r="L592">
        <v>2200</v>
      </c>
      <c r="M592">
        <v>2200</v>
      </c>
      <c r="N592">
        <v>0</v>
      </c>
    </row>
    <row r="593" spans="1:14" x14ac:dyDescent="0.25">
      <c r="A593">
        <v>302.80724900000001</v>
      </c>
      <c r="B593" s="1">
        <f>DATE(2011,2,27) + TIME(19,22,26)</f>
        <v>40601.807245370372</v>
      </c>
      <c r="C593">
        <v>80</v>
      </c>
      <c r="D593">
        <v>64.006446838000002</v>
      </c>
      <c r="E593">
        <v>50</v>
      </c>
      <c r="F593">
        <v>49.946517944</v>
      </c>
      <c r="G593">
        <v>1293.1965332</v>
      </c>
      <c r="H593">
        <v>1278.6600341999999</v>
      </c>
      <c r="I593">
        <v>1390.2171631000001</v>
      </c>
      <c r="J593">
        <v>1372.2414550999999</v>
      </c>
      <c r="K593">
        <v>0</v>
      </c>
      <c r="L593">
        <v>2200</v>
      </c>
      <c r="M593">
        <v>2200</v>
      </c>
      <c r="N593">
        <v>0</v>
      </c>
    </row>
    <row r="594" spans="1:14" x14ac:dyDescent="0.25">
      <c r="A594">
        <v>304</v>
      </c>
      <c r="B594" s="1">
        <f>DATE(2011,3,1) + TIME(0,0,0)</f>
        <v>40603</v>
      </c>
      <c r="C594">
        <v>80</v>
      </c>
      <c r="D594">
        <v>63.695510863999999</v>
      </c>
      <c r="E594">
        <v>50</v>
      </c>
      <c r="F594">
        <v>49.946605681999998</v>
      </c>
      <c r="G594">
        <v>1292.8336182</v>
      </c>
      <c r="H594">
        <v>1278.1577147999999</v>
      </c>
      <c r="I594">
        <v>1390.1623535000001</v>
      </c>
      <c r="J594">
        <v>1372.190918</v>
      </c>
      <c r="K594">
        <v>0</v>
      </c>
      <c r="L594">
        <v>2200</v>
      </c>
      <c r="M594">
        <v>2200</v>
      </c>
      <c r="N594">
        <v>0</v>
      </c>
    </row>
    <row r="595" spans="1:14" x14ac:dyDescent="0.25">
      <c r="A595">
        <v>306.43864000000002</v>
      </c>
      <c r="B595" s="1">
        <f>DATE(2011,3,3) + TIME(10,31,38)</f>
        <v>40605.438634259262</v>
      </c>
      <c r="C595">
        <v>80</v>
      </c>
      <c r="D595">
        <v>63.376255035</v>
      </c>
      <c r="E595">
        <v>50</v>
      </c>
      <c r="F595">
        <v>49.946804047000001</v>
      </c>
      <c r="G595">
        <v>1292.6220702999999</v>
      </c>
      <c r="H595">
        <v>1277.8190918</v>
      </c>
      <c r="I595">
        <v>1390.1369629000001</v>
      </c>
      <c r="J595">
        <v>1372.1676024999999</v>
      </c>
      <c r="K595">
        <v>0</v>
      </c>
      <c r="L595">
        <v>2200</v>
      </c>
      <c r="M595">
        <v>2200</v>
      </c>
      <c r="N595">
        <v>0</v>
      </c>
    </row>
    <row r="596" spans="1:14" x14ac:dyDescent="0.25">
      <c r="A596">
        <v>308.909358</v>
      </c>
      <c r="B596" s="1">
        <f>DATE(2011,3,5) + TIME(21,49,28)</f>
        <v>40607.909351851849</v>
      </c>
      <c r="C596">
        <v>80</v>
      </c>
      <c r="D596">
        <v>62.977443694999998</v>
      </c>
      <c r="E596">
        <v>50</v>
      </c>
      <c r="F596">
        <v>49.946998596</v>
      </c>
      <c r="G596">
        <v>1292.2525635</v>
      </c>
      <c r="H596">
        <v>1277.2899170000001</v>
      </c>
      <c r="I596">
        <v>1390.0836182</v>
      </c>
      <c r="J596">
        <v>1372.1185303</v>
      </c>
      <c r="K596">
        <v>0</v>
      </c>
      <c r="L596">
        <v>2200</v>
      </c>
      <c r="M596">
        <v>2200</v>
      </c>
      <c r="N596">
        <v>0</v>
      </c>
    </row>
    <row r="597" spans="1:14" x14ac:dyDescent="0.25">
      <c r="A597">
        <v>311.39478600000001</v>
      </c>
      <c r="B597" s="1">
        <f>DATE(2011,3,8) + TIME(9,28,29)</f>
        <v>40610.394780092596</v>
      </c>
      <c r="C597">
        <v>80</v>
      </c>
      <c r="D597">
        <v>62.544334411999998</v>
      </c>
      <c r="E597">
        <v>50</v>
      </c>
      <c r="F597">
        <v>49.947189330999997</v>
      </c>
      <c r="G597">
        <v>1291.8656006000001</v>
      </c>
      <c r="H597">
        <v>1276.7274170000001</v>
      </c>
      <c r="I597">
        <v>1390.0305175999999</v>
      </c>
      <c r="J597">
        <v>1372.0694579999999</v>
      </c>
      <c r="K597">
        <v>0</v>
      </c>
      <c r="L597">
        <v>2200</v>
      </c>
      <c r="M597">
        <v>2200</v>
      </c>
      <c r="N597">
        <v>0</v>
      </c>
    </row>
    <row r="598" spans="1:14" x14ac:dyDescent="0.25">
      <c r="A598">
        <v>313.899495</v>
      </c>
      <c r="B598" s="1">
        <f>DATE(2011,3,10) + TIME(21,35,16)</f>
        <v>40612.89949074074</v>
      </c>
      <c r="C598">
        <v>80</v>
      </c>
      <c r="D598">
        <v>62.090290070000002</v>
      </c>
      <c r="E598">
        <v>50</v>
      </c>
      <c r="F598">
        <v>49.947383881</v>
      </c>
      <c r="G598">
        <v>1291.4708252</v>
      </c>
      <c r="H598">
        <v>1276.1490478999999</v>
      </c>
      <c r="I598">
        <v>1389.9777832</v>
      </c>
      <c r="J598">
        <v>1372.020874</v>
      </c>
      <c r="K598">
        <v>0</v>
      </c>
      <c r="L598">
        <v>2200</v>
      </c>
      <c r="M598">
        <v>2200</v>
      </c>
      <c r="N598">
        <v>0</v>
      </c>
    </row>
    <row r="599" spans="1:14" x14ac:dyDescent="0.25">
      <c r="A599">
        <v>316.42881599999998</v>
      </c>
      <c r="B599" s="1">
        <f>DATE(2011,3,13) + TIME(10,17,29)</f>
        <v>40615.428807870368</v>
      </c>
      <c r="C599">
        <v>80</v>
      </c>
      <c r="D599">
        <v>61.618141174000002</v>
      </c>
      <c r="E599">
        <v>50</v>
      </c>
      <c r="F599">
        <v>49.947574615000001</v>
      </c>
      <c r="G599">
        <v>1291.0698242000001</v>
      </c>
      <c r="H599">
        <v>1275.5583495999999</v>
      </c>
      <c r="I599">
        <v>1389.925293</v>
      </c>
      <c r="J599">
        <v>1371.9724120999999</v>
      </c>
      <c r="K599">
        <v>0</v>
      </c>
      <c r="L599">
        <v>2200</v>
      </c>
      <c r="M599">
        <v>2200</v>
      </c>
      <c r="N599">
        <v>0</v>
      </c>
    </row>
    <row r="600" spans="1:14" x14ac:dyDescent="0.25">
      <c r="A600">
        <v>318.98508199999998</v>
      </c>
      <c r="B600" s="1">
        <f>DATE(2011,3,15) + TIME(23,38,31)</f>
        <v>40617.985081018516</v>
      </c>
      <c r="C600">
        <v>80</v>
      </c>
      <c r="D600">
        <v>61.128074646000002</v>
      </c>
      <c r="E600">
        <v>50</v>
      </c>
      <c r="F600">
        <v>49.947769164999997</v>
      </c>
      <c r="G600">
        <v>1290.6625977000001</v>
      </c>
      <c r="H600">
        <v>1274.9555664</v>
      </c>
      <c r="I600">
        <v>1389.8729248</v>
      </c>
      <c r="J600">
        <v>1371.9241943</v>
      </c>
      <c r="K600">
        <v>0</v>
      </c>
      <c r="L600">
        <v>2200</v>
      </c>
      <c r="M600">
        <v>2200</v>
      </c>
      <c r="N600">
        <v>0</v>
      </c>
    </row>
    <row r="601" spans="1:14" x14ac:dyDescent="0.25">
      <c r="A601">
        <v>321.56329299999999</v>
      </c>
      <c r="B601" s="1">
        <f>DATE(2011,3,18) + TIME(13,31,8)</f>
        <v>40620.563287037039</v>
      </c>
      <c r="C601">
        <v>80</v>
      </c>
      <c r="D601">
        <v>60.620307922000002</v>
      </c>
      <c r="E601">
        <v>50</v>
      </c>
      <c r="F601">
        <v>49.947963715</v>
      </c>
      <c r="G601">
        <v>1290.2492675999999</v>
      </c>
      <c r="H601">
        <v>1274.3413086</v>
      </c>
      <c r="I601">
        <v>1389.8206786999999</v>
      </c>
      <c r="J601">
        <v>1371.8758545000001</v>
      </c>
      <c r="K601">
        <v>0</v>
      </c>
      <c r="L601">
        <v>2200</v>
      </c>
      <c r="M601">
        <v>2200</v>
      </c>
      <c r="N601">
        <v>0</v>
      </c>
    </row>
    <row r="602" spans="1:14" x14ac:dyDescent="0.25">
      <c r="A602">
        <v>324.16972099999998</v>
      </c>
      <c r="B602" s="1">
        <f>DATE(2011,3,21) + TIME(4,4,23)</f>
        <v>40623.169710648152</v>
      </c>
      <c r="C602">
        <v>80</v>
      </c>
      <c r="D602">
        <v>60.094856262</v>
      </c>
      <c r="E602">
        <v>50</v>
      </c>
      <c r="F602">
        <v>49.948158264</v>
      </c>
      <c r="G602">
        <v>1289.8311768000001</v>
      </c>
      <c r="H602">
        <v>1273.7165527</v>
      </c>
      <c r="I602">
        <v>1389.7685547000001</v>
      </c>
      <c r="J602">
        <v>1371.8276367000001</v>
      </c>
      <c r="K602">
        <v>0</v>
      </c>
      <c r="L602">
        <v>2200</v>
      </c>
      <c r="M602">
        <v>2200</v>
      </c>
      <c r="N602">
        <v>0</v>
      </c>
    </row>
    <row r="603" spans="1:14" x14ac:dyDescent="0.25">
      <c r="A603">
        <v>326.80940099999998</v>
      </c>
      <c r="B603" s="1">
        <f>DATE(2011,3,23) + TIME(19,25,32)</f>
        <v>40625.809398148151</v>
      </c>
      <c r="C603">
        <v>80</v>
      </c>
      <c r="D603">
        <v>59.550647736000002</v>
      </c>
      <c r="E603">
        <v>50</v>
      </c>
      <c r="F603">
        <v>49.948352814000003</v>
      </c>
      <c r="G603">
        <v>1289.4078368999999</v>
      </c>
      <c r="H603">
        <v>1273.0809326000001</v>
      </c>
      <c r="I603">
        <v>1389.7163086</v>
      </c>
      <c r="J603">
        <v>1371.7794189000001</v>
      </c>
      <c r="K603">
        <v>0</v>
      </c>
      <c r="L603">
        <v>2200</v>
      </c>
      <c r="M603">
        <v>2200</v>
      </c>
      <c r="N603">
        <v>0</v>
      </c>
    </row>
    <row r="604" spans="1:14" x14ac:dyDescent="0.25">
      <c r="A604">
        <v>329.47813600000001</v>
      </c>
      <c r="B604" s="1">
        <f>DATE(2011,3,26) + TIME(11,28,30)</f>
        <v>40628.478125000001</v>
      </c>
      <c r="C604">
        <v>80</v>
      </c>
      <c r="D604">
        <v>58.987663269000002</v>
      </c>
      <c r="E604">
        <v>50</v>
      </c>
      <c r="F604">
        <v>49.948547363000003</v>
      </c>
      <c r="G604">
        <v>1288.9788818</v>
      </c>
      <c r="H604">
        <v>1272.4338379000001</v>
      </c>
      <c r="I604">
        <v>1389.6638184000001</v>
      </c>
      <c r="J604">
        <v>1371.7308350000001</v>
      </c>
      <c r="K604">
        <v>0</v>
      </c>
      <c r="L604">
        <v>2200</v>
      </c>
      <c r="M604">
        <v>2200</v>
      </c>
      <c r="N604">
        <v>0</v>
      </c>
    </row>
    <row r="605" spans="1:14" x14ac:dyDescent="0.25">
      <c r="A605">
        <v>332.17926399999999</v>
      </c>
      <c r="B605" s="1">
        <f>DATE(2011,3,29) + TIME(4,18,8)</f>
        <v>40631.179259259261</v>
      </c>
      <c r="C605">
        <v>80</v>
      </c>
      <c r="D605">
        <v>58.406719207999998</v>
      </c>
      <c r="E605">
        <v>50</v>
      </c>
      <c r="F605">
        <v>49.948745727999999</v>
      </c>
      <c r="G605">
        <v>1288.5454102000001</v>
      </c>
      <c r="H605">
        <v>1271.7768555</v>
      </c>
      <c r="I605">
        <v>1389.6113281</v>
      </c>
      <c r="J605">
        <v>1371.6821289</v>
      </c>
      <c r="K605">
        <v>0</v>
      </c>
      <c r="L605">
        <v>2200</v>
      </c>
      <c r="M605">
        <v>2200</v>
      </c>
      <c r="N605">
        <v>0</v>
      </c>
    </row>
    <row r="606" spans="1:14" x14ac:dyDescent="0.25">
      <c r="A606">
        <v>333.58963199999999</v>
      </c>
      <c r="B606" s="1">
        <f>DATE(2011,3,30) + TIME(14,9,4)</f>
        <v>40632.589629629627</v>
      </c>
      <c r="C606">
        <v>80</v>
      </c>
      <c r="D606">
        <v>57.915542602999999</v>
      </c>
      <c r="E606">
        <v>50</v>
      </c>
      <c r="F606">
        <v>49.948841094999999</v>
      </c>
      <c r="G606">
        <v>1288.1147461</v>
      </c>
      <c r="H606">
        <v>1271.1508789</v>
      </c>
      <c r="I606">
        <v>1389.5577393000001</v>
      </c>
      <c r="J606">
        <v>1371.6324463000001</v>
      </c>
      <c r="K606">
        <v>0</v>
      </c>
      <c r="L606">
        <v>2200</v>
      </c>
      <c r="M606">
        <v>2200</v>
      </c>
      <c r="N606">
        <v>0</v>
      </c>
    </row>
    <row r="607" spans="1:14" x14ac:dyDescent="0.25">
      <c r="A607">
        <v>335</v>
      </c>
      <c r="B607" s="1">
        <f>DATE(2011,4,1) + TIME(0,0,0)</f>
        <v>40634</v>
      </c>
      <c r="C607">
        <v>80</v>
      </c>
      <c r="D607">
        <v>57.532176970999998</v>
      </c>
      <c r="E607">
        <v>50</v>
      </c>
      <c r="F607">
        <v>49.948944091999998</v>
      </c>
      <c r="G607">
        <v>1287.8679199000001</v>
      </c>
      <c r="H607">
        <v>1270.7520752</v>
      </c>
      <c r="I607">
        <v>1389.5302733999999</v>
      </c>
      <c r="J607">
        <v>1371.6069336</v>
      </c>
      <c r="K607">
        <v>0</v>
      </c>
      <c r="L607">
        <v>2200</v>
      </c>
      <c r="M607">
        <v>2200</v>
      </c>
      <c r="N607">
        <v>0</v>
      </c>
    </row>
    <row r="608" spans="1:14" x14ac:dyDescent="0.25">
      <c r="A608">
        <v>336.837537</v>
      </c>
      <c r="B608" s="1">
        <f>DATE(2011,4,2) + TIME(20,6,3)</f>
        <v>40635.837534722225</v>
      </c>
      <c r="C608">
        <v>80</v>
      </c>
      <c r="D608">
        <v>57.154865264999998</v>
      </c>
      <c r="E608">
        <v>50</v>
      </c>
      <c r="F608">
        <v>49.949077606000003</v>
      </c>
      <c r="G608">
        <v>1287.6320800999999</v>
      </c>
      <c r="H608">
        <v>1270.3735352000001</v>
      </c>
      <c r="I608">
        <v>1389.5030518000001</v>
      </c>
      <c r="J608">
        <v>1371.5817870999999</v>
      </c>
      <c r="K608">
        <v>0</v>
      </c>
      <c r="L608">
        <v>2200</v>
      </c>
      <c r="M608">
        <v>2200</v>
      </c>
      <c r="N608">
        <v>0</v>
      </c>
    </row>
    <row r="609" spans="1:14" x14ac:dyDescent="0.25">
      <c r="A609">
        <v>339.45085699999998</v>
      </c>
      <c r="B609" s="1">
        <f>DATE(2011,4,5) + TIME(10,49,14)</f>
        <v>40638.450856481482</v>
      </c>
      <c r="C609">
        <v>80</v>
      </c>
      <c r="D609">
        <v>56.704944611000002</v>
      </c>
      <c r="E609">
        <v>50</v>
      </c>
      <c r="F609">
        <v>49.949264526</v>
      </c>
      <c r="G609">
        <v>1287.3388672000001</v>
      </c>
      <c r="H609">
        <v>1269.9143065999999</v>
      </c>
      <c r="I609">
        <v>1389.4677733999999</v>
      </c>
      <c r="J609">
        <v>1371.5490723</v>
      </c>
      <c r="K609">
        <v>0</v>
      </c>
      <c r="L609">
        <v>2200</v>
      </c>
      <c r="M609">
        <v>2200</v>
      </c>
      <c r="N609">
        <v>0</v>
      </c>
    </row>
    <row r="610" spans="1:14" x14ac:dyDescent="0.25">
      <c r="A610">
        <v>342.19213000000002</v>
      </c>
      <c r="B610" s="1">
        <f>DATE(2011,4,8) + TIME(4,36,40)</f>
        <v>40641.192129629628</v>
      </c>
      <c r="C610">
        <v>80</v>
      </c>
      <c r="D610">
        <v>56.130973816000001</v>
      </c>
      <c r="E610">
        <v>50</v>
      </c>
      <c r="F610">
        <v>49.949459075999997</v>
      </c>
      <c r="G610">
        <v>1286.9342041</v>
      </c>
      <c r="H610">
        <v>1269.2989502</v>
      </c>
      <c r="I610">
        <v>1389.4174805</v>
      </c>
      <c r="J610">
        <v>1371.5023193</v>
      </c>
      <c r="K610">
        <v>0</v>
      </c>
      <c r="L610">
        <v>2200</v>
      </c>
      <c r="M610">
        <v>2200</v>
      </c>
      <c r="N610">
        <v>0</v>
      </c>
    </row>
    <row r="611" spans="1:14" x14ac:dyDescent="0.25">
      <c r="A611">
        <v>345.045501</v>
      </c>
      <c r="B611" s="1">
        <f>DATE(2011,4,11) + TIME(1,5,31)</f>
        <v>40644.045497685183</v>
      </c>
      <c r="C611">
        <v>80</v>
      </c>
      <c r="D611">
        <v>55.500205993999998</v>
      </c>
      <c r="E611">
        <v>50</v>
      </c>
      <c r="F611">
        <v>49.949661255000002</v>
      </c>
      <c r="G611">
        <v>1286.503418</v>
      </c>
      <c r="H611">
        <v>1268.6331786999999</v>
      </c>
      <c r="I611">
        <v>1389.3648682</v>
      </c>
      <c r="J611">
        <v>1371.4534911999999</v>
      </c>
      <c r="K611">
        <v>0</v>
      </c>
      <c r="L611">
        <v>2200</v>
      </c>
      <c r="M611">
        <v>2200</v>
      </c>
      <c r="N611">
        <v>0</v>
      </c>
    </row>
    <row r="612" spans="1:14" x14ac:dyDescent="0.25">
      <c r="A612">
        <v>347.93272000000002</v>
      </c>
      <c r="B612" s="1">
        <f>DATE(2011,4,13) + TIME(22,23,7)</f>
        <v>40646.932719907411</v>
      </c>
      <c r="C612">
        <v>80</v>
      </c>
      <c r="D612">
        <v>54.835910796999997</v>
      </c>
      <c r="E612">
        <v>50</v>
      </c>
      <c r="F612">
        <v>49.949859619000001</v>
      </c>
      <c r="G612">
        <v>1286.0566406</v>
      </c>
      <c r="H612">
        <v>1267.9379882999999</v>
      </c>
      <c r="I612">
        <v>1389.3104248</v>
      </c>
      <c r="J612">
        <v>1371.4027100000001</v>
      </c>
      <c r="K612">
        <v>0</v>
      </c>
      <c r="L612">
        <v>2200</v>
      </c>
      <c r="M612">
        <v>2200</v>
      </c>
      <c r="N612">
        <v>0</v>
      </c>
    </row>
    <row r="613" spans="1:14" x14ac:dyDescent="0.25">
      <c r="A613">
        <v>350.85825499999999</v>
      </c>
      <c r="B613" s="1">
        <f>DATE(2011,4,16) + TIME(20,35,53)</f>
        <v>40649.858252314814</v>
      </c>
      <c r="C613">
        <v>80</v>
      </c>
      <c r="D613">
        <v>54.154552459999998</v>
      </c>
      <c r="E613">
        <v>50</v>
      </c>
      <c r="F613">
        <v>49.950061798</v>
      </c>
      <c r="G613">
        <v>1285.6075439000001</v>
      </c>
      <c r="H613">
        <v>1267.2338867000001</v>
      </c>
      <c r="I613">
        <v>1389.2554932</v>
      </c>
      <c r="J613">
        <v>1371.3515625</v>
      </c>
      <c r="K613">
        <v>0</v>
      </c>
      <c r="L613">
        <v>2200</v>
      </c>
      <c r="M613">
        <v>2200</v>
      </c>
      <c r="N613">
        <v>0</v>
      </c>
    </row>
    <row r="614" spans="1:14" x14ac:dyDescent="0.25">
      <c r="A614">
        <v>353.82898599999999</v>
      </c>
      <c r="B614" s="1">
        <f>DATE(2011,4,19) + TIME(19,53,44)</f>
        <v>40652.828981481478</v>
      </c>
      <c r="C614">
        <v>80</v>
      </c>
      <c r="D614">
        <v>53.460079192999999</v>
      </c>
      <c r="E614">
        <v>50</v>
      </c>
      <c r="F614">
        <v>49.950263976999999</v>
      </c>
      <c r="G614">
        <v>1285.1578368999999</v>
      </c>
      <c r="H614">
        <v>1266.5246582</v>
      </c>
      <c r="I614">
        <v>1389.1999512</v>
      </c>
      <c r="J614">
        <v>1371.2998047000001</v>
      </c>
      <c r="K614">
        <v>0</v>
      </c>
      <c r="L614">
        <v>2200</v>
      </c>
      <c r="M614">
        <v>2200</v>
      </c>
      <c r="N614">
        <v>0</v>
      </c>
    </row>
    <row r="615" spans="1:14" x14ac:dyDescent="0.25">
      <c r="A615">
        <v>356.847129</v>
      </c>
      <c r="B615" s="1">
        <f>DATE(2011,4,22) + TIME(20,19,51)</f>
        <v>40655.847118055557</v>
      </c>
      <c r="C615">
        <v>80</v>
      </c>
      <c r="D615">
        <v>52.753623961999999</v>
      </c>
      <c r="E615">
        <v>50</v>
      </c>
      <c r="F615">
        <v>49.950466155999997</v>
      </c>
      <c r="G615">
        <v>1284.7077637</v>
      </c>
      <c r="H615">
        <v>1265.8109131000001</v>
      </c>
      <c r="I615">
        <v>1389.1437988</v>
      </c>
      <c r="J615">
        <v>1371.2474365</v>
      </c>
      <c r="K615">
        <v>0</v>
      </c>
      <c r="L615">
        <v>2200</v>
      </c>
      <c r="M615">
        <v>2200</v>
      </c>
      <c r="N615">
        <v>0</v>
      </c>
    </row>
    <row r="616" spans="1:14" x14ac:dyDescent="0.25">
      <c r="A616">
        <v>359.90509500000002</v>
      </c>
      <c r="B616" s="1">
        <f>DATE(2011,4,25) + TIME(21,43,20)</f>
        <v>40658.905092592591</v>
      </c>
      <c r="C616">
        <v>80</v>
      </c>
      <c r="D616">
        <v>52.037036895999996</v>
      </c>
      <c r="E616">
        <v>50</v>
      </c>
      <c r="F616">
        <v>49.950672150000003</v>
      </c>
      <c r="G616">
        <v>1284.2580565999999</v>
      </c>
      <c r="H616">
        <v>1265.0941161999999</v>
      </c>
      <c r="I616">
        <v>1389.0869141000001</v>
      </c>
      <c r="J616">
        <v>1371.1942139</v>
      </c>
      <c r="K616">
        <v>0</v>
      </c>
      <c r="L616">
        <v>2200</v>
      </c>
      <c r="M616">
        <v>2200</v>
      </c>
      <c r="N616">
        <v>0</v>
      </c>
    </row>
    <row r="617" spans="1:14" x14ac:dyDescent="0.25">
      <c r="A617">
        <v>363.01170200000001</v>
      </c>
      <c r="B617" s="1">
        <f>DATE(2011,4,29) + TIME(0,16,51)</f>
        <v>40662.011701388888</v>
      </c>
      <c r="C617">
        <v>80</v>
      </c>
      <c r="D617">
        <v>51.312675476000003</v>
      </c>
      <c r="E617">
        <v>50</v>
      </c>
      <c r="F617">
        <v>49.950878142999997</v>
      </c>
      <c r="G617">
        <v>1283.8107910000001</v>
      </c>
      <c r="H617">
        <v>1264.3769531</v>
      </c>
      <c r="I617">
        <v>1389.0292969</v>
      </c>
      <c r="J617">
        <v>1371.1403809000001</v>
      </c>
      <c r="K617">
        <v>0</v>
      </c>
      <c r="L617">
        <v>2200</v>
      </c>
      <c r="M617">
        <v>2200</v>
      </c>
      <c r="N617">
        <v>0</v>
      </c>
    </row>
    <row r="618" spans="1:14" x14ac:dyDescent="0.25">
      <c r="A618">
        <v>365</v>
      </c>
      <c r="B618" s="1">
        <f>DATE(2011,5,1) + TIME(0,0,0)</f>
        <v>40664</v>
      </c>
      <c r="C618">
        <v>80</v>
      </c>
      <c r="D618">
        <v>50.659366607999999</v>
      </c>
      <c r="E618">
        <v>50</v>
      </c>
      <c r="F618">
        <v>49.951007842999999</v>
      </c>
      <c r="G618">
        <v>1283.3682861</v>
      </c>
      <c r="H618">
        <v>1263.6900635</v>
      </c>
      <c r="I618">
        <v>1388.9705810999999</v>
      </c>
      <c r="J618">
        <v>1371.0853271000001</v>
      </c>
      <c r="K618">
        <v>0</v>
      </c>
      <c r="L618">
        <v>2200</v>
      </c>
      <c r="M618">
        <v>2200</v>
      </c>
      <c r="N618">
        <v>0</v>
      </c>
    </row>
    <row r="619" spans="1:14" x14ac:dyDescent="0.25">
      <c r="A619">
        <v>365.000001</v>
      </c>
      <c r="B619" s="1">
        <f>DATE(2011,5,1) + TIME(0,0,0)</f>
        <v>40664</v>
      </c>
      <c r="C619">
        <v>80</v>
      </c>
      <c r="D619">
        <v>50.659519195999998</v>
      </c>
      <c r="E619">
        <v>50</v>
      </c>
      <c r="F619">
        <v>49.950904846</v>
      </c>
      <c r="G619">
        <v>1304.7384033000001</v>
      </c>
      <c r="H619">
        <v>1284.2937012</v>
      </c>
      <c r="I619">
        <v>1370.2839355000001</v>
      </c>
      <c r="J619">
        <v>1353.0205077999999</v>
      </c>
      <c r="K619">
        <v>2200</v>
      </c>
      <c r="L619">
        <v>0</v>
      </c>
      <c r="M619">
        <v>0</v>
      </c>
      <c r="N619">
        <v>2200</v>
      </c>
    </row>
    <row r="620" spans="1:14" x14ac:dyDescent="0.25">
      <c r="A620">
        <v>365.00000399999999</v>
      </c>
      <c r="B620" s="1">
        <f>DATE(2011,5,1) + TIME(0,0,0)</f>
        <v>40664</v>
      </c>
      <c r="C620">
        <v>80</v>
      </c>
      <c r="D620">
        <v>50.659938812</v>
      </c>
      <c r="E620">
        <v>50</v>
      </c>
      <c r="F620">
        <v>49.950634002999998</v>
      </c>
      <c r="G620">
        <v>1306.9447021000001</v>
      </c>
      <c r="H620">
        <v>1286.7467041</v>
      </c>
      <c r="I620">
        <v>1368.1463623</v>
      </c>
      <c r="J620">
        <v>1350.8818358999999</v>
      </c>
      <c r="K620">
        <v>2200</v>
      </c>
      <c r="L620">
        <v>0</v>
      </c>
      <c r="M620">
        <v>0</v>
      </c>
      <c r="N620">
        <v>2200</v>
      </c>
    </row>
    <row r="621" spans="1:14" x14ac:dyDescent="0.25">
      <c r="A621">
        <v>365.00001300000002</v>
      </c>
      <c r="B621" s="1">
        <f>DATE(2011,5,1) + TIME(0,0,1)</f>
        <v>40664.000011574077</v>
      </c>
      <c r="C621">
        <v>80</v>
      </c>
      <c r="D621">
        <v>50.660953522</v>
      </c>
      <c r="E621">
        <v>50</v>
      </c>
      <c r="F621">
        <v>49.950031281000001</v>
      </c>
      <c r="G621">
        <v>1312.0179443</v>
      </c>
      <c r="H621">
        <v>1292.1921387</v>
      </c>
      <c r="I621">
        <v>1363.3505858999999</v>
      </c>
      <c r="J621">
        <v>1346.0844727000001</v>
      </c>
      <c r="K621">
        <v>2200</v>
      </c>
      <c r="L621">
        <v>0</v>
      </c>
      <c r="M621">
        <v>0</v>
      </c>
      <c r="N621">
        <v>2200</v>
      </c>
    </row>
    <row r="622" spans="1:14" x14ac:dyDescent="0.25">
      <c r="A622">
        <v>365.00004000000001</v>
      </c>
      <c r="B622" s="1">
        <f>DATE(2011,5,1) + TIME(0,0,3)</f>
        <v>40664.000034722223</v>
      </c>
      <c r="C622">
        <v>80</v>
      </c>
      <c r="D622">
        <v>50.663078308000003</v>
      </c>
      <c r="E622">
        <v>50</v>
      </c>
      <c r="F622">
        <v>49.949016571000001</v>
      </c>
      <c r="G622">
        <v>1320.8326416</v>
      </c>
      <c r="H622">
        <v>1301.2199707</v>
      </c>
      <c r="I622">
        <v>1355.3336182</v>
      </c>
      <c r="J622">
        <v>1338.0692139</v>
      </c>
      <c r="K622">
        <v>2200</v>
      </c>
      <c r="L622">
        <v>0</v>
      </c>
      <c r="M622">
        <v>0</v>
      </c>
      <c r="N622">
        <v>2200</v>
      </c>
    </row>
    <row r="623" spans="1:14" x14ac:dyDescent="0.25">
      <c r="A623">
        <v>365.00012099999998</v>
      </c>
      <c r="B623" s="1">
        <f>DATE(2011,5,1) + TIME(0,0,10)</f>
        <v>40664.000115740739</v>
      </c>
      <c r="C623">
        <v>80</v>
      </c>
      <c r="D623">
        <v>50.667434692</v>
      </c>
      <c r="E623">
        <v>50</v>
      </c>
      <c r="F623">
        <v>49.947772980000003</v>
      </c>
      <c r="G623">
        <v>1332.0003661999999</v>
      </c>
      <c r="H623">
        <v>1312.3068848</v>
      </c>
      <c r="I623">
        <v>1345.5422363</v>
      </c>
      <c r="J623">
        <v>1328.2867432</v>
      </c>
      <c r="K623">
        <v>2200</v>
      </c>
      <c r="L623">
        <v>0</v>
      </c>
      <c r="M623">
        <v>0</v>
      </c>
      <c r="N623">
        <v>2200</v>
      </c>
    </row>
    <row r="624" spans="1:14" x14ac:dyDescent="0.25">
      <c r="A624">
        <v>365.00036399999999</v>
      </c>
      <c r="B624" s="1">
        <f>DATE(2011,5,1) + TIME(0,0,31)</f>
        <v>40664.000358796293</v>
      </c>
      <c r="C624">
        <v>80</v>
      </c>
      <c r="D624">
        <v>50.677841186999999</v>
      </c>
      <c r="E624">
        <v>50</v>
      </c>
      <c r="F624">
        <v>49.946453093999999</v>
      </c>
      <c r="G624">
        <v>1343.8032227000001</v>
      </c>
      <c r="H624">
        <v>1323.9626464999999</v>
      </c>
      <c r="I624">
        <v>1335.4537353999999</v>
      </c>
      <c r="J624">
        <v>1318.2149658000001</v>
      </c>
      <c r="K624">
        <v>2200</v>
      </c>
      <c r="L624">
        <v>0</v>
      </c>
      <c r="M624">
        <v>0</v>
      </c>
      <c r="N624">
        <v>2200</v>
      </c>
    </row>
    <row r="625" spans="1:14" x14ac:dyDescent="0.25">
      <c r="A625">
        <v>365.00109300000003</v>
      </c>
      <c r="B625" s="1">
        <f>DATE(2011,5,1) + TIME(0,1,34)</f>
        <v>40664.001087962963</v>
      </c>
      <c r="C625">
        <v>80</v>
      </c>
      <c r="D625">
        <v>50.706329345999997</v>
      </c>
      <c r="E625">
        <v>50</v>
      </c>
      <c r="F625">
        <v>49.945034026999998</v>
      </c>
      <c r="G625">
        <v>1356.0100098</v>
      </c>
      <c r="H625">
        <v>1336.0395507999999</v>
      </c>
      <c r="I625">
        <v>1325.3359375</v>
      </c>
      <c r="J625">
        <v>1308.1170654</v>
      </c>
      <c r="K625">
        <v>2200</v>
      </c>
      <c r="L625">
        <v>0</v>
      </c>
      <c r="M625">
        <v>0</v>
      </c>
      <c r="N625">
        <v>2200</v>
      </c>
    </row>
    <row r="626" spans="1:14" x14ac:dyDescent="0.25">
      <c r="A626">
        <v>365.00328000000002</v>
      </c>
      <c r="B626" s="1">
        <f>DATE(2011,5,1) + TIME(0,4,43)</f>
        <v>40664.003275462965</v>
      </c>
      <c r="C626">
        <v>80</v>
      </c>
      <c r="D626">
        <v>50.789138794000003</v>
      </c>
      <c r="E626">
        <v>50</v>
      </c>
      <c r="F626">
        <v>49.943275452000002</v>
      </c>
      <c r="G626">
        <v>1368.9368896000001</v>
      </c>
      <c r="H626">
        <v>1348.8615723</v>
      </c>
      <c r="I626">
        <v>1314.9528809000001</v>
      </c>
      <c r="J626">
        <v>1297.7261963000001</v>
      </c>
      <c r="K626">
        <v>2200</v>
      </c>
      <c r="L626">
        <v>0</v>
      </c>
      <c r="M626">
        <v>0</v>
      </c>
      <c r="N626">
        <v>2200</v>
      </c>
    </row>
    <row r="627" spans="1:14" x14ac:dyDescent="0.25">
      <c r="A627">
        <v>365.00984099999999</v>
      </c>
      <c r="B627" s="1">
        <f>DATE(2011,5,1) + TIME(0,14,10)</f>
        <v>40664.009837962964</v>
      </c>
      <c r="C627">
        <v>80</v>
      </c>
      <c r="D627">
        <v>51.033645630000002</v>
      </c>
      <c r="E627">
        <v>50</v>
      </c>
      <c r="F627">
        <v>49.940605163999997</v>
      </c>
      <c r="G627">
        <v>1381.7183838000001</v>
      </c>
      <c r="H627">
        <v>1361.6114502</v>
      </c>
      <c r="I627">
        <v>1304.4498291</v>
      </c>
      <c r="J627">
        <v>1287.1790771000001</v>
      </c>
      <c r="K627">
        <v>2200</v>
      </c>
      <c r="L627">
        <v>0</v>
      </c>
      <c r="M627">
        <v>0</v>
      </c>
      <c r="N627">
        <v>2200</v>
      </c>
    </row>
    <row r="628" spans="1:14" x14ac:dyDescent="0.25">
      <c r="A628">
        <v>365.02952399999998</v>
      </c>
      <c r="B628" s="1">
        <f>DATE(2011,5,1) + TIME(0,42,30)</f>
        <v>40664.029513888891</v>
      </c>
      <c r="C628">
        <v>80</v>
      </c>
      <c r="D628">
        <v>51.748081206999998</v>
      </c>
      <c r="E628">
        <v>50</v>
      </c>
      <c r="F628">
        <v>49.935546875</v>
      </c>
      <c r="G628">
        <v>1391.4521483999999</v>
      </c>
      <c r="H628">
        <v>1371.5117187999999</v>
      </c>
      <c r="I628">
        <v>1295.9665527</v>
      </c>
      <c r="J628">
        <v>1278.6583252</v>
      </c>
      <c r="K628">
        <v>2200</v>
      </c>
      <c r="L628">
        <v>0</v>
      </c>
      <c r="M628">
        <v>0</v>
      </c>
      <c r="N628">
        <v>2200</v>
      </c>
    </row>
    <row r="629" spans="1:14" x14ac:dyDescent="0.25">
      <c r="A629">
        <v>365.05361099999999</v>
      </c>
      <c r="B629" s="1">
        <f>DATE(2011,5,1) + TIME(1,17,11)</f>
        <v>40664.053599537037</v>
      </c>
      <c r="C629">
        <v>80</v>
      </c>
      <c r="D629">
        <v>52.596763611</v>
      </c>
      <c r="E629">
        <v>50</v>
      </c>
      <c r="F629">
        <v>49.930301665999998</v>
      </c>
      <c r="G629">
        <v>1395.0048827999999</v>
      </c>
      <c r="H629">
        <v>1375.3057861</v>
      </c>
      <c r="I629">
        <v>1292.809082</v>
      </c>
      <c r="J629">
        <v>1275.4888916</v>
      </c>
      <c r="K629">
        <v>2200</v>
      </c>
      <c r="L629">
        <v>0</v>
      </c>
      <c r="M629">
        <v>0</v>
      </c>
      <c r="N629">
        <v>2200</v>
      </c>
    </row>
    <row r="630" spans="1:14" x14ac:dyDescent="0.25">
      <c r="A630">
        <v>365.078217</v>
      </c>
      <c r="B630" s="1">
        <f>DATE(2011,5,1) + TIME(1,52,37)</f>
        <v>40664.078206018516</v>
      </c>
      <c r="C630">
        <v>80</v>
      </c>
      <c r="D630">
        <v>53.438159943000002</v>
      </c>
      <c r="E630">
        <v>50</v>
      </c>
      <c r="F630">
        <v>49.925251007</v>
      </c>
      <c r="G630">
        <v>1396.1817627</v>
      </c>
      <c r="H630">
        <v>1376.7255858999999</v>
      </c>
      <c r="I630">
        <v>1291.7600098</v>
      </c>
      <c r="J630">
        <v>1274.4357910000001</v>
      </c>
      <c r="K630">
        <v>2200</v>
      </c>
      <c r="L630">
        <v>0</v>
      </c>
      <c r="M630">
        <v>0</v>
      </c>
      <c r="N630">
        <v>2200</v>
      </c>
    </row>
    <row r="631" spans="1:14" x14ac:dyDescent="0.25">
      <c r="A631">
        <v>365.10332399999999</v>
      </c>
      <c r="B631" s="1">
        <f>DATE(2011,5,1) + TIME(2,28,47)</f>
        <v>40664.103321759256</v>
      </c>
      <c r="C631">
        <v>80</v>
      </c>
      <c r="D631">
        <v>54.270774840999998</v>
      </c>
      <c r="E631">
        <v>50</v>
      </c>
      <c r="F631">
        <v>49.920227050999998</v>
      </c>
      <c r="G631">
        <v>1396.4946289</v>
      </c>
      <c r="H631">
        <v>1377.2768555</v>
      </c>
      <c r="I631">
        <v>1291.4312743999999</v>
      </c>
      <c r="J631">
        <v>1274.1053466999999</v>
      </c>
      <c r="K631">
        <v>2200</v>
      </c>
      <c r="L631">
        <v>0</v>
      </c>
      <c r="M631">
        <v>0</v>
      </c>
      <c r="N631">
        <v>2200</v>
      </c>
    </row>
    <row r="632" spans="1:14" x14ac:dyDescent="0.25">
      <c r="A632">
        <v>365.128941</v>
      </c>
      <c r="B632" s="1">
        <f>DATE(2011,5,1) + TIME(3,5,40)</f>
        <v>40664.128935185188</v>
      </c>
      <c r="C632">
        <v>80</v>
      </c>
      <c r="D632">
        <v>55.094158172999997</v>
      </c>
      <c r="E632">
        <v>50</v>
      </c>
      <c r="F632">
        <v>49.915180206000002</v>
      </c>
      <c r="G632">
        <v>1396.4575195</v>
      </c>
      <c r="H632">
        <v>1377.4707031</v>
      </c>
      <c r="I632">
        <v>1291.3511963000001</v>
      </c>
      <c r="J632">
        <v>1274.0244141000001</v>
      </c>
      <c r="K632">
        <v>2200</v>
      </c>
      <c r="L632">
        <v>0</v>
      </c>
      <c r="M632">
        <v>0</v>
      </c>
      <c r="N632">
        <v>2200</v>
      </c>
    </row>
    <row r="633" spans="1:14" x14ac:dyDescent="0.25">
      <c r="A633">
        <v>365.15504800000002</v>
      </c>
      <c r="B633" s="1">
        <f>DATE(2011,5,1) + TIME(3,43,16)</f>
        <v>40664.155046296299</v>
      </c>
      <c r="C633">
        <v>80</v>
      </c>
      <c r="D633">
        <v>55.906963347999998</v>
      </c>
      <c r="E633">
        <v>50</v>
      </c>
      <c r="F633">
        <v>49.910091399999999</v>
      </c>
      <c r="G633">
        <v>1396.2709961</v>
      </c>
      <c r="H633">
        <v>1377.5067139</v>
      </c>
      <c r="I633">
        <v>1291.3503418</v>
      </c>
      <c r="J633">
        <v>1274.0229492000001</v>
      </c>
      <c r="K633">
        <v>2200</v>
      </c>
      <c r="L633">
        <v>0</v>
      </c>
      <c r="M633">
        <v>0</v>
      </c>
      <c r="N633">
        <v>2200</v>
      </c>
    </row>
    <row r="634" spans="1:14" x14ac:dyDescent="0.25">
      <c r="A634">
        <v>365.18165900000002</v>
      </c>
      <c r="B634" s="1">
        <f>DATE(2011,5,1) + TIME(4,21,35)</f>
        <v>40664.181655092594</v>
      </c>
      <c r="C634">
        <v>80</v>
      </c>
      <c r="D634">
        <v>56.708930969000001</v>
      </c>
      <c r="E634">
        <v>50</v>
      </c>
      <c r="F634">
        <v>49.904945374</v>
      </c>
      <c r="G634">
        <v>1396.0200195</v>
      </c>
      <c r="H634">
        <v>1377.4702147999999</v>
      </c>
      <c r="I634">
        <v>1291.3688964999999</v>
      </c>
      <c r="J634">
        <v>1274.0408935999999</v>
      </c>
      <c r="K634">
        <v>2200</v>
      </c>
      <c r="L634">
        <v>0</v>
      </c>
      <c r="M634">
        <v>0</v>
      </c>
      <c r="N634">
        <v>2200</v>
      </c>
    </row>
    <row r="635" spans="1:14" x14ac:dyDescent="0.25">
      <c r="A635">
        <v>365.208798</v>
      </c>
      <c r="B635" s="1">
        <f>DATE(2011,5,1) + TIME(5,0,40)</f>
        <v>40664.208796296298</v>
      </c>
      <c r="C635">
        <v>80</v>
      </c>
      <c r="D635">
        <v>57.500068665000001</v>
      </c>
      <c r="E635">
        <v>50</v>
      </c>
      <c r="F635">
        <v>49.899745940999999</v>
      </c>
      <c r="G635">
        <v>1395.7429199000001</v>
      </c>
      <c r="H635">
        <v>1377.3994141000001</v>
      </c>
      <c r="I635">
        <v>1291.3875731999999</v>
      </c>
      <c r="J635">
        <v>1274.059082</v>
      </c>
      <c r="K635">
        <v>2200</v>
      </c>
      <c r="L635">
        <v>0</v>
      </c>
      <c r="M635">
        <v>0</v>
      </c>
      <c r="N635">
        <v>2200</v>
      </c>
    </row>
    <row r="636" spans="1:14" x14ac:dyDescent="0.25">
      <c r="A636">
        <v>365.236491</v>
      </c>
      <c r="B636" s="1">
        <f>DATE(2011,5,1) + TIME(5,40,32)</f>
        <v>40664.236481481479</v>
      </c>
      <c r="C636">
        <v>80</v>
      </c>
      <c r="D636">
        <v>58.280391692999999</v>
      </c>
      <c r="E636">
        <v>50</v>
      </c>
      <c r="F636">
        <v>49.894485474</v>
      </c>
      <c r="G636">
        <v>1395.4576416</v>
      </c>
      <c r="H636">
        <v>1377.3128661999999</v>
      </c>
      <c r="I636">
        <v>1291.4017334</v>
      </c>
      <c r="J636">
        <v>1274.0727539</v>
      </c>
      <c r="K636">
        <v>2200</v>
      </c>
      <c r="L636">
        <v>0</v>
      </c>
      <c r="M636">
        <v>0</v>
      </c>
      <c r="N636">
        <v>2200</v>
      </c>
    </row>
    <row r="637" spans="1:14" x14ac:dyDescent="0.25">
      <c r="A637">
        <v>365.26476600000001</v>
      </c>
      <c r="B637" s="1">
        <f>DATE(2011,5,1) + TIME(6,21,15)</f>
        <v>40664.264756944445</v>
      </c>
      <c r="C637">
        <v>80</v>
      </c>
      <c r="D637">
        <v>59.049911498999997</v>
      </c>
      <c r="E637">
        <v>50</v>
      </c>
      <c r="F637">
        <v>49.889160156000003</v>
      </c>
      <c r="G637">
        <v>1395.1728516000001</v>
      </c>
      <c r="H637">
        <v>1377.2192382999999</v>
      </c>
      <c r="I637">
        <v>1291.4113769999999</v>
      </c>
      <c r="J637">
        <v>1274.0819091999999</v>
      </c>
      <c r="K637">
        <v>2200</v>
      </c>
      <c r="L637">
        <v>0</v>
      </c>
      <c r="M637">
        <v>0</v>
      </c>
      <c r="N637">
        <v>2200</v>
      </c>
    </row>
    <row r="638" spans="1:14" x14ac:dyDescent="0.25">
      <c r="A638">
        <v>365.29365300000001</v>
      </c>
      <c r="B638" s="1">
        <f>DATE(2011,5,1) + TIME(7,2,51)</f>
        <v>40664.293645833335</v>
      </c>
      <c r="C638">
        <v>80</v>
      </c>
      <c r="D638">
        <v>59.808631896999998</v>
      </c>
      <c r="E638">
        <v>50</v>
      </c>
      <c r="F638">
        <v>49.883766174000002</v>
      </c>
      <c r="G638">
        <v>1394.8928223</v>
      </c>
      <c r="H638">
        <v>1377.1235352000001</v>
      </c>
      <c r="I638">
        <v>1291.4174805</v>
      </c>
      <c r="J638">
        <v>1274.0876464999999</v>
      </c>
      <c r="K638">
        <v>2200</v>
      </c>
      <c r="L638">
        <v>0</v>
      </c>
      <c r="M638">
        <v>0</v>
      </c>
      <c r="N638">
        <v>2200</v>
      </c>
    </row>
    <row r="639" spans="1:14" x14ac:dyDescent="0.25">
      <c r="A639">
        <v>365.32318299999997</v>
      </c>
      <c r="B639" s="1">
        <f>DATE(2011,5,1) + TIME(7,45,23)</f>
        <v>40664.323182870372</v>
      </c>
      <c r="C639">
        <v>80</v>
      </c>
      <c r="D639">
        <v>60.556129456000001</v>
      </c>
      <c r="E639">
        <v>50</v>
      </c>
      <c r="F639">
        <v>49.878299712999997</v>
      </c>
      <c r="G639">
        <v>1394.619751</v>
      </c>
      <c r="H639">
        <v>1377.0277100000001</v>
      </c>
      <c r="I639">
        <v>1291.4213867000001</v>
      </c>
      <c r="J639">
        <v>1274.0909423999999</v>
      </c>
      <c r="K639">
        <v>2200</v>
      </c>
      <c r="L639">
        <v>0</v>
      </c>
      <c r="M639">
        <v>0</v>
      </c>
      <c r="N639">
        <v>2200</v>
      </c>
    </row>
    <row r="640" spans="1:14" x14ac:dyDescent="0.25">
      <c r="A640">
        <v>365.35339099999999</v>
      </c>
      <c r="B640" s="1">
        <f>DATE(2011,5,1) + TIME(8,28,52)</f>
        <v>40664.353379629632</v>
      </c>
      <c r="C640">
        <v>80</v>
      </c>
      <c r="D640">
        <v>61.292625426999997</v>
      </c>
      <c r="E640">
        <v>50</v>
      </c>
      <c r="F640">
        <v>49.872753142999997</v>
      </c>
      <c r="G640">
        <v>1394.3544922000001</v>
      </c>
      <c r="H640">
        <v>1376.9332274999999</v>
      </c>
      <c r="I640">
        <v>1291.4235839999999</v>
      </c>
      <c r="J640">
        <v>1274.0926514</v>
      </c>
      <c r="K640">
        <v>2200</v>
      </c>
      <c r="L640">
        <v>0</v>
      </c>
      <c r="M640">
        <v>0</v>
      </c>
      <c r="N640">
        <v>2200</v>
      </c>
    </row>
    <row r="641" spans="1:14" x14ac:dyDescent="0.25">
      <c r="A641">
        <v>365.38430599999998</v>
      </c>
      <c r="B641" s="1">
        <f>DATE(2011,5,1) + TIME(9,13,24)</f>
        <v>40664.384305555555</v>
      </c>
      <c r="C641">
        <v>80</v>
      </c>
      <c r="D641">
        <v>62.018081664999997</v>
      </c>
      <c r="E641">
        <v>50</v>
      </c>
      <c r="F641">
        <v>49.867130279999998</v>
      </c>
      <c r="G641">
        <v>1394.0974120999999</v>
      </c>
      <c r="H641">
        <v>1376.8408202999999</v>
      </c>
      <c r="I641">
        <v>1291.4249268000001</v>
      </c>
      <c r="J641">
        <v>1274.0935059000001</v>
      </c>
      <c r="K641">
        <v>2200</v>
      </c>
      <c r="L641">
        <v>0</v>
      </c>
      <c r="M641">
        <v>0</v>
      </c>
      <c r="N641">
        <v>2200</v>
      </c>
    </row>
    <row r="642" spans="1:14" x14ac:dyDescent="0.25">
      <c r="A642">
        <v>365.41597400000001</v>
      </c>
      <c r="B642" s="1">
        <f>DATE(2011,5,1) + TIME(9,59,0)</f>
        <v>40664.415972222225</v>
      </c>
      <c r="C642">
        <v>80</v>
      </c>
      <c r="D642">
        <v>62.732597351000003</v>
      </c>
      <c r="E642">
        <v>50</v>
      </c>
      <c r="F642">
        <v>49.861419677999997</v>
      </c>
      <c r="G642">
        <v>1393.8485106999999</v>
      </c>
      <c r="H642">
        <v>1376.7506103999999</v>
      </c>
      <c r="I642">
        <v>1291.4256591999999</v>
      </c>
      <c r="J642">
        <v>1274.09375</v>
      </c>
      <c r="K642">
        <v>2200</v>
      </c>
      <c r="L642">
        <v>0</v>
      </c>
      <c r="M642">
        <v>0</v>
      </c>
      <c r="N642">
        <v>2200</v>
      </c>
    </row>
    <row r="643" spans="1:14" x14ac:dyDescent="0.25">
      <c r="A643">
        <v>365.44843800000001</v>
      </c>
      <c r="B643" s="1">
        <f>DATE(2011,5,1) + TIME(10,45,45)</f>
        <v>40664.448437500003</v>
      </c>
      <c r="C643">
        <v>80</v>
      </c>
      <c r="D643">
        <v>63.436107634999999</v>
      </c>
      <c r="E643">
        <v>50</v>
      </c>
      <c r="F643">
        <v>49.855617522999999</v>
      </c>
      <c r="G643">
        <v>1393.6076660000001</v>
      </c>
      <c r="H643">
        <v>1376.6625977000001</v>
      </c>
      <c r="I643">
        <v>1291.4260254000001</v>
      </c>
      <c r="J643">
        <v>1274.0935059000001</v>
      </c>
      <c r="K643">
        <v>2200</v>
      </c>
      <c r="L643">
        <v>0</v>
      </c>
      <c r="M643">
        <v>0</v>
      </c>
      <c r="N643">
        <v>2200</v>
      </c>
    </row>
    <row r="644" spans="1:14" x14ac:dyDescent="0.25">
      <c r="A644">
        <v>365.48174299999999</v>
      </c>
      <c r="B644" s="1">
        <f>DATE(2011,5,1) + TIME(11,33,42)</f>
        <v>40664.481736111113</v>
      </c>
      <c r="C644">
        <v>80</v>
      </c>
      <c r="D644">
        <v>64.128540039000001</v>
      </c>
      <c r="E644">
        <v>50</v>
      </c>
      <c r="F644">
        <v>49.849716186999999</v>
      </c>
      <c r="G644">
        <v>1393.3745117000001</v>
      </c>
      <c r="H644">
        <v>1376.5769043</v>
      </c>
      <c r="I644">
        <v>1291.4261475000001</v>
      </c>
      <c r="J644">
        <v>1274.0931396000001</v>
      </c>
      <c r="K644">
        <v>2200</v>
      </c>
      <c r="L644">
        <v>0</v>
      </c>
      <c r="M644">
        <v>0</v>
      </c>
      <c r="N644">
        <v>2200</v>
      </c>
    </row>
    <row r="645" spans="1:14" x14ac:dyDescent="0.25">
      <c r="A645">
        <v>365.51593700000001</v>
      </c>
      <c r="B645" s="1">
        <f>DATE(2011,5,1) + TIME(12,22,56)</f>
        <v>40664.515925925924</v>
      </c>
      <c r="C645">
        <v>80</v>
      </c>
      <c r="D645">
        <v>64.809799193999993</v>
      </c>
      <c r="E645">
        <v>50</v>
      </c>
      <c r="F645">
        <v>49.843711853000002</v>
      </c>
      <c r="G645">
        <v>1393.1488036999999</v>
      </c>
      <c r="H645">
        <v>1376.4932861</v>
      </c>
      <c r="I645">
        <v>1291.4261475000001</v>
      </c>
      <c r="J645">
        <v>1274.0925293</v>
      </c>
      <c r="K645">
        <v>2200</v>
      </c>
      <c r="L645">
        <v>0</v>
      </c>
      <c r="M645">
        <v>0</v>
      </c>
      <c r="N645">
        <v>2200</v>
      </c>
    </row>
    <row r="646" spans="1:14" x14ac:dyDescent="0.25">
      <c r="A646">
        <v>365.55107500000003</v>
      </c>
      <c r="B646" s="1">
        <f>DATE(2011,5,1) + TIME(13,13,32)</f>
        <v>40664.551064814812</v>
      </c>
      <c r="C646">
        <v>80</v>
      </c>
      <c r="D646">
        <v>65.479911803999997</v>
      </c>
      <c r="E646">
        <v>50</v>
      </c>
      <c r="F646">
        <v>49.837596892999997</v>
      </c>
      <c r="G646">
        <v>1392.9302978999999</v>
      </c>
      <c r="H646">
        <v>1376.4118652</v>
      </c>
      <c r="I646">
        <v>1291.4260254000001</v>
      </c>
      <c r="J646">
        <v>1274.0917969</v>
      </c>
      <c r="K646">
        <v>2200</v>
      </c>
      <c r="L646">
        <v>0</v>
      </c>
      <c r="M646">
        <v>0</v>
      </c>
      <c r="N646">
        <v>2200</v>
      </c>
    </row>
    <row r="647" spans="1:14" x14ac:dyDescent="0.25">
      <c r="A647">
        <v>365.58721400000002</v>
      </c>
      <c r="B647" s="1">
        <f>DATE(2011,5,1) + TIME(14,5,35)</f>
        <v>40664.587210648147</v>
      </c>
      <c r="C647">
        <v>80</v>
      </c>
      <c r="D647">
        <v>66.138687133999994</v>
      </c>
      <c r="E647">
        <v>50</v>
      </c>
      <c r="F647">
        <v>49.831367493000002</v>
      </c>
      <c r="G647">
        <v>1392.7185059000001</v>
      </c>
      <c r="H647">
        <v>1376.3321533000001</v>
      </c>
      <c r="I647">
        <v>1291.4256591999999</v>
      </c>
      <c r="J647">
        <v>1274.0909423999999</v>
      </c>
      <c r="K647">
        <v>2200</v>
      </c>
      <c r="L647">
        <v>0</v>
      </c>
      <c r="M647">
        <v>0</v>
      </c>
      <c r="N647">
        <v>2200</v>
      </c>
    </row>
    <row r="648" spans="1:14" x14ac:dyDescent="0.25">
      <c r="A648">
        <v>365.624416</v>
      </c>
      <c r="B648" s="1">
        <f>DATE(2011,5,1) + TIME(14,59,9)</f>
        <v>40664.624409722222</v>
      </c>
      <c r="C648">
        <v>80</v>
      </c>
      <c r="D648">
        <v>66.785957335999996</v>
      </c>
      <c r="E648">
        <v>50</v>
      </c>
      <c r="F648">
        <v>49.825008392000001</v>
      </c>
      <c r="G648">
        <v>1392.5130615</v>
      </c>
      <c r="H648">
        <v>1376.2542725000001</v>
      </c>
      <c r="I648">
        <v>1291.4254149999999</v>
      </c>
      <c r="J648">
        <v>1274.0899658000001</v>
      </c>
      <c r="K648">
        <v>2200</v>
      </c>
      <c r="L648">
        <v>0</v>
      </c>
      <c r="M648">
        <v>0</v>
      </c>
      <c r="N648">
        <v>2200</v>
      </c>
    </row>
    <row r="649" spans="1:14" x14ac:dyDescent="0.25">
      <c r="A649">
        <v>365.66275100000001</v>
      </c>
      <c r="B649" s="1">
        <f>DATE(2011,5,1) + TIME(15,54,21)</f>
        <v>40664.662743055553</v>
      </c>
      <c r="C649">
        <v>80</v>
      </c>
      <c r="D649">
        <v>67.421569824000002</v>
      </c>
      <c r="E649">
        <v>50</v>
      </c>
      <c r="F649">
        <v>49.818519592000001</v>
      </c>
      <c r="G649">
        <v>1392.3138428</v>
      </c>
      <c r="H649">
        <v>1376.1779785000001</v>
      </c>
      <c r="I649">
        <v>1291.4249268000001</v>
      </c>
      <c r="J649">
        <v>1274.0889893000001</v>
      </c>
      <c r="K649">
        <v>2200</v>
      </c>
      <c r="L649">
        <v>0</v>
      </c>
      <c r="M649">
        <v>0</v>
      </c>
      <c r="N649">
        <v>2200</v>
      </c>
    </row>
    <row r="650" spans="1:14" x14ac:dyDescent="0.25">
      <c r="A650">
        <v>365.702291</v>
      </c>
      <c r="B650" s="1">
        <f>DATE(2011,5,1) + TIME(16,51,17)</f>
        <v>40664.702280092592</v>
      </c>
      <c r="C650">
        <v>80</v>
      </c>
      <c r="D650">
        <v>68.045379639000004</v>
      </c>
      <c r="E650">
        <v>50</v>
      </c>
      <c r="F650">
        <v>49.811885834000002</v>
      </c>
      <c r="G650">
        <v>1392.1204834</v>
      </c>
      <c r="H650">
        <v>1376.1031493999999</v>
      </c>
      <c r="I650">
        <v>1291.4244385</v>
      </c>
      <c r="J650">
        <v>1274.0878906</v>
      </c>
      <c r="K650">
        <v>2200</v>
      </c>
      <c r="L650">
        <v>0</v>
      </c>
      <c r="M650">
        <v>0</v>
      </c>
      <c r="N650">
        <v>2200</v>
      </c>
    </row>
    <row r="651" spans="1:14" x14ac:dyDescent="0.25">
      <c r="A651">
        <v>365.74313599999999</v>
      </c>
      <c r="B651" s="1">
        <f>DATE(2011,5,1) + TIME(17,50,6)</f>
        <v>40664.743125000001</v>
      </c>
      <c r="C651">
        <v>80</v>
      </c>
      <c r="D651">
        <v>68.657424926999994</v>
      </c>
      <c r="E651">
        <v>50</v>
      </c>
      <c r="F651">
        <v>49.805099487</v>
      </c>
      <c r="G651">
        <v>1391.9324951000001</v>
      </c>
      <c r="H651">
        <v>1376.0294189000001</v>
      </c>
      <c r="I651">
        <v>1291.4239502</v>
      </c>
      <c r="J651">
        <v>1274.0867920000001</v>
      </c>
      <c r="K651">
        <v>2200</v>
      </c>
      <c r="L651">
        <v>0</v>
      </c>
      <c r="M651">
        <v>0</v>
      </c>
      <c r="N651">
        <v>2200</v>
      </c>
    </row>
    <row r="652" spans="1:14" x14ac:dyDescent="0.25">
      <c r="A652">
        <v>365.78536500000001</v>
      </c>
      <c r="B652" s="1">
        <f>DATE(2011,5,1) + TIME(18,50,55)</f>
        <v>40664.785358796296</v>
      </c>
      <c r="C652">
        <v>80</v>
      </c>
      <c r="D652">
        <v>69.257362365999995</v>
      </c>
      <c r="E652">
        <v>50</v>
      </c>
      <c r="F652">
        <v>49.798149109000001</v>
      </c>
      <c r="G652">
        <v>1391.7496338000001</v>
      </c>
      <c r="H652">
        <v>1375.9569091999999</v>
      </c>
      <c r="I652">
        <v>1291.4233397999999</v>
      </c>
      <c r="J652">
        <v>1274.0855713000001</v>
      </c>
      <c r="K652">
        <v>2200</v>
      </c>
      <c r="L652">
        <v>0</v>
      </c>
      <c r="M652">
        <v>0</v>
      </c>
      <c r="N652">
        <v>2200</v>
      </c>
    </row>
    <row r="653" spans="1:14" x14ac:dyDescent="0.25">
      <c r="A653">
        <v>365.82907399999999</v>
      </c>
      <c r="B653" s="1">
        <f>DATE(2011,5,1) + TIME(19,53,51)</f>
        <v>40664.829062500001</v>
      </c>
      <c r="C653">
        <v>80</v>
      </c>
      <c r="D653">
        <v>69.844924926999994</v>
      </c>
      <c r="E653">
        <v>50</v>
      </c>
      <c r="F653">
        <v>49.791019439999999</v>
      </c>
      <c r="G653">
        <v>1391.5717772999999</v>
      </c>
      <c r="H653">
        <v>1375.885376</v>
      </c>
      <c r="I653">
        <v>1291.4227295000001</v>
      </c>
      <c r="J653">
        <v>1274.0842285000001</v>
      </c>
      <c r="K653">
        <v>2200</v>
      </c>
      <c r="L653">
        <v>0</v>
      </c>
      <c r="M653">
        <v>0</v>
      </c>
      <c r="N653">
        <v>2200</v>
      </c>
    </row>
    <row r="654" spans="1:14" x14ac:dyDescent="0.25">
      <c r="A654">
        <v>365.874371</v>
      </c>
      <c r="B654" s="1">
        <f>DATE(2011,5,1) + TIME(20,59,5)</f>
        <v>40664.874363425923</v>
      </c>
      <c r="C654">
        <v>80</v>
      </c>
      <c r="D654">
        <v>70.419586182000003</v>
      </c>
      <c r="E654">
        <v>50</v>
      </c>
      <c r="F654">
        <v>49.783706664999997</v>
      </c>
      <c r="G654">
        <v>1391.3985596</v>
      </c>
      <c r="H654">
        <v>1375.8145752</v>
      </c>
      <c r="I654">
        <v>1291.4219971</v>
      </c>
      <c r="J654">
        <v>1274.0828856999999</v>
      </c>
      <c r="K654">
        <v>2200</v>
      </c>
      <c r="L654">
        <v>0</v>
      </c>
      <c r="M654">
        <v>0</v>
      </c>
      <c r="N654">
        <v>2200</v>
      </c>
    </row>
    <row r="655" spans="1:14" x14ac:dyDescent="0.25">
      <c r="A655">
        <v>365.92138</v>
      </c>
      <c r="B655" s="1">
        <f>DATE(2011,5,1) + TIME(22,6,47)</f>
        <v>40664.921377314815</v>
      </c>
      <c r="C655">
        <v>80</v>
      </c>
      <c r="D655">
        <v>70.981307982999994</v>
      </c>
      <c r="E655">
        <v>50</v>
      </c>
      <c r="F655">
        <v>49.776184082</v>
      </c>
      <c r="G655">
        <v>1391.2297363</v>
      </c>
      <c r="H655">
        <v>1375.7443848</v>
      </c>
      <c r="I655">
        <v>1291.4212646000001</v>
      </c>
      <c r="J655">
        <v>1274.0814209</v>
      </c>
      <c r="K655">
        <v>2200</v>
      </c>
      <c r="L655">
        <v>0</v>
      </c>
      <c r="M655">
        <v>0</v>
      </c>
      <c r="N655">
        <v>2200</v>
      </c>
    </row>
    <row r="656" spans="1:14" x14ac:dyDescent="0.25">
      <c r="A656">
        <v>365.970236</v>
      </c>
      <c r="B656" s="1">
        <f>DATE(2011,5,1) + TIME(23,17,8)</f>
        <v>40664.970231481479</v>
      </c>
      <c r="C656">
        <v>80</v>
      </c>
      <c r="D656">
        <v>71.529937743999994</v>
      </c>
      <c r="E656">
        <v>50</v>
      </c>
      <c r="F656">
        <v>49.768447876000003</v>
      </c>
      <c r="G656">
        <v>1391.0649414</v>
      </c>
      <c r="H656">
        <v>1375.6745605000001</v>
      </c>
      <c r="I656">
        <v>1291.4204102000001</v>
      </c>
      <c r="J656">
        <v>1274.0799560999999</v>
      </c>
      <c r="K656">
        <v>2200</v>
      </c>
      <c r="L656">
        <v>0</v>
      </c>
      <c r="M656">
        <v>0</v>
      </c>
      <c r="N656">
        <v>2200</v>
      </c>
    </row>
    <row r="657" spans="1:14" x14ac:dyDescent="0.25">
      <c r="A657">
        <v>366.02109100000001</v>
      </c>
      <c r="B657" s="1">
        <f>DATE(2011,5,2) + TIME(0,30,22)</f>
        <v>40665.021087962959</v>
      </c>
      <c r="C657">
        <v>80</v>
      </c>
      <c r="D657">
        <v>72.065223693999997</v>
      </c>
      <c r="E657">
        <v>50</v>
      </c>
      <c r="F657">
        <v>49.760471344000003</v>
      </c>
      <c r="G657">
        <v>1390.9039307</v>
      </c>
      <c r="H657">
        <v>1375.6052245999999</v>
      </c>
      <c r="I657">
        <v>1291.4195557</v>
      </c>
      <c r="J657">
        <v>1274.0783690999999</v>
      </c>
      <c r="K657">
        <v>2200</v>
      </c>
      <c r="L657">
        <v>0</v>
      </c>
      <c r="M657">
        <v>0</v>
      </c>
      <c r="N657">
        <v>2200</v>
      </c>
    </row>
    <row r="658" spans="1:14" x14ac:dyDescent="0.25">
      <c r="A658">
        <v>366.07411400000001</v>
      </c>
      <c r="B658" s="1">
        <f>DATE(2011,5,2) + TIME(1,46,43)</f>
        <v>40665.074108796296</v>
      </c>
      <c r="C658">
        <v>80</v>
      </c>
      <c r="D658">
        <v>72.586875915999997</v>
      </c>
      <c r="E658">
        <v>50</v>
      </c>
      <c r="F658">
        <v>49.752235413000001</v>
      </c>
      <c r="G658">
        <v>1390.746582</v>
      </c>
      <c r="H658">
        <v>1375.5358887</v>
      </c>
      <c r="I658">
        <v>1291.4185791</v>
      </c>
      <c r="J658">
        <v>1274.0766602000001</v>
      </c>
      <c r="K658">
        <v>2200</v>
      </c>
      <c r="L658">
        <v>0</v>
      </c>
      <c r="M658">
        <v>0</v>
      </c>
      <c r="N658">
        <v>2200</v>
      </c>
    </row>
    <row r="659" spans="1:14" x14ac:dyDescent="0.25">
      <c r="A659">
        <v>366.12949900000001</v>
      </c>
      <c r="B659" s="1">
        <f>DATE(2011,5,2) + TIME(3,6,28)</f>
        <v>40665.129490740743</v>
      </c>
      <c r="C659">
        <v>80</v>
      </c>
      <c r="D659">
        <v>73.094589232999994</v>
      </c>
      <c r="E659">
        <v>50</v>
      </c>
      <c r="F659">
        <v>49.743724823000001</v>
      </c>
      <c r="G659">
        <v>1390.5924072</v>
      </c>
      <c r="H659">
        <v>1375.4665527</v>
      </c>
      <c r="I659">
        <v>1291.4176024999999</v>
      </c>
      <c r="J659">
        <v>1274.0749512</v>
      </c>
      <c r="K659">
        <v>2200</v>
      </c>
      <c r="L659">
        <v>0</v>
      </c>
      <c r="M659">
        <v>0</v>
      </c>
      <c r="N659">
        <v>2200</v>
      </c>
    </row>
    <row r="660" spans="1:14" x14ac:dyDescent="0.25">
      <c r="A660">
        <v>366.18746399999998</v>
      </c>
      <c r="B660" s="1">
        <f>DATE(2011,5,2) + TIME(4,29,56)</f>
        <v>40665.1874537037</v>
      </c>
      <c r="C660">
        <v>80</v>
      </c>
      <c r="D660">
        <v>73.588058472</v>
      </c>
      <c r="E660">
        <v>50</v>
      </c>
      <c r="F660">
        <v>49.734905243</v>
      </c>
      <c r="G660">
        <v>1390.4411620999999</v>
      </c>
      <c r="H660">
        <v>1375.3969727000001</v>
      </c>
      <c r="I660">
        <v>1291.416626</v>
      </c>
      <c r="J660">
        <v>1274.0731201000001</v>
      </c>
      <c r="K660">
        <v>2200</v>
      </c>
      <c r="L660">
        <v>0</v>
      </c>
      <c r="M660">
        <v>0</v>
      </c>
      <c r="N660">
        <v>2200</v>
      </c>
    </row>
    <row r="661" spans="1:14" x14ac:dyDescent="0.25">
      <c r="A661">
        <v>366.24827599999998</v>
      </c>
      <c r="B661" s="1">
        <f>DATE(2011,5,2) + TIME(5,57,31)</f>
        <v>40665.24827546296</v>
      </c>
      <c r="C661">
        <v>80</v>
      </c>
      <c r="D661">
        <v>74.067085266000007</v>
      </c>
      <c r="E661">
        <v>50</v>
      </c>
      <c r="F661">
        <v>49.725749968999999</v>
      </c>
      <c r="G661">
        <v>1390.2926024999999</v>
      </c>
      <c r="H661">
        <v>1375.3270264</v>
      </c>
      <c r="I661">
        <v>1291.4154053</v>
      </c>
      <c r="J661">
        <v>1274.0711670000001</v>
      </c>
      <c r="K661">
        <v>2200</v>
      </c>
      <c r="L661">
        <v>0</v>
      </c>
      <c r="M661">
        <v>0</v>
      </c>
      <c r="N661">
        <v>2200</v>
      </c>
    </row>
    <row r="662" spans="1:14" x14ac:dyDescent="0.25">
      <c r="A662">
        <v>366.31223199999999</v>
      </c>
      <c r="B662" s="1">
        <f>DATE(2011,5,2) + TIME(7,29,36)</f>
        <v>40665.312222222223</v>
      </c>
      <c r="C662">
        <v>80</v>
      </c>
      <c r="D662">
        <v>74.531356811999999</v>
      </c>
      <c r="E662">
        <v>50</v>
      </c>
      <c r="F662">
        <v>49.716220856</v>
      </c>
      <c r="G662">
        <v>1390.1464844</v>
      </c>
      <c r="H662">
        <v>1375.2563477000001</v>
      </c>
      <c r="I662">
        <v>1291.4143065999999</v>
      </c>
      <c r="J662">
        <v>1274.0692139</v>
      </c>
      <c r="K662">
        <v>2200</v>
      </c>
      <c r="L662">
        <v>0</v>
      </c>
      <c r="M662">
        <v>0</v>
      </c>
      <c r="N662">
        <v>2200</v>
      </c>
    </row>
    <row r="663" spans="1:14" x14ac:dyDescent="0.25">
      <c r="A663">
        <v>366.379639</v>
      </c>
      <c r="B663" s="1">
        <f>DATE(2011,5,2) + TIME(9,6,40)</f>
        <v>40665.379629629628</v>
      </c>
      <c r="C663">
        <v>80</v>
      </c>
      <c r="D663">
        <v>74.980308532999999</v>
      </c>
      <c r="E663">
        <v>50</v>
      </c>
      <c r="F663">
        <v>49.706287383999999</v>
      </c>
      <c r="G663">
        <v>1390.0024414</v>
      </c>
      <c r="H663">
        <v>1375.1848144999999</v>
      </c>
      <c r="I663">
        <v>1291.4129639</v>
      </c>
      <c r="J663">
        <v>1274.0671387</v>
      </c>
      <c r="K663">
        <v>2200</v>
      </c>
      <c r="L663">
        <v>0</v>
      </c>
      <c r="M663">
        <v>0</v>
      </c>
      <c r="N663">
        <v>2200</v>
      </c>
    </row>
    <row r="664" spans="1:14" x14ac:dyDescent="0.25">
      <c r="A664">
        <v>366.45088199999998</v>
      </c>
      <c r="B664" s="1">
        <f>DATE(2011,5,2) + TIME(10,49,16)</f>
        <v>40665.450879629629</v>
      </c>
      <c r="C664">
        <v>80</v>
      </c>
      <c r="D664">
        <v>75.413230896000002</v>
      </c>
      <c r="E664">
        <v>50</v>
      </c>
      <c r="F664">
        <v>49.695907593000001</v>
      </c>
      <c r="G664">
        <v>1389.8602295000001</v>
      </c>
      <c r="H664">
        <v>1375.1121826000001</v>
      </c>
      <c r="I664">
        <v>1291.4116211</v>
      </c>
      <c r="J664">
        <v>1274.0648193</v>
      </c>
      <c r="K664">
        <v>2200</v>
      </c>
      <c r="L664">
        <v>0</v>
      </c>
      <c r="M664">
        <v>0</v>
      </c>
      <c r="N664">
        <v>2200</v>
      </c>
    </row>
    <row r="665" spans="1:14" x14ac:dyDescent="0.25">
      <c r="A665">
        <v>366.52641199999999</v>
      </c>
      <c r="B665" s="1">
        <f>DATE(2011,5,2) + TIME(12,38,2)</f>
        <v>40665.526412037034</v>
      </c>
      <c r="C665">
        <v>80</v>
      </c>
      <c r="D665">
        <v>75.829994201999995</v>
      </c>
      <c r="E665">
        <v>50</v>
      </c>
      <c r="F665">
        <v>49.685024261000002</v>
      </c>
      <c r="G665">
        <v>1389.7196045000001</v>
      </c>
      <c r="H665">
        <v>1375.0382079999999</v>
      </c>
      <c r="I665">
        <v>1291.4102783000001</v>
      </c>
      <c r="J665">
        <v>1274.0625</v>
      </c>
      <c r="K665">
        <v>2200</v>
      </c>
      <c r="L665">
        <v>0</v>
      </c>
      <c r="M665">
        <v>0</v>
      </c>
      <c r="N665">
        <v>2200</v>
      </c>
    </row>
    <row r="666" spans="1:14" x14ac:dyDescent="0.25">
      <c r="A666">
        <v>366.60675800000001</v>
      </c>
      <c r="B666" s="1">
        <f>DATE(2011,5,2) + TIME(14,33,43)</f>
        <v>40665.606747685182</v>
      </c>
      <c r="C666">
        <v>80</v>
      </c>
      <c r="D666">
        <v>76.230148314999994</v>
      </c>
      <c r="E666">
        <v>50</v>
      </c>
      <c r="F666">
        <v>49.673580170000001</v>
      </c>
      <c r="G666">
        <v>1389.5800781</v>
      </c>
      <c r="H666">
        <v>1374.9626464999999</v>
      </c>
      <c r="I666">
        <v>1291.4086914</v>
      </c>
      <c r="J666">
        <v>1274.0600586</v>
      </c>
      <c r="K666">
        <v>2200</v>
      </c>
      <c r="L666">
        <v>0</v>
      </c>
      <c r="M666">
        <v>0</v>
      </c>
      <c r="N666">
        <v>2200</v>
      </c>
    </row>
    <row r="667" spans="1:14" x14ac:dyDescent="0.25">
      <c r="A667">
        <v>366.69253800000001</v>
      </c>
      <c r="B667" s="1">
        <f>DATE(2011,5,2) + TIME(16,37,15)</f>
        <v>40665.69253472222</v>
      </c>
      <c r="C667">
        <v>80</v>
      </c>
      <c r="D667">
        <v>76.613166809000006</v>
      </c>
      <c r="E667">
        <v>50</v>
      </c>
      <c r="F667">
        <v>49.661506653000004</v>
      </c>
      <c r="G667">
        <v>1389.4414062000001</v>
      </c>
      <c r="H667">
        <v>1374.8852539</v>
      </c>
      <c r="I667">
        <v>1291.4071045000001</v>
      </c>
      <c r="J667">
        <v>1274.0574951000001</v>
      </c>
      <c r="K667">
        <v>2200</v>
      </c>
      <c r="L667">
        <v>0</v>
      </c>
      <c r="M667">
        <v>0</v>
      </c>
      <c r="N667">
        <v>2200</v>
      </c>
    </row>
    <row r="668" spans="1:14" x14ac:dyDescent="0.25">
      <c r="A668">
        <v>366.78453300000001</v>
      </c>
      <c r="B668" s="1">
        <f>DATE(2011,5,2) + TIME(18,49,43)</f>
        <v>40665.784525462965</v>
      </c>
      <c r="C668">
        <v>80</v>
      </c>
      <c r="D668">
        <v>76.978630065999994</v>
      </c>
      <c r="E668">
        <v>50</v>
      </c>
      <c r="F668">
        <v>49.648719788000001</v>
      </c>
      <c r="G668">
        <v>1389.3029785000001</v>
      </c>
      <c r="H668">
        <v>1374.8055420000001</v>
      </c>
      <c r="I668">
        <v>1291.4053954999999</v>
      </c>
      <c r="J668">
        <v>1274.0546875</v>
      </c>
      <c r="K668">
        <v>2200</v>
      </c>
      <c r="L668">
        <v>0</v>
      </c>
      <c r="M668">
        <v>0</v>
      </c>
      <c r="N668">
        <v>2200</v>
      </c>
    </row>
    <row r="669" spans="1:14" x14ac:dyDescent="0.25">
      <c r="A669">
        <v>366.88367499999998</v>
      </c>
      <c r="B669" s="1">
        <f>DATE(2011,5,2) + TIME(21,12,29)</f>
        <v>40665.883668981478</v>
      </c>
      <c r="C669">
        <v>80</v>
      </c>
      <c r="D669">
        <v>77.326019286999994</v>
      </c>
      <c r="E669">
        <v>50</v>
      </c>
      <c r="F669">
        <v>49.635116576999998</v>
      </c>
      <c r="G669">
        <v>1389.1645507999999</v>
      </c>
      <c r="H669">
        <v>1374.7231445</v>
      </c>
      <c r="I669">
        <v>1291.4034423999999</v>
      </c>
      <c r="J669">
        <v>1274.0517577999999</v>
      </c>
      <c r="K669">
        <v>2200</v>
      </c>
      <c r="L669">
        <v>0</v>
      </c>
      <c r="M669">
        <v>0</v>
      </c>
      <c r="N669">
        <v>2200</v>
      </c>
    </row>
    <row r="670" spans="1:14" x14ac:dyDescent="0.25">
      <c r="A670">
        <v>366.991106</v>
      </c>
      <c r="B670" s="1">
        <f>DATE(2011,5,2) + TIME(23,47,11)</f>
        <v>40665.991099537037</v>
      </c>
      <c r="C670">
        <v>80</v>
      </c>
      <c r="D670">
        <v>77.654747009000005</v>
      </c>
      <c r="E670">
        <v>50</v>
      </c>
      <c r="F670">
        <v>49.620571136000002</v>
      </c>
      <c r="G670">
        <v>1389.0255127</v>
      </c>
      <c r="H670">
        <v>1374.6375731999999</v>
      </c>
      <c r="I670">
        <v>1291.4014893000001</v>
      </c>
      <c r="J670">
        <v>1274.0485839999999</v>
      </c>
      <c r="K670">
        <v>2200</v>
      </c>
      <c r="L670">
        <v>0</v>
      </c>
      <c r="M670">
        <v>0</v>
      </c>
      <c r="N670">
        <v>2200</v>
      </c>
    </row>
    <row r="671" spans="1:14" x14ac:dyDescent="0.25">
      <c r="A671">
        <v>367.09881000000001</v>
      </c>
      <c r="B671" s="1">
        <f>DATE(2011,5,3) + TIME(2,22,17)</f>
        <v>40666.098807870374</v>
      </c>
      <c r="C671">
        <v>80</v>
      </c>
      <c r="D671">
        <v>77.942436217999997</v>
      </c>
      <c r="E671">
        <v>50</v>
      </c>
      <c r="F671">
        <v>49.606067656999997</v>
      </c>
      <c r="G671">
        <v>1388.8939209</v>
      </c>
      <c r="H671">
        <v>1374.5524902</v>
      </c>
      <c r="I671">
        <v>1291.3991699000001</v>
      </c>
      <c r="J671">
        <v>1274.0451660000001</v>
      </c>
      <c r="K671">
        <v>2200</v>
      </c>
      <c r="L671">
        <v>0</v>
      </c>
      <c r="M671">
        <v>0</v>
      </c>
      <c r="N671">
        <v>2200</v>
      </c>
    </row>
    <row r="672" spans="1:14" x14ac:dyDescent="0.25">
      <c r="A672">
        <v>367.20736699999998</v>
      </c>
      <c r="B672" s="1">
        <f>DATE(2011,5,3) + TIME(4,58,36)</f>
        <v>40666.207361111112</v>
      </c>
      <c r="C672">
        <v>80</v>
      </c>
      <c r="D672">
        <v>78.195274353000002</v>
      </c>
      <c r="E672">
        <v>50</v>
      </c>
      <c r="F672">
        <v>49.591526031000001</v>
      </c>
      <c r="G672">
        <v>1388.7695312000001</v>
      </c>
      <c r="H672">
        <v>1374.4696045000001</v>
      </c>
      <c r="I672">
        <v>1291.3968506000001</v>
      </c>
      <c r="J672">
        <v>1274.0417480000001</v>
      </c>
      <c r="K672">
        <v>2200</v>
      </c>
      <c r="L672">
        <v>0</v>
      </c>
      <c r="M672">
        <v>0</v>
      </c>
      <c r="N672">
        <v>2200</v>
      </c>
    </row>
    <row r="673" spans="1:14" x14ac:dyDescent="0.25">
      <c r="A673">
        <v>367.31701700000002</v>
      </c>
      <c r="B673" s="1">
        <f>DATE(2011,5,3) + TIME(7,36,30)</f>
        <v>40666.317013888889</v>
      </c>
      <c r="C673">
        <v>80</v>
      </c>
      <c r="D673">
        <v>78.417663574000002</v>
      </c>
      <c r="E673">
        <v>50</v>
      </c>
      <c r="F673">
        <v>49.576919556</v>
      </c>
      <c r="G673">
        <v>1388.6511230000001</v>
      </c>
      <c r="H673">
        <v>1374.3886719</v>
      </c>
      <c r="I673">
        <v>1291.3944091999999</v>
      </c>
      <c r="J673">
        <v>1274.0383300999999</v>
      </c>
      <c r="K673">
        <v>2200</v>
      </c>
      <c r="L673">
        <v>0</v>
      </c>
      <c r="M673">
        <v>0</v>
      </c>
      <c r="N673">
        <v>2200</v>
      </c>
    </row>
    <row r="674" spans="1:14" x14ac:dyDescent="0.25">
      <c r="A674">
        <v>367.42800499999998</v>
      </c>
      <c r="B674" s="1">
        <f>DATE(2011,5,3) + TIME(10,16,19)</f>
        <v>40666.427997685183</v>
      </c>
      <c r="C674">
        <v>80</v>
      </c>
      <c r="D674">
        <v>78.613365173000005</v>
      </c>
      <c r="E674">
        <v>50</v>
      </c>
      <c r="F674">
        <v>49.562221526999998</v>
      </c>
      <c r="G674">
        <v>1388.5380858999999</v>
      </c>
      <c r="H674">
        <v>1374.3094481999999</v>
      </c>
      <c r="I674">
        <v>1291.3919678</v>
      </c>
      <c r="J674">
        <v>1274.0347899999999</v>
      </c>
      <c r="K674">
        <v>2200</v>
      </c>
      <c r="L674">
        <v>0</v>
      </c>
      <c r="M674">
        <v>0</v>
      </c>
      <c r="N674">
        <v>2200</v>
      </c>
    </row>
    <row r="675" spans="1:14" x14ac:dyDescent="0.25">
      <c r="A675">
        <v>367.54037699999998</v>
      </c>
      <c r="B675" s="1">
        <f>DATE(2011,5,3) + TIME(12,58,8)</f>
        <v>40666.540370370371</v>
      </c>
      <c r="C675">
        <v>80</v>
      </c>
      <c r="D675">
        <v>78.785346985000004</v>
      </c>
      <c r="E675">
        <v>50</v>
      </c>
      <c r="F675">
        <v>49.547420502000001</v>
      </c>
      <c r="G675">
        <v>1388.4296875</v>
      </c>
      <c r="H675">
        <v>1374.2316894999999</v>
      </c>
      <c r="I675">
        <v>1291.3895264</v>
      </c>
      <c r="J675">
        <v>1274.03125</v>
      </c>
      <c r="K675">
        <v>2200</v>
      </c>
      <c r="L675">
        <v>0</v>
      </c>
      <c r="M675">
        <v>0</v>
      </c>
      <c r="N675">
        <v>2200</v>
      </c>
    </row>
    <row r="676" spans="1:14" x14ac:dyDescent="0.25">
      <c r="A676">
        <v>367.65414299999998</v>
      </c>
      <c r="B676" s="1">
        <f>DATE(2011,5,3) + TIME(15,41,57)</f>
        <v>40666.654131944444</v>
      </c>
      <c r="C676">
        <v>80</v>
      </c>
      <c r="D676">
        <v>78.936225891000007</v>
      </c>
      <c r="E676">
        <v>50</v>
      </c>
      <c r="F676">
        <v>49.532516479000002</v>
      </c>
      <c r="G676">
        <v>1388.3254394999999</v>
      </c>
      <c r="H676">
        <v>1374.1552733999999</v>
      </c>
      <c r="I676">
        <v>1291.3870850000001</v>
      </c>
      <c r="J676">
        <v>1274.0277100000001</v>
      </c>
      <c r="K676">
        <v>2200</v>
      </c>
      <c r="L676">
        <v>0</v>
      </c>
      <c r="M676">
        <v>0</v>
      </c>
      <c r="N676">
        <v>2200</v>
      </c>
    </row>
    <row r="677" spans="1:14" x14ac:dyDescent="0.25">
      <c r="A677">
        <v>367.76952999999997</v>
      </c>
      <c r="B677" s="1">
        <f>DATE(2011,5,3) + TIME(18,28,7)</f>
        <v>40666.769525462965</v>
      </c>
      <c r="C677">
        <v>80</v>
      </c>
      <c r="D677">
        <v>79.068595885999997</v>
      </c>
      <c r="E677">
        <v>50</v>
      </c>
      <c r="F677">
        <v>49.517486572000003</v>
      </c>
      <c r="G677">
        <v>1388.2249756000001</v>
      </c>
      <c r="H677">
        <v>1374.0802002</v>
      </c>
      <c r="I677">
        <v>1291.3845214999999</v>
      </c>
      <c r="J677">
        <v>1274.0241699000001</v>
      </c>
      <c r="K677">
        <v>2200</v>
      </c>
      <c r="L677">
        <v>0</v>
      </c>
      <c r="M677">
        <v>0</v>
      </c>
      <c r="N677">
        <v>2200</v>
      </c>
    </row>
    <row r="678" spans="1:14" x14ac:dyDescent="0.25">
      <c r="A678">
        <v>367.88675899999998</v>
      </c>
      <c r="B678" s="1">
        <f>DATE(2011,5,3) + TIME(21,16,55)</f>
        <v>40666.886747685188</v>
      </c>
      <c r="C678">
        <v>80</v>
      </c>
      <c r="D678">
        <v>79.184677124000004</v>
      </c>
      <c r="E678">
        <v>50</v>
      </c>
      <c r="F678">
        <v>49.502296448000003</v>
      </c>
      <c r="G678">
        <v>1388.1278076000001</v>
      </c>
      <c r="H678">
        <v>1374.0063477000001</v>
      </c>
      <c r="I678">
        <v>1291.3819579999999</v>
      </c>
      <c r="J678">
        <v>1274.0205077999999</v>
      </c>
      <c r="K678">
        <v>2200</v>
      </c>
      <c r="L678">
        <v>0</v>
      </c>
      <c r="M678">
        <v>0</v>
      </c>
      <c r="N678">
        <v>2200</v>
      </c>
    </row>
    <row r="679" spans="1:14" x14ac:dyDescent="0.25">
      <c r="A679">
        <v>368.006057</v>
      </c>
      <c r="B679" s="1">
        <f>DATE(2011,5,4) + TIME(0,8,43)</f>
        <v>40667.006053240744</v>
      </c>
      <c r="C679">
        <v>80</v>
      </c>
      <c r="D679">
        <v>79.286415099999999</v>
      </c>
      <c r="E679">
        <v>50</v>
      </c>
      <c r="F679">
        <v>49.486923218000001</v>
      </c>
      <c r="G679">
        <v>1388.0334473</v>
      </c>
      <c r="H679">
        <v>1373.9333495999999</v>
      </c>
      <c r="I679">
        <v>1291.3792725000001</v>
      </c>
      <c r="J679">
        <v>1274.0167236</v>
      </c>
      <c r="K679">
        <v>2200</v>
      </c>
      <c r="L679">
        <v>0</v>
      </c>
      <c r="M679">
        <v>0</v>
      </c>
      <c r="N679">
        <v>2200</v>
      </c>
    </row>
    <row r="680" spans="1:14" x14ac:dyDescent="0.25">
      <c r="A680">
        <v>368.12765999999999</v>
      </c>
      <c r="B680" s="1">
        <f>DATE(2011,5,4) + TIME(3,3,49)</f>
        <v>40667.127650462964</v>
      </c>
      <c r="C680">
        <v>80</v>
      </c>
      <c r="D680">
        <v>79.375503539999997</v>
      </c>
      <c r="E680">
        <v>50</v>
      </c>
      <c r="F680">
        <v>49.471343994000001</v>
      </c>
      <c r="G680">
        <v>1387.9415283000001</v>
      </c>
      <c r="H680">
        <v>1373.8612060999999</v>
      </c>
      <c r="I680">
        <v>1291.3765868999999</v>
      </c>
      <c r="J680">
        <v>1274.0129394999999</v>
      </c>
      <c r="K680">
        <v>2200</v>
      </c>
      <c r="L680">
        <v>0</v>
      </c>
      <c r="M680">
        <v>0</v>
      </c>
      <c r="N680">
        <v>2200</v>
      </c>
    </row>
    <row r="681" spans="1:14" x14ac:dyDescent="0.25">
      <c r="A681">
        <v>368.251847</v>
      </c>
      <c r="B681" s="1">
        <f>DATE(2011,5,4) + TIME(6,2,39)</f>
        <v>40667.251840277779</v>
      </c>
      <c r="C681">
        <v>80</v>
      </c>
      <c r="D681">
        <v>79.453445435000006</v>
      </c>
      <c r="E681">
        <v>50</v>
      </c>
      <c r="F681">
        <v>49.455520630000002</v>
      </c>
      <c r="G681">
        <v>1387.8516846</v>
      </c>
      <c r="H681">
        <v>1373.7897949000001</v>
      </c>
      <c r="I681">
        <v>1291.3739014</v>
      </c>
      <c r="J681">
        <v>1274.0090332</v>
      </c>
      <c r="K681">
        <v>2200</v>
      </c>
      <c r="L681">
        <v>0</v>
      </c>
      <c r="M681">
        <v>0</v>
      </c>
      <c r="N681">
        <v>2200</v>
      </c>
    </row>
    <row r="682" spans="1:14" x14ac:dyDescent="0.25">
      <c r="A682">
        <v>368.37887499999999</v>
      </c>
      <c r="B682" s="1">
        <f>DATE(2011,5,4) + TIME(9,5,34)</f>
        <v>40667.378865740742</v>
      </c>
      <c r="C682">
        <v>80</v>
      </c>
      <c r="D682">
        <v>79.521537781000006</v>
      </c>
      <c r="E682">
        <v>50</v>
      </c>
      <c r="F682">
        <v>49.439430237000003</v>
      </c>
      <c r="G682">
        <v>1387.7636719</v>
      </c>
      <c r="H682">
        <v>1373.7189940999999</v>
      </c>
      <c r="I682">
        <v>1291.3710937999999</v>
      </c>
      <c r="J682">
        <v>1274.0051269999999</v>
      </c>
      <c r="K682">
        <v>2200</v>
      </c>
      <c r="L682">
        <v>0</v>
      </c>
      <c r="M682">
        <v>0</v>
      </c>
      <c r="N682">
        <v>2200</v>
      </c>
    </row>
    <row r="683" spans="1:14" x14ac:dyDescent="0.25">
      <c r="A683">
        <v>368.50900200000001</v>
      </c>
      <c r="B683" s="1">
        <f>DATE(2011,5,4) + TIME(12,12,57)</f>
        <v>40667.508993055555</v>
      </c>
      <c r="C683">
        <v>80</v>
      </c>
      <c r="D683">
        <v>79.580917357999994</v>
      </c>
      <c r="E683">
        <v>50</v>
      </c>
      <c r="F683">
        <v>49.423042297000002</v>
      </c>
      <c r="G683">
        <v>1387.677124</v>
      </c>
      <c r="H683">
        <v>1373.6485596</v>
      </c>
      <c r="I683">
        <v>1291.3681641000001</v>
      </c>
      <c r="J683">
        <v>1274.0009766000001</v>
      </c>
      <c r="K683">
        <v>2200</v>
      </c>
      <c r="L683">
        <v>0</v>
      </c>
      <c r="M683">
        <v>0</v>
      </c>
      <c r="N683">
        <v>2200</v>
      </c>
    </row>
    <row r="684" spans="1:14" x14ac:dyDescent="0.25">
      <c r="A684">
        <v>368.64253200000002</v>
      </c>
      <c r="B684" s="1">
        <f>DATE(2011,5,4) + TIME(15,25,14)</f>
        <v>40667.642523148148</v>
      </c>
      <c r="C684">
        <v>80</v>
      </c>
      <c r="D684">
        <v>79.632598877000007</v>
      </c>
      <c r="E684">
        <v>50</v>
      </c>
      <c r="F684">
        <v>49.406322479000004</v>
      </c>
      <c r="G684">
        <v>1387.5919189000001</v>
      </c>
      <c r="H684">
        <v>1373.5786132999999</v>
      </c>
      <c r="I684">
        <v>1291.3651123</v>
      </c>
      <c r="J684">
        <v>1273.9968262</v>
      </c>
      <c r="K684">
        <v>2200</v>
      </c>
      <c r="L684">
        <v>0</v>
      </c>
      <c r="M684">
        <v>0</v>
      </c>
      <c r="N684">
        <v>2200</v>
      </c>
    </row>
    <row r="685" spans="1:14" x14ac:dyDescent="0.25">
      <c r="A685">
        <v>368.77979399999998</v>
      </c>
      <c r="B685" s="1">
        <f>DATE(2011,5,4) + TIME(18,42,54)</f>
        <v>40667.779791666668</v>
      </c>
      <c r="C685">
        <v>80</v>
      </c>
      <c r="D685">
        <v>79.677490234000004</v>
      </c>
      <c r="E685">
        <v>50</v>
      </c>
      <c r="F685">
        <v>49.389236449999999</v>
      </c>
      <c r="G685">
        <v>1387.5078125</v>
      </c>
      <c r="H685">
        <v>1373.5087891000001</v>
      </c>
      <c r="I685">
        <v>1291.3620605000001</v>
      </c>
      <c r="J685">
        <v>1273.9925536999999</v>
      </c>
      <c r="K685">
        <v>2200</v>
      </c>
      <c r="L685">
        <v>0</v>
      </c>
      <c r="M685">
        <v>0</v>
      </c>
      <c r="N685">
        <v>2200</v>
      </c>
    </row>
    <row r="686" spans="1:14" x14ac:dyDescent="0.25">
      <c r="A686">
        <v>368.92114600000002</v>
      </c>
      <c r="B686" s="1">
        <f>DATE(2011,5,4) + TIME(22,6,26)</f>
        <v>40667.921134259261</v>
      </c>
      <c r="C686">
        <v>80</v>
      </c>
      <c r="D686">
        <v>79.716392517000003</v>
      </c>
      <c r="E686">
        <v>50</v>
      </c>
      <c r="F686">
        <v>49.371746063000003</v>
      </c>
      <c r="G686">
        <v>1387.4244385</v>
      </c>
      <c r="H686">
        <v>1373.4390868999999</v>
      </c>
      <c r="I686">
        <v>1291.3588867000001</v>
      </c>
      <c r="J686">
        <v>1273.9881591999999</v>
      </c>
      <c r="K686">
        <v>2200</v>
      </c>
      <c r="L686">
        <v>0</v>
      </c>
      <c r="M686">
        <v>0</v>
      </c>
      <c r="N686">
        <v>2200</v>
      </c>
    </row>
    <row r="687" spans="1:14" x14ac:dyDescent="0.25">
      <c r="A687">
        <v>369.06698399999999</v>
      </c>
      <c r="B687" s="1">
        <f>DATE(2011,5,5) + TIME(1,36,27)</f>
        <v>40668.066979166666</v>
      </c>
      <c r="C687">
        <v>80</v>
      </c>
      <c r="D687">
        <v>79.750022888000004</v>
      </c>
      <c r="E687">
        <v>50</v>
      </c>
      <c r="F687">
        <v>49.353813170999999</v>
      </c>
      <c r="G687">
        <v>1387.3416748</v>
      </c>
      <c r="H687">
        <v>1373.3695068</v>
      </c>
      <c r="I687">
        <v>1291.3555908000001</v>
      </c>
      <c r="J687">
        <v>1273.9836425999999</v>
      </c>
      <c r="K687">
        <v>2200</v>
      </c>
      <c r="L687">
        <v>0</v>
      </c>
      <c r="M687">
        <v>0</v>
      </c>
      <c r="N687">
        <v>2200</v>
      </c>
    </row>
    <row r="688" spans="1:14" x14ac:dyDescent="0.25">
      <c r="A688">
        <v>369.21774799999997</v>
      </c>
      <c r="B688" s="1">
        <f>DATE(2011,5,5) + TIME(5,13,33)</f>
        <v>40668.217743055553</v>
      </c>
      <c r="C688">
        <v>80</v>
      </c>
      <c r="D688">
        <v>79.778999329000001</v>
      </c>
      <c r="E688">
        <v>50</v>
      </c>
      <c r="F688">
        <v>49.335388184000003</v>
      </c>
      <c r="G688">
        <v>1387.2593993999999</v>
      </c>
      <c r="H688">
        <v>1373.2996826000001</v>
      </c>
      <c r="I688">
        <v>1291.3522949000001</v>
      </c>
      <c r="J688">
        <v>1273.9788818</v>
      </c>
      <c r="K688">
        <v>2200</v>
      </c>
      <c r="L688">
        <v>0</v>
      </c>
      <c r="M688">
        <v>0</v>
      </c>
      <c r="N688">
        <v>2200</v>
      </c>
    </row>
    <row r="689" spans="1:14" x14ac:dyDescent="0.25">
      <c r="A689">
        <v>369.37392699999998</v>
      </c>
      <c r="B689" s="1">
        <f>DATE(2011,5,5) + TIME(8,58,27)</f>
        <v>40668.373923611114</v>
      </c>
      <c r="C689">
        <v>80</v>
      </c>
      <c r="D689">
        <v>79.803894043</v>
      </c>
      <c r="E689">
        <v>50</v>
      </c>
      <c r="F689">
        <v>49.316425322999997</v>
      </c>
      <c r="G689">
        <v>1387.177124</v>
      </c>
      <c r="H689">
        <v>1373.2297363</v>
      </c>
      <c r="I689">
        <v>1291.3487548999999</v>
      </c>
      <c r="J689">
        <v>1273.973999</v>
      </c>
      <c r="K689">
        <v>2200</v>
      </c>
      <c r="L689">
        <v>0</v>
      </c>
      <c r="M689">
        <v>0</v>
      </c>
      <c r="N689">
        <v>2200</v>
      </c>
    </row>
    <row r="690" spans="1:14" x14ac:dyDescent="0.25">
      <c r="A690">
        <v>369.536069</v>
      </c>
      <c r="B690" s="1">
        <f>DATE(2011,5,5) + TIME(12,51,56)</f>
        <v>40668.536064814813</v>
      </c>
      <c r="C690">
        <v>80</v>
      </c>
      <c r="D690">
        <v>79.825202942000004</v>
      </c>
      <c r="E690">
        <v>50</v>
      </c>
      <c r="F690">
        <v>49.296863555999998</v>
      </c>
      <c r="G690">
        <v>1387.0949707</v>
      </c>
      <c r="H690">
        <v>1373.1593018000001</v>
      </c>
      <c r="I690">
        <v>1291.3450928</v>
      </c>
      <c r="J690">
        <v>1273.9689940999999</v>
      </c>
      <c r="K690">
        <v>2200</v>
      </c>
      <c r="L690">
        <v>0</v>
      </c>
      <c r="M690">
        <v>0</v>
      </c>
      <c r="N690">
        <v>2200</v>
      </c>
    </row>
    <row r="691" spans="1:14" x14ac:dyDescent="0.25">
      <c r="A691">
        <v>369.70482900000002</v>
      </c>
      <c r="B691" s="1">
        <f>DATE(2011,5,5) + TIME(16,54,57)</f>
        <v>40668.704826388886</v>
      </c>
      <c r="C691">
        <v>80</v>
      </c>
      <c r="D691">
        <v>79.843383789000001</v>
      </c>
      <c r="E691">
        <v>50</v>
      </c>
      <c r="F691">
        <v>49.276641845999997</v>
      </c>
      <c r="G691">
        <v>1387.0124512</v>
      </c>
      <c r="H691">
        <v>1373.088501</v>
      </c>
      <c r="I691">
        <v>1291.3413086</v>
      </c>
      <c r="J691">
        <v>1273.9637451000001</v>
      </c>
      <c r="K691">
        <v>2200</v>
      </c>
      <c r="L691">
        <v>0</v>
      </c>
      <c r="M691">
        <v>0</v>
      </c>
      <c r="N691">
        <v>2200</v>
      </c>
    </row>
    <row r="692" spans="1:14" x14ac:dyDescent="0.25">
      <c r="A692">
        <v>369.88097099999999</v>
      </c>
      <c r="B692" s="1">
        <f>DATE(2011,5,5) + TIME(21,8,35)</f>
        <v>40668.880960648145</v>
      </c>
      <c r="C692">
        <v>80</v>
      </c>
      <c r="D692">
        <v>79.858840942</v>
      </c>
      <c r="E692">
        <v>50</v>
      </c>
      <c r="F692">
        <v>49.255680083999998</v>
      </c>
      <c r="G692">
        <v>1386.9295654</v>
      </c>
      <c r="H692">
        <v>1373.0169678</v>
      </c>
      <c r="I692">
        <v>1291.3372803</v>
      </c>
      <c r="J692">
        <v>1273.9582519999999</v>
      </c>
      <c r="K692">
        <v>2200</v>
      </c>
      <c r="L692">
        <v>0</v>
      </c>
      <c r="M692">
        <v>0</v>
      </c>
      <c r="N692">
        <v>2200</v>
      </c>
    </row>
    <row r="693" spans="1:14" x14ac:dyDescent="0.25">
      <c r="A693">
        <v>370.06522899999999</v>
      </c>
      <c r="B693" s="1">
        <f>DATE(2011,5,6) + TIME(1,33,55)</f>
        <v>40669.06521990741</v>
      </c>
      <c r="C693">
        <v>80</v>
      </c>
      <c r="D693">
        <v>79.871902465999995</v>
      </c>
      <c r="E693">
        <v>50</v>
      </c>
      <c r="F693">
        <v>49.233909607000001</v>
      </c>
      <c r="G693">
        <v>1386.8458252</v>
      </c>
      <c r="H693">
        <v>1372.9445800999999</v>
      </c>
      <c r="I693">
        <v>1291.3331298999999</v>
      </c>
      <c r="J693">
        <v>1273.9526367000001</v>
      </c>
      <c r="K693">
        <v>2200</v>
      </c>
      <c r="L693">
        <v>0</v>
      </c>
      <c r="M693">
        <v>0</v>
      </c>
      <c r="N693">
        <v>2200</v>
      </c>
    </row>
    <row r="694" spans="1:14" x14ac:dyDescent="0.25">
      <c r="A694">
        <v>370.25650200000001</v>
      </c>
      <c r="B694" s="1">
        <f>DATE(2011,5,6) + TIME(6,9,21)</f>
        <v>40669.256493055553</v>
      </c>
      <c r="C694">
        <v>80</v>
      </c>
      <c r="D694">
        <v>79.882804871000005</v>
      </c>
      <c r="E694">
        <v>50</v>
      </c>
      <c r="F694">
        <v>49.211437224999997</v>
      </c>
      <c r="G694">
        <v>1386.7612305</v>
      </c>
      <c r="H694">
        <v>1372.8713379000001</v>
      </c>
      <c r="I694">
        <v>1291.3287353999999</v>
      </c>
      <c r="J694">
        <v>1273.9466553</v>
      </c>
      <c r="K694">
        <v>2200</v>
      </c>
      <c r="L694">
        <v>0</v>
      </c>
      <c r="M694">
        <v>0</v>
      </c>
      <c r="N694">
        <v>2200</v>
      </c>
    </row>
    <row r="695" spans="1:14" x14ac:dyDescent="0.25">
      <c r="A695">
        <v>370.45488499999999</v>
      </c>
      <c r="B695" s="1">
        <f>DATE(2011,5,6) + TIME(10,55,2)</f>
        <v>40669.454884259256</v>
      </c>
      <c r="C695">
        <v>80</v>
      </c>
      <c r="D695">
        <v>79.891845703000001</v>
      </c>
      <c r="E695">
        <v>50</v>
      </c>
      <c r="F695">
        <v>49.188251495000003</v>
      </c>
      <c r="G695">
        <v>1386.6762695</v>
      </c>
      <c r="H695">
        <v>1372.7976074000001</v>
      </c>
      <c r="I695">
        <v>1291.3242187999999</v>
      </c>
      <c r="J695">
        <v>1273.9404297000001</v>
      </c>
      <c r="K695">
        <v>2200</v>
      </c>
      <c r="L695">
        <v>0</v>
      </c>
      <c r="M695">
        <v>0</v>
      </c>
      <c r="N695">
        <v>2200</v>
      </c>
    </row>
    <row r="696" spans="1:14" x14ac:dyDescent="0.25">
      <c r="A696">
        <v>370.66110200000003</v>
      </c>
      <c r="B696" s="1">
        <f>DATE(2011,5,6) + TIME(15,51,59)</f>
        <v>40669.661099537036</v>
      </c>
      <c r="C696">
        <v>80</v>
      </c>
      <c r="D696">
        <v>79.899322510000005</v>
      </c>
      <c r="E696">
        <v>50</v>
      </c>
      <c r="F696">
        <v>49.164295197000001</v>
      </c>
      <c r="G696">
        <v>1386.5910644999999</v>
      </c>
      <c r="H696">
        <v>1372.7235106999999</v>
      </c>
      <c r="I696">
        <v>1291.3194579999999</v>
      </c>
      <c r="J696">
        <v>1273.9339600000001</v>
      </c>
      <c r="K696">
        <v>2200</v>
      </c>
      <c r="L696">
        <v>0</v>
      </c>
      <c r="M696">
        <v>0</v>
      </c>
      <c r="N696">
        <v>2200</v>
      </c>
    </row>
    <row r="697" spans="1:14" x14ac:dyDescent="0.25">
      <c r="A697">
        <v>370.87600200000003</v>
      </c>
      <c r="B697" s="1">
        <f>DATE(2011,5,6) + TIME(21,1,26)</f>
        <v>40669.87599537037</v>
      </c>
      <c r="C697">
        <v>80</v>
      </c>
      <c r="D697">
        <v>79.905487061000002</v>
      </c>
      <c r="E697">
        <v>50</v>
      </c>
      <c r="F697">
        <v>49.139476776000002</v>
      </c>
      <c r="G697">
        <v>1386.5053711</v>
      </c>
      <c r="H697">
        <v>1372.6489257999999</v>
      </c>
      <c r="I697">
        <v>1291.3144531</v>
      </c>
      <c r="J697">
        <v>1273.9272461</v>
      </c>
      <c r="K697">
        <v>2200</v>
      </c>
      <c r="L697">
        <v>0</v>
      </c>
      <c r="M697">
        <v>0</v>
      </c>
      <c r="N697">
        <v>2200</v>
      </c>
    </row>
    <row r="698" spans="1:14" x14ac:dyDescent="0.25">
      <c r="A698">
        <v>371.09524099999999</v>
      </c>
      <c r="B698" s="1">
        <f>DATE(2011,5,7) + TIME(2,17,8)</f>
        <v>40670.095231481479</v>
      </c>
      <c r="C698">
        <v>80</v>
      </c>
      <c r="D698">
        <v>79.910446167000003</v>
      </c>
      <c r="E698">
        <v>50</v>
      </c>
      <c r="F698">
        <v>49.114212035999998</v>
      </c>
      <c r="G698">
        <v>1386.4189452999999</v>
      </c>
      <c r="H698">
        <v>1372.5736084</v>
      </c>
      <c r="I698">
        <v>1291.3093262</v>
      </c>
      <c r="J698">
        <v>1273.9202881000001</v>
      </c>
      <c r="K698">
        <v>2200</v>
      </c>
      <c r="L698">
        <v>0</v>
      </c>
      <c r="M698">
        <v>0</v>
      </c>
      <c r="N698">
        <v>2200</v>
      </c>
    </row>
    <row r="699" spans="1:14" x14ac:dyDescent="0.25">
      <c r="A699">
        <v>371.315856</v>
      </c>
      <c r="B699" s="1">
        <f>DATE(2011,5,7) + TIME(7,34,49)</f>
        <v>40670.315844907411</v>
      </c>
      <c r="C699">
        <v>80</v>
      </c>
      <c r="D699">
        <v>79.914398192999997</v>
      </c>
      <c r="E699">
        <v>50</v>
      </c>
      <c r="F699">
        <v>49.088787078999999</v>
      </c>
      <c r="G699">
        <v>1386.3336182</v>
      </c>
      <c r="H699">
        <v>1372.4992675999999</v>
      </c>
      <c r="I699">
        <v>1291.3039550999999</v>
      </c>
      <c r="J699">
        <v>1273.9132079999999</v>
      </c>
      <c r="K699">
        <v>2200</v>
      </c>
      <c r="L699">
        <v>0</v>
      </c>
      <c r="M699">
        <v>0</v>
      </c>
      <c r="N699">
        <v>2200</v>
      </c>
    </row>
    <row r="700" spans="1:14" x14ac:dyDescent="0.25">
      <c r="A700">
        <v>371.53841299999999</v>
      </c>
      <c r="B700" s="1">
        <f>DATE(2011,5,7) + TIME(12,55,18)</f>
        <v>40670.538402777776</v>
      </c>
      <c r="C700">
        <v>80</v>
      </c>
      <c r="D700">
        <v>79.917564392000003</v>
      </c>
      <c r="E700">
        <v>50</v>
      </c>
      <c r="F700">
        <v>49.063167571999998</v>
      </c>
      <c r="G700">
        <v>1386.2503661999999</v>
      </c>
      <c r="H700">
        <v>1372.4267577999999</v>
      </c>
      <c r="I700">
        <v>1291.2984618999999</v>
      </c>
      <c r="J700">
        <v>1273.9060059000001</v>
      </c>
      <c r="K700">
        <v>2200</v>
      </c>
      <c r="L700">
        <v>0</v>
      </c>
      <c r="M700">
        <v>0</v>
      </c>
      <c r="N700">
        <v>2200</v>
      </c>
    </row>
    <row r="701" spans="1:14" x14ac:dyDescent="0.25">
      <c r="A701">
        <v>371.76351399999999</v>
      </c>
      <c r="B701" s="1">
        <f>DATE(2011,5,7) + TIME(18,19,27)</f>
        <v>40670.763506944444</v>
      </c>
      <c r="C701">
        <v>80</v>
      </c>
      <c r="D701">
        <v>79.920104980000005</v>
      </c>
      <c r="E701">
        <v>50</v>
      </c>
      <c r="F701">
        <v>49.037319183000001</v>
      </c>
      <c r="G701">
        <v>1386.1688231999999</v>
      </c>
      <c r="H701">
        <v>1372.3558350000001</v>
      </c>
      <c r="I701">
        <v>1291.2930908000001</v>
      </c>
      <c r="J701">
        <v>1273.8988036999999</v>
      </c>
      <c r="K701">
        <v>2200</v>
      </c>
      <c r="L701">
        <v>0</v>
      </c>
      <c r="M701">
        <v>0</v>
      </c>
      <c r="N701">
        <v>2200</v>
      </c>
    </row>
    <row r="702" spans="1:14" x14ac:dyDescent="0.25">
      <c r="A702">
        <v>371.99159900000001</v>
      </c>
      <c r="B702" s="1">
        <f>DATE(2011,5,7) + TIME(23,47,54)</f>
        <v>40670.991597222222</v>
      </c>
      <c r="C702">
        <v>80</v>
      </c>
      <c r="D702">
        <v>79.922157287999994</v>
      </c>
      <c r="E702">
        <v>50</v>
      </c>
      <c r="F702">
        <v>49.011211394999997</v>
      </c>
      <c r="G702">
        <v>1386.0887451000001</v>
      </c>
      <c r="H702">
        <v>1372.2862548999999</v>
      </c>
      <c r="I702">
        <v>1291.2875977000001</v>
      </c>
      <c r="J702">
        <v>1273.8914795000001</v>
      </c>
      <c r="K702">
        <v>2200</v>
      </c>
      <c r="L702">
        <v>0</v>
      </c>
      <c r="M702">
        <v>0</v>
      </c>
      <c r="N702">
        <v>2200</v>
      </c>
    </row>
    <row r="703" spans="1:14" x14ac:dyDescent="0.25">
      <c r="A703">
        <v>372.22221000000002</v>
      </c>
      <c r="B703" s="1">
        <f>DATE(2011,5,8) + TIME(5,19,58)</f>
        <v>40671.222199074073</v>
      </c>
      <c r="C703">
        <v>80</v>
      </c>
      <c r="D703">
        <v>79.923812866000006</v>
      </c>
      <c r="E703">
        <v>50</v>
      </c>
      <c r="F703">
        <v>48.984893798999998</v>
      </c>
      <c r="G703">
        <v>1386.0098877</v>
      </c>
      <c r="H703">
        <v>1372.2176514</v>
      </c>
      <c r="I703">
        <v>1291.2819824000001</v>
      </c>
      <c r="J703">
        <v>1273.8840332</v>
      </c>
      <c r="K703">
        <v>2200</v>
      </c>
      <c r="L703">
        <v>0</v>
      </c>
      <c r="M703">
        <v>0</v>
      </c>
      <c r="N703">
        <v>2200</v>
      </c>
    </row>
    <row r="704" spans="1:14" x14ac:dyDescent="0.25">
      <c r="A704">
        <v>372.45551799999998</v>
      </c>
      <c r="B704" s="1">
        <f>DATE(2011,5,8) + TIME(10,55,56)</f>
        <v>40671.455509259256</v>
      </c>
      <c r="C704">
        <v>80</v>
      </c>
      <c r="D704">
        <v>79.92515564</v>
      </c>
      <c r="E704">
        <v>50</v>
      </c>
      <c r="F704">
        <v>48.958362579000003</v>
      </c>
      <c r="G704">
        <v>1385.932251</v>
      </c>
      <c r="H704">
        <v>1372.1502685999999</v>
      </c>
      <c r="I704">
        <v>1291.2762451000001</v>
      </c>
      <c r="J704">
        <v>1273.8764647999999</v>
      </c>
      <c r="K704">
        <v>2200</v>
      </c>
      <c r="L704">
        <v>0</v>
      </c>
      <c r="M704">
        <v>0</v>
      </c>
      <c r="N704">
        <v>2200</v>
      </c>
    </row>
    <row r="705" spans="1:14" x14ac:dyDescent="0.25">
      <c r="A705">
        <v>372.69209599999999</v>
      </c>
      <c r="B705" s="1">
        <f>DATE(2011,5,8) + TIME(16,36,37)</f>
        <v>40671.692094907405</v>
      </c>
      <c r="C705">
        <v>80</v>
      </c>
      <c r="D705">
        <v>79.926246642999999</v>
      </c>
      <c r="E705">
        <v>50</v>
      </c>
      <c r="F705">
        <v>48.931568145999996</v>
      </c>
      <c r="G705">
        <v>1385.855957</v>
      </c>
      <c r="H705">
        <v>1372.0841064000001</v>
      </c>
      <c r="I705">
        <v>1291.2705077999999</v>
      </c>
      <c r="J705">
        <v>1273.8687743999999</v>
      </c>
      <c r="K705">
        <v>2200</v>
      </c>
      <c r="L705">
        <v>0</v>
      </c>
      <c r="M705">
        <v>0</v>
      </c>
      <c r="N705">
        <v>2200</v>
      </c>
    </row>
    <row r="706" spans="1:14" x14ac:dyDescent="0.25">
      <c r="A706">
        <v>372.93238700000001</v>
      </c>
      <c r="B706" s="1">
        <f>DATE(2011,5,8) + TIME(22,22,38)</f>
        <v>40671.932384259257</v>
      </c>
      <c r="C706">
        <v>80</v>
      </c>
      <c r="D706">
        <v>79.927139281999999</v>
      </c>
      <c r="E706">
        <v>50</v>
      </c>
      <c r="F706">
        <v>48.904476166000002</v>
      </c>
      <c r="G706">
        <v>1385.7805175999999</v>
      </c>
      <c r="H706">
        <v>1372.0186768000001</v>
      </c>
      <c r="I706">
        <v>1291.2646483999999</v>
      </c>
      <c r="J706">
        <v>1273.8610839999999</v>
      </c>
      <c r="K706">
        <v>2200</v>
      </c>
      <c r="L706">
        <v>0</v>
      </c>
      <c r="M706">
        <v>0</v>
      </c>
      <c r="N706">
        <v>2200</v>
      </c>
    </row>
    <row r="707" spans="1:14" x14ac:dyDescent="0.25">
      <c r="A707">
        <v>373.17689000000001</v>
      </c>
      <c r="B707" s="1">
        <f>DATE(2011,5,9) + TIME(4,14,43)</f>
        <v>40672.176886574074</v>
      </c>
      <c r="C707">
        <v>80</v>
      </c>
      <c r="D707">
        <v>79.927879333000007</v>
      </c>
      <c r="E707">
        <v>50</v>
      </c>
      <c r="F707">
        <v>48.877044677999997</v>
      </c>
      <c r="G707">
        <v>1385.7059326000001</v>
      </c>
      <c r="H707">
        <v>1371.9541016000001</v>
      </c>
      <c r="I707">
        <v>1291.2587891000001</v>
      </c>
      <c r="J707">
        <v>1273.8531493999999</v>
      </c>
      <c r="K707">
        <v>2200</v>
      </c>
      <c r="L707">
        <v>0</v>
      </c>
      <c r="M707">
        <v>0</v>
      </c>
      <c r="N707">
        <v>2200</v>
      </c>
    </row>
    <row r="708" spans="1:14" x14ac:dyDescent="0.25">
      <c r="A708">
        <v>373.42615499999999</v>
      </c>
      <c r="B708" s="1">
        <f>DATE(2011,5,9) + TIME(10,13,39)</f>
        <v>40672.426145833335</v>
      </c>
      <c r="C708">
        <v>80</v>
      </c>
      <c r="D708">
        <v>79.928489685000002</v>
      </c>
      <c r="E708">
        <v>50</v>
      </c>
      <c r="F708">
        <v>48.849227904999999</v>
      </c>
      <c r="G708">
        <v>1385.6319579999999</v>
      </c>
      <c r="H708">
        <v>1371.8901367000001</v>
      </c>
      <c r="I708">
        <v>1291.2526855000001</v>
      </c>
      <c r="J708">
        <v>1273.8450928</v>
      </c>
      <c r="K708">
        <v>2200</v>
      </c>
      <c r="L708">
        <v>0</v>
      </c>
      <c r="M708">
        <v>0</v>
      </c>
      <c r="N708">
        <v>2200</v>
      </c>
    </row>
    <row r="709" spans="1:14" x14ac:dyDescent="0.25">
      <c r="A709">
        <v>373.68076400000001</v>
      </c>
      <c r="B709" s="1">
        <f>DATE(2011,5,9) + TIME(16,20,18)</f>
        <v>40672.680763888886</v>
      </c>
      <c r="C709">
        <v>80</v>
      </c>
      <c r="D709">
        <v>79.928993224999999</v>
      </c>
      <c r="E709">
        <v>50</v>
      </c>
      <c r="F709">
        <v>48.820972443000002</v>
      </c>
      <c r="G709">
        <v>1385.5583495999999</v>
      </c>
      <c r="H709">
        <v>1371.8265381000001</v>
      </c>
      <c r="I709">
        <v>1291.246582</v>
      </c>
      <c r="J709">
        <v>1273.8369141000001</v>
      </c>
      <c r="K709">
        <v>2200</v>
      </c>
      <c r="L709">
        <v>0</v>
      </c>
      <c r="M709">
        <v>0</v>
      </c>
      <c r="N709">
        <v>2200</v>
      </c>
    </row>
    <row r="710" spans="1:14" x14ac:dyDescent="0.25">
      <c r="A710">
        <v>373.94134600000001</v>
      </c>
      <c r="B710" s="1">
        <f>DATE(2011,5,9) + TIME(22,35,32)</f>
        <v>40672.941342592596</v>
      </c>
      <c r="C710">
        <v>80</v>
      </c>
      <c r="D710">
        <v>79.929412842000005</v>
      </c>
      <c r="E710">
        <v>50</v>
      </c>
      <c r="F710">
        <v>48.792221069</v>
      </c>
      <c r="G710">
        <v>1385.4851074000001</v>
      </c>
      <c r="H710">
        <v>1371.7633057</v>
      </c>
      <c r="I710">
        <v>1291.2402344</v>
      </c>
      <c r="J710">
        <v>1273.8284911999999</v>
      </c>
      <c r="K710">
        <v>2200</v>
      </c>
      <c r="L710">
        <v>0</v>
      </c>
      <c r="M710">
        <v>0</v>
      </c>
      <c r="N710">
        <v>2200</v>
      </c>
    </row>
    <row r="711" spans="1:14" x14ac:dyDescent="0.25">
      <c r="A711">
        <v>374.20858299999998</v>
      </c>
      <c r="B711" s="1">
        <f>DATE(2011,5,10) + TIME(5,0,21)</f>
        <v>40673.20857638889</v>
      </c>
      <c r="C711">
        <v>80</v>
      </c>
      <c r="D711">
        <v>79.929771423000005</v>
      </c>
      <c r="E711">
        <v>50</v>
      </c>
      <c r="F711">
        <v>48.762916564999998</v>
      </c>
      <c r="G711">
        <v>1385.4119873</v>
      </c>
      <c r="H711">
        <v>1371.7001952999999</v>
      </c>
      <c r="I711">
        <v>1291.2337646000001</v>
      </c>
      <c r="J711">
        <v>1273.8199463000001</v>
      </c>
      <c r="K711">
        <v>2200</v>
      </c>
      <c r="L711">
        <v>0</v>
      </c>
      <c r="M711">
        <v>0</v>
      </c>
      <c r="N711">
        <v>2200</v>
      </c>
    </row>
    <row r="712" spans="1:14" x14ac:dyDescent="0.25">
      <c r="A712">
        <v>374.48322400000001</v>
      </c>
      <c r="B712" s="1">
        <f>DATE(2011,5,10) + TIME(11,35,50)</f>
        <v>40673.483217592591</v>
      </c>
      <c r="C712">
        <v>80</v>
      </c>
      <c r="D712">
        <v>79.930068969999994</v>
      </c>
      <c r="E712">
        <v>50</v>
      </c>
      <c r="F712">
        <v>48.732990264999998</v>
      </c>
      <c r="G712">
        <v>1385.3387451000001</v>
      </c>
      <c r="H712">
        <v>1371.637207</v>
      </c>
      <c r="I712">
        <v>1291.2271728999999</v>
      </c>
      <c r="J712">
        <v>1273.8111572</v>
      </c>
      <c r="K712">
        <v>2200</v>
      </c>
      <c r="L712">
        <v>0</v>
      </c>
      <c r="M712">
        <v>0</v>
      </c>
      <c r="N712">
        <v>2200</v>
      </c>
    </row>
    <row r="713" spans="1:14" x14ac:dyDescent="0.25">
      <c r="A713">
        <v>374.766098</v>
      </c>
      <c r="B713" s="1">
        <f>DATE(2011,5,10) + TIME(18,23,10)</f>
        <v>40673.766087962962</v>
      </c>
      <c r="C713">
        <v>80</v>
      </c>
      <c r="D713">
        <v>79.930320739999999</v>
      </c>
      <c r="E713">
        <v>50</v>
      </c>
      <c r="F713">
        <v>48.702365874999998</v>
      </c>
      <c r="G713">
        <v>1385.2653809000001</v>
      </c>
      <c r="H713">
        <v>1371.5739745999999</v>
      </c>
      <c r="I713">
        <v>1291.2203368999999</v>
      </c>
      <c r="J713">
        <v>1273.8020019999999</v>
      </c>
      <c r="K713">
        <v>2200</v>
      </c>
      <c r="L713">
        <v>0</v>
      </c>
      <c r="M713">
        <v>0</v>
      </c>
      <c r="N713">
        <v>2200</v>
      </c>
    </row>
    <row r="714" spans="1:14" x14ac:dyDescent="0.25">
      <c r="A714">
        <v>375.05812800000001</v>
      </c>
      <c r="B714" s="1">
        <f>DATE(2011,5,11) + TIME(1,23,42)</f>
        <v>40674.058125000003</v>
      </c>
      <c r="C714">
        <v>80</v>
      </c>
      <c r="D714">
        <v>79.930534363000007</v>
      </c>
      <c r="E714">
        <v>50</v>
      </c>
      <c r="F714">
        <v>48.670963286999999</v>
      </c>
      <c r="G714">
        <v>1385.1916504000001</v>
      </c>
      <c r="H714">
        <v>1371.5106201000001</v>
      </c>
      <c r="I714">
        <v>1291.2132568</v>
      </c>
      <c r="J714">
        <v>1273.7926024999999</v>
      </c>
      <c r="K714">
        <v>2200</v>
      </c>
      <c r="L714">
        <v>0</v>
      </c>
      <c r="M714">
        <v>0</v>
      </c>
      <c r="N714">
        <v>2200</v>
      </c>
    </row>
    <row r="715" spans="1:14" x14ac:dyDescent="0.25">
      <c r="A715">
        <v>375.36047400000001</v>
      </c>
      <c r="B715" s="1">
        <f>DATE(2011,5,11) + TIME(8,39,4)</f>
        <v>40674.360462962963</v>
      </c>
      <c r="C715">
        <v>80</v>
      </c>
      <c r="D715">
        <v>79.930717467999997</v>
      </c>
      <c r="E715">
        <v>50</v>
      </c>
      <c r="F715">
        <v>48.638679504000002</v>
      </c>
      <c r="G715">
        <v>1385.1173096</v>
      </c>
      <c r="H715">
        <v>1371.4467772999999</v>
      </c>
      <c r="I715">
        <v>1291.2059326000001</v>
      </c>
      <c r="J715">
        <v>1273.7829589999999</v>
      </c>
      <c r="K715">
        <v>2200</v>
      </c>
      <c r="L715">
        <v>0</v>
      </c>
      <c r="M715">
        <v>0</v>
      </c>
      <c r="N715">
        <v>2200</v>
      </c>
    </row>
    <row r="716" spans="1:14" x14ac:dyDescent="0.25">
      <c r="A716">
        <v>375.67430899999999</v>
      </c>
      <c r="B716" s="1">
        <f>DATE(2011,5,11) + TIME(16,11,0)</f>
        <v>40674.674305555556</v>
      </c>
      <c r="C716">
        <v>80</v>
      </c>
      <c r="D716">
        <v>79.930870056000003</v>
      </c>
      <c r="E716">
        <v>50</v>
      </c>
      <c r="F716">
        <v>48.605415344000001</v>
      </c>
      <c r="G716">
        <v>1385.0422363</v>
      </c>
      <c r="H716">
        <v>1371.3824463000001</v>
      </c>
      <c r="I716">
        <v>1291.1983643000001</v>
      </c>
      <c r="J716">
        <v>1273.7729492000001</v>
      </c>
      <c r="K716">
        <v>2200</v>
      </c>
      <c r="L716">
        <v>0</v>
      </c>
      <c r="M716">
        <v>0</v>
      </c>
      <c r="N716">
        <v>2200</v>
      </c>
    </row>
    <row r="717" spans="1:14" x14ac:dyDescent="0.25">
      <c r="A717">
        <v>375.99930899999998</v>
      </c>
      <c r="B717" s="1">
        <f>DATE(2011,5,11) + TIME(23,59,0)</f>
        <v>40674.999305555553</v>
      </c>
      <c r="C717">
        <v>80</v>
      </c>
      <c r="D717">
        <v>79.930999756000006</v>
      </c>
      <c r="E717">
        <v>50</v>
      </c>
      <c r="F717">
        <v>48.571186066000003</v>
      </c>
      <c r="G717">
        <v>1384.9663086</v>
      </c>
      <c r="H717">
        <v>1371.3172606999999</v>
      </c>
      <c r="I717">
        <v>1291.1904297000001</v>
      </c>
      <c r="J717">
        <v>1273.7624512</v>
      </c>
      <c r="K717">
        <v>2200</v>
      </c>
      <c r="L717">
        <v>0</v>
      </c>
      <c r="M717">
        <v>0</v>
      </c>
      <c r="N717">
        <v>2200</v>
      </c>
    </row>
    <row r="718" spans="1:14" x14ac:dyDescent="0.25">
      <c r="A718">
        <v>376.33295399999997</v>
      </c>
      <c r="B718" s="1">
        <f>DATE(2011,5,12) + TIME(7,59,27)</f>
        <v>40675.332951388889</v>
      </c>
      <c r="C718">
        <v>80</v>
      </c>
      <c r="D718">
        <v>79.931106567</v>
      </c>
      <c r="E718">
        <v>50</v>
      </c>
      <c r="F718">
        <v>48.536178589000002</v>
      </c>
      <c r="G718">
        <v>1384.8895264</v>
      </c>
      <c r="H718">
        <v>1371.2514647999999</v>
      </c>
      <c r="I718">
        <v>1291.182251</v>
      </c>
      <c r="J718">
        <v>1273.7517089999999</v>
      </c>
      <c r="K718">
        <v>2200</v>
      </c>
      <c r="L718">
        <v>0</v>
      </c>
      <c r="M718">
        <v>0</v>
      </c>
      <c r="N718">
        <v>2200</v>
      </c>
    </row>
    <row r="719" spans="1:14" x14ac:dyDescent="0.25">
      <c r="A719">
        <v>376.67312800000002</v>
      </c>
      <c r="B719" s="1">
        <f>DATE(2011,5,12) + TIME(16,9,18)</f>
        <v>40675.673125000001</v>
      </c>
      <c r="C719">
        <v>80</v>
      </c>
      <c r="D719">
        <v>79.931198120000005</v>
      </c>
      <c r="E719">
        <v>50</v>
      </c>
      <c r="F719">
        <v>48.500572204999997</v>
      </c>
      <c r="G719">
        <v>1384.8126221</v>
      </c>
      <c r="H719">
        <v>1371.1856689000001</v>
      </c>
      <c r="I719">
        <v>1291.1737060999999</v>
      </c>
      <c r="J719">
        <v>1273.7406006000001</v>
      </c>
      <c r="K719">
        <v>2200</v>
      </c>
      <c r="L719">
        <v>0</v>
      </c>
      <c r="M719">
        <v>0</v>
      </c>
      <c r="N719">
        <v>2200</v>
      </c>
    </row>
    <row r="720" spans="1:14" x14ac:dyDescent="0.25">
      <c r="A720">
        <v>377.01564999999999</v>
      </c>
      <c r="B720" s="1">
        <f>DATE(2011,5,13) + TIME(0,22,32)</f>
        <v>40676.015648148146</v>
      </c>
      <c r="C720">
        <v>80</v>
      </c>
      <c r="D720">
        <v>79.931266785000005</v>
      </c>
      <c r="E720">
        <v>50</v>
      </c>
      <c r="F720">
        <v>48.464710236000002</v>
      </c>
      <c r="G720">
        <v>1384.7360839999999</v>
      </c>
      <c r="H720">
        <v>1371.1203613</v>
      </c>
      <c r="I720">
        <v>1291.1650391000001</v>
      </c>
      <c r="J720">
        <v>1273.7292480000001</v>
      </c>
      <c r="K720">
        <v>2200</v>
      </c>
      <c r="L720">
        <v>0</v>
      </c>
      <c r="M720">
        <v>0</v>
      </c>
      <c r="N720">
        <v>2200</v>
      </c>
    </row>
    <row r="721" spans="1:14" x14ac:dyDescent="0.25">
      <c r="A721">
        <v>377.36126400000001</v>
      </c>
      <c r="B721" s="1">
        <f>DATE(2011,5,13) + TIME(8,40,13)</f>
        <v>40676.361261574071</v>
      </c>
      <c r="C721">
        <v>80</v>
      </c>
      <c r="D721">
        <v>79.931327820000007</v>
      </c>
      <c r="E721">
        <v>50</v>
      </c>
      <c r="F721">
        <v>48.428588867000002</v>
      </c>
      <c r="G721">
        <v>1384.6608887</v>
      </c>
      <c r="H721">
        <v>1371.0561522999999</v>
      </c>
      <c r="I721">
        <v>1291.15625</v>
      </c>
      <c r="J721">
        <v>1273.7177733999999</v>
      </c>
      <c r="K721">
        <v>2200</v>
      </c>
      <c r="L721">
        <v>0</v>
      </c>
      <c r="M721">
        <v>0</v>
      </c>
      <c r="N721">
        <v>2200</v>
      </c>
    </row>
    <row r="722" spans="1:14" x14ac:dyDescent="0.25">
      <c r="A722">
        <v>377.71081700000002</v>
      </c>
      <c r="B722" s="1">
        <f>DATE(2011,5,13) + TIME(17,3,34)</f>
        <v>40676.710810185185</v>
      </c>
      <c r="C722">
        <v>80</v>
      </c>
      <c r="D722">
        <v>79.931373596</v>
      </c>
      <c r="E722">
        <v>50</v>
      </c>
      <c r="F722">
        <v>48.392173767000003</v>
      </c>
      <c r="G722">
        <v>1384.5867920000001</v>
      </c>
      <c r="H722">
        <v>1370.9929199000001</v>
      </c>
      <c r="I722">
        <v>1291.1473389</v>
      </c>
      <c r="J722">
        <v>1273.7061768000001</v>
      </c>
      <c r="K722">
        <v>2200</v>
      </c>
      <c r="L722">
        <v>0</v>
      </c>
      <c r="M722">
        <v>0</v>
      </c>
      <c r="N722">
        <v>2200</v>
      </c>
    </row>
    <row r="723" spans="1:14" x14ac:dyDescent="0.25">
      <c r="A723">
        <v>378.06516499999998</v>
      </c>
      <c r="B723" s="1">
        <f>DATE(2011,5,14) + TIME(1,33,50)</f>
        <v>40677.065162037034</v>
      </c>
      <c r="C723">
        <v>80</v>
      </c>
      <c r="D723">
        <v>79.931404114000003</v>
      </c>
      <c r="E723">
        <v>50</v>
      </c>
      <c r="F723">
        <v>48.355419159</v>
      </c>
      <c r="G723">
        <v>1384.5135498</v>
      </c>
      <c r="H723">
        <v>1370.9305420000001</v>
      </c>
      <c r="I723">
        <v>1291.1384277</v>
      </c>
      <c r="J723">
        <v>1273.6943358999999</v>
      </c>
      <c r="K723">
        <v>2200</v>
      </c>
      <c r="L723">
        <v>0</v>
      </c>
      <c r="M723">
        <v>0</v>
      </c>
      <c r="N723">
        <v>2200</v>
      </c>
    </row>
    <row r="724" spans="1:14" x14ac:dyDescent="0.25">
      <c r="A724">
        <v>378.42486300000002</v>
      </c>
      <c r="B724" s="1">
        <f>DATE(2011,5,14) + TIME(10,11,48)</f>
        <v>40677.424861111111</v>
      </c>
      <c r="C724">
        <v>80</v>
      </c>
      <c r="D724">
        <v>79.931434631000002</v>
      </c>
      <c r="E724">
        <v>50</v>
      </c>
      <c r="F724">
        <v>48.318290709999999</v>
      </c>
      <c r="G724">
        <v>1384.4411620999999</v>
      </c>
      <c r="H724">
        <v>1370.8688964999999</v>
      </c>
      <c r="I724">
        <v>1291.1292725000001</v>
      </c>
      <c r="J724">
        <v>1273.6824951000001</v>
      </c>
      <c r="K724">
        <v>2200</v>
      </c>
      <c r="L724">
        <v>0</v>
      </c>
      <c r="M724">
        <v>0</v>
      </c>
      <c r="N724">
        <v>2200</v>
      </c>
    </row>
    <row r="725" spans="1:14" x14ac:dyDescent="0.25">
      <c r="A725">
        <v>378.788612</v>
      </c>
      <c r="B725" s="1">
        <f>DATE(2011,5,14) + TIME(18,55,36)</f>
        <v>40677.788611111115</v>
      </c>
      <c r="C725">
        <v>80</v>
      </c>
      <c r="D725">
        <v>79.931457519999995</v>
      </c>
      <c r="E725">
        <v>50</v>
      </c>
      <c r="F725">
        <v>48.280895233000003</v>
      </c>
      <c r="G725">
        <v>1384.3691406</v>
      </c>
      <c r="H725">
        <v>1370.8076172000001</v>
      </c>
      <c r="I725">
        <v>1291.1198730000001</v>
      </c>
      <c r="J725">
        <v>1273.6702881000001</v>
      </c>
      <c r="K725">
        <v>2200</v>
      </c>
      <c r="L725">
        <v>0</v>
      </c>
      <c r="M725">
        <v>0</v>
      </c>
      <c r="N725">
        <v>2200</v>
      </c>
    </row>
    <row r="726" spans="1:14" x14ac:dyDescent="0.25">
      <c r="A726">
        <v>379.15710100000001</v>
      </c>
      <c r="B726" s="1">
        <f>DATE(2011,5,15) + TIME(3,46,13)</f>
        <v>40678.157094907408</v>
      </c>
      <c r="C726">
        <v>80</v>
      </c>
      <c r="D726">
        <v>79.931472778</v>
      </c>
      <c r="E726">
        <v>50</v>
      </c>
      <c r="F726">
        <v>48.243190765000001</v>
      </c>
      <c r="G726">
        <v>1384.2979736</v>
      </c>
      <c r="H726">
        <v>1370.7471923999999</v>
      </c>
      <c r="I726">
        <v>1291.1104736</v>
      </c>
      <c r="J726">
        <v>1273.6579589999999</v>
      </c>
      <c r="K726">
        <v>2200</v>
      </c>
      <c r="L726">
        <v>0</v>
      </c>
      <c r="M726">
        <v>0</v>
      </c>
      <c r="N726">
        <v>2200</v>
      </c>
    </row>
    <row r="727" spans="1:14" x14ac:dyDescent="0.25">
      <c r="A727">
        <v>379.53116899999998</v>
      </c>
      <c r="B727" s="1">
        <f>DATE(2011,5,15) + TIME(12,44,53)</f>
        <v>40678.531168981484</v>
      </c>
      <c r="C727">
        <v>80</v>
      </c>
      <c r="D727">
        <v>79.931480407999999</v>
      </c>
      <c r="E727">
        <v>50</v>
      </c>
      <c r="F727">
        <v>48.205123901</v>
      </c>
      <c r="G727">
        <v>1384.2275391000001</v>
      </c>
      <c r="H727">
        <v>1370.6872559000001</v>
      </c>
      <c r="I727">
        <v>1291.1009521000001</v>
      </c>
      <c r="J727">
        <v>1273.6453856999999</v>
      </c>
      <c r="K727">
        <v>2200</v>
      </c>
      <c r="L727">
        <v>0</v>
      </c>
      <c r="M727">
        <v>0</v>
      </c>
      <c r="N727">
        <v>2200</v>
      </c>
    </row>
    <row r="728" spans="1:14" x14ac:dyDescent="0.25">
      <c r="A728">
        <v>379.91168499999998</v>
      </c>
      <c r="B728" s="1">
        <f>DATE(2011,5,15) + TIME(21,52,49)</f>
        <v>40678.911678240744</v>
      </c>
      <c r="C728">
        <v>80</v>
      </c>
      <c r="D728">
        <v>79.931488036999994</v>
      </c>
      <c r="E728">
        <v>50</v>
      </c>
      <c r="F728">
        <v>48.166629790999998</v>
      </c>
      <c r="G728">
        <v>1384.1574707</v>
      </c>
      <c r="H728">
        <v>1370.6278076000001</v>
      </c>
      <c r="I728">
        <v>1291.0911865</v>
      </c>
      <c r="J728">
        <v>1273.6326904</v>
      </c>
      <c r="K728">
        <v>2200</v>
      </c>
      <c r="L728">
        <v>0</v>
      </c>
      <c r="M728">
        <v>0</v>
      </c>
      <c r="N728">
        <v>2200</v>
      </c>
    </row>
    <row r="729" spans="1:14" x14ac:dyDescent="0.25">
      <c r="A729">
        <v>380.299578</v>
      </c>
      <c r="B729" s="1">
        <f>DATE(2011,5,16) + TIME(7,11,23)</f>
        <v>40679.299571759257</v>
      </c>
      <c r="C729">
        <v>80</v>
      </c>
      <c r="D729">
        <v>79.931488036999994</v>
      </c>
      <c r="E729">
        <v>50</v>
      </c>
      <c r="F729">
        <v>48.127639770999998</v>
      </c>
      <c r="G729">
        <v>1384.0877685999999</v>
      </c>
      <c r="H729">
        <v>1370.5686035000001</v>
      </c>
      <c r="I729">
        <v>1291.0811768000001</v>
      </c>
      <c r="J729">
        <v>1273.6196289</v>
      </c>
      <c r="K729">
        <v>2200</v>
      </c>
      <c r="L729">
        <v>0</v>
      </c>
      <c r="M729">
        <v>0</v>
      </c>
      <c r="N729">
        <v>2200</v>
      </c>
    </row>
    <row r="730" spans="1:14" x14ac:dyDescent="0.25">
      <c r="A730">
        <v>380.69583899999998</v>
      </c>
      <c r="B730" s="1">
        <f>DATE(2011,5,16) + TIME(16,42,0)</f>
        <v>40679.695833333331</v>
      </c>
      <c r="C730">
        <v>80</v>
      </c>
      <c r="D730">
        <v>79.931488036999994</v>
      </c>
      <c r="E730">
        <v>50</v>
      </c>
      <c r="F730">
        <v>48.088069916000002</v>
      </c>
      <c r="G730">
        <v>1384.0181885</v>
      </c>
      <c r="H730">
        <v>1370.5096435999999</v>
      </c>
      <c r="I730">
        <v>1291.0710449000001</v>
      </c>
      <c r="J730">
        <v>1273.6063231999999</v>
      </c>
      <c r="K730">
        <v>2200</v>
      </c>
      <c r="L730">
        <v>0</v>
      </c>
      <c r="M730">
        <v>0</v>
      </c>
      <c r="N730">
        <v>2200</v>
      </c>
    </row>
    <row r="731" spans="1:14" x14ac:dyDescent="0.25">
      <c r="A731">
        <v>381.10154899999998</v>
      </c>
      <c r="B731" s="1">
        <f>DATE(2011,5,17) + TIME(2,26,13)</f>
        <v>40680.101539351854</v>
      </c>
      <c r="C731">
        <v>80</v>
      </c>
      <c r="D731">
        <v>79.931480407999999</v>
      </c>
      <c r="E731">
        <v>50</v>
      </c>
      <c r="F731">
        <v>48.047836304</v>
      </c>
      <c r="G731">
        <v>1383.9486084</v>
      </c>
      <c r="H731">
        <v>1370.4506836</v>
      </c>
      <c r="I731">
        <v>1291.0606689000001</v>
      </c>
      <c r="J731">
        <v>1273.5926514</v>
      </c>
      <c r="K731">
        <v>2200</v>
      </c>
      <c r="L731">
        <v>0</v>
      </c>
      <c r="M731">
        <v>0</v>
      </c>
      <c r="N731">
        <v>2200</v>
      </c>
    </row>
    <row r="732" spans="1:14" x14ac:dyDescent="0.25">
      <c r="A732">
        <v>381.51788499999998</v>
      </c>
      <c r="B732" s="1">
        <f>DATE(2011,5,17) + TIME(12,25,45)</f>
        <v>40680.517881944441</v>
      </c>
      <c r="C732">
        <v>80</v>
      </c>
      <c r="D732">
        <v>79.931480407999999</v>
      </c>
      <c r="E732">
        <v>50</v>
      </c>
      <c r="F732">
        <v>48.006847381999997</v>
      </c>
      <c r="G732">
        <v>1383.8787841999999</v>
      </c>
      <c r="H732">
        <v>1370.3916016000001</v>
      </c>
      <c r="I732">
        <v>1291.0499268000001</v>
      </c>
      <c r="J732">
        <v>1273.5786132999999</v>
      </c>
      <c r="K732">
        <v>2200</v>
      </c>
      <c r="L732">
        <v>0</v>
      </c>
      <c r="M732">
        <v>0</v>
      </c>
      <c r="N732">
        <v>2200</v>
      </c>
    </row>
    <row r="733" spans="1:14" x14ac:dyDescent="0.25">
      <c r="A733">
        <v>381.94611400000002</v>
      </c>
      <c r="B733" s="1">
        <f>DATE(2011,5,17) + TIME(22,42,24)</f>
        <v>40680.946111111109</v>
      </c>
      <c r="C733">
        <v>80</v>
      </c>
      <c r="D733">
        <v>79.931472778</v>
      </c>
      <c r="E733">
        <v>50</v>
      </c>
      <c r="F733">
        <v>47.964996337999999</v>
      </c>
      <c r="G733">
        <v>1383.8087158000001</v>
      </c>
      <c r="H733">
        <v>1370.3322754000001</v>
      </c>
      <c r="I733">
        <v>1291.0388184000001</v>
      </c>
      <c r="J733">
        <v>1273.5642089999999</v>
      </c>
      <c r="K733">
        <v>2200</v>
      </c>
      <c r="L733">
        <v>0</v>
      </c>
      <c r="M733">
        <v>0</v>
      </c>
      <c r="N733">
        <v>2200</v>
      </c>
    </row>
    <row r="734" spans="1:14" x14ac:dyDescent="0.25">
      <c r="A734">
        <v>382.38593900000001</v>
      </c>
      <c r="B734" s="1">
        <f>DATE(2011,5,18) + TIME(9,15,45)</f>
        <v>40681.385937500003</v>
      </c>
      <c r="C734">
        <v>80</v>
      </c>
      <c r="D734">
        <v>79.931457519999995</v>
      </c>
      <c r="E734">
        <v>50</v>
      </c>
      <c r="F734">
        <v>47.922283172999997</v>
      </c>
      <c r="G734">
        <v>1383.7381591999999</v>
      </c>
      <c r="H734">
        <v>1370.2725829999999</v>
      </c>
      <c r="I734">
        <v>1291.0274658000001</v>
      </c>
      <c r="J734">
        <v>1273.5493164</v>
      </c>
      <c r="K734">
        <v>2200</v>
      </c>
      <c r="L734">
        <v>0</v>
      </c>
      <c r="M734">
        <v>0</v>
      </c>
      <c r="N734">
        <v>2200</v>
      </c>
    </row>
    <row r="735" spans="1:14" x14ac:dyDescent="0.25">
      <c r="A735">
        <v>382.838774</v>
      </c>
      <c r="B735" s="1">
        <f>DATE(2011,5,18) + TIME(20,7,50)</f>
        <v>40681.838773148149</v>
      </c>
      <c r="C735">
        <v>80</v>
      </c>
      <c r="D735">
        <v>79.931449889999996</v>
      </c>
      <c r="E735">
        <v>50</v>
      </c>
      <c r="F735">
        <v>47.878612517999997</v>
      </c>
      <c r="G735">
        <v>1383.6671143000001</v>
      </c>
      <c r="H735">
        <v>1370.2125243999999</v>
      </c>
      <c r="I735">
        <v>1291.015625</v>
      </c>
      <c r="J735">
        <v>1273.5339355000001</v>
      </c>
      <c r="K735">
        <v>2200</v>
      </c>
      <c r="L735">
        <v>0</v>
      </c>
      <c r="M735">
        <v>0</v>
      </c>
      <c r="N735">
        <v>2200</v>
      </c>
    </row>
    <row r="736" spans="1:14" x14ac:dyDescent="0.25">
      <c r="A736">
        <v>383.300432</v>
      </c>
      <c r="B736" s="1">
        <f>DATE(2011,5,19) + TIME(7,12,37)</f>
        <v>40682.300428240742</v>
      </c>
      <c r="C736">
        <v>80</v>
      </c>
      <c r="D736">
        <v>79.931442261000001</v>
      </c>
      <c r="E736">
        <v>50</v>
      </c>
      <c r="F736">
        <v>47.834239959999998</v>
      </c>
      <c r="G736">
        <v>1383.5954589999999</v>
      </c>
      <c r="H736">
        <v>1370.1519774999999</v>
      </c>
      <c r="I736">
        <v>1291.003418</v>
      </c>
      <c r="J736">
        <v>1273.5180664</v>
      </c>
      <c r="K736">
        <v>2200</v>
      </c>
      <c r="L736">
        <v>0</v>
      </c>
      <c r="M736">
        <v>0</v>
      </c>
      <c r="N736">
        <v>2200</v>
      </c>
    </row>
    <row r="737" spans="1:14" x14ac:dyDescent="0.25">
      <c r="A737">
        <v>383.76376800000003</v>
      </c>
      <c r="B737" s="1">
        <f>DATE(2011,5,19) + TIME(18,19,49)</f>
        <v>40682.763761574075</v>
      </c>
      <c r="C737">
        <v>80</v>
      </c>
      <c r="D737">
        <v>79.931427002000007</v>
      </c>
      <c r="E737">
        <v>50</v>
      </c>
      <c r="F737">
        <v>47.789653778000002</v>
      </c>
      <c r="G737">
        <v>1383.5240478999999</v>
      </c>
      <c r="H737">
        <v>1370.0916748</v>
      </c>
      <c r="I737">
        <v>1290.9908447</v>
      </c>
      <c r="J737">
        <v>1273.5018310999999</v>
      </c>
      <c r="K737">
        <v>2200</v>
      </c>
      <c r="L737">
        <v>0</v>
      </c>
      <c r="M737">
        <v>0</v>
      </c>
      <c r="N737">
        <v>2200</v>
      </c>
    </row>
    <row r="738" spans="1:14" x14ac:dyDescent="0.25">
      <c r="A738">
        <v>384.230098</v>
      </c>
      <c r="B738" s="1">
        <f>DATE(2011,5,20) + TIME(5,31,20)</f>
        <v>40683.230092592596</v>
      </c>
      <c r="C738">
        <v>80</v>
      </c>
      <c r="D738">
        <v>79.931411742999998</v>
      </c>
      <c r="E738">
        <v>50</v>
      </c>
      <c r="F738">
        <v>47.744869231999999</v>
      </c>
      <c r="G738">
        <v>1383.4537353999999</v>
      </c>
      <c r="H738">
        <v>1370.0323486</v>
      </c>
      <c r="I738">
        <v>1290.9782714999999</v>
      </c>
      <c r="J738">
        <v>1273.4854736</v>
      </c>
      <c r="K738">
        <v>2200</v>
      </c>
      <c r="L738">
        <v>0</v>
      </c>
      <c r="M738">
        <v>0</v>
      </c>
      <c r="N738">
        <v>2200</v>
      </c>
    </row>
    <row r="739" spans="1:14" x14ac:dyDescent="0.25">
      <c r="A739">
        <v>384.70034900000002</v>
      </c>
      <c r="B739" s="1">
        <f>DATE(2011,5,20) + TIME(16,48,30)</f>
        <v>40683.70034722222</v>
      </c>
      <c r="C739">
        <v>80</v>
      </c>
      <c r="D739">
        <v>79.931404114000003</v>
      </c>
      <c r="E739">
        <v>50</v>
      </c>
      <c r="F739">
        <v>47.699871063000003</v>
      </c>
      <c r="G739">
        <v>1383.3843993999999</v>
      </c>
      <c r="H739">
        <v>1369.9738769999999</v>
      </c>
      <c r="I739">
        <v>1290.9654541</v>
      </c>
      <c r="J739">
        <v>1273.4689940999999</v>
      </c>
      <c r="K739">
        <v>2200</v>
      </c>
      <c r="L739">
        <v>0</v>
      </c>
      <c r="M739">
        <v>0</v>
      </c>
      <c r="N739">
        <v>2200</v>
      </c>
    </row>
    <row r="740" spans="1:14" x14ac:dyDescent="0.25">
      <c r="A740">
        <v>385.17559999999997</v>
      </c>
      <c r="B740" s="1">
        <f>DATE(2011,5,21) + TIME(4,12,51)</f>
        <v>40684.17559027778</v>
      </c>
      <c r="C740">
        <v>80</v>
      </c>
      <c r="D740">
        <v>79.931388854999994</v>
      </c>
      <c r="E740">
        <v>50</v>
      </c>
      <c r="F740">
        <v>47.654621124000002</v>
      </c>
      <c r="G740">
        <v>1383.315918</v>
      </c>
      <c r="H740">
        <v>1369.9160156</v>
      </c>
      <c r="I740">
        <v>1290.9525146000001</v>
      </c>
      <c r="J740">
        <v>1273.4521483999999</v>
      </c>
      <c r="K740">
        <v>2200</v>
      </c>
      <c r="L740">
        <v>0</v>
      </c>
      <c r="M740">
        <v>0</v>
      </c>
      <c r="N740">
        <v>2200</v>
      </c>
    </row>
    <row r="741" spans="1:14" x14ac:dyDescent="0.25">
      <c r="A741">
        <v>385.65696200000002</v>
      </c>
      <c r="B741" s="1">
        <f>DATE(2011,5,21) + TIME(15,46,1)</f>
        <v>40684.656956018516</v>
      </c>
      <c r="C741">
        <v>80</v>
      </c>
      <c r="D741">
        <v>79.931373596</v>
      </c>
      <c r="E741">
        <v>50</v>
      </c>
      <c r="F741">
        <v>47.60905838</v>
      </c>
      <c r="G741">
        <v>1383.2481689000001</v>
      </c>
      <c r="H741">
        <v>1369.8588867000001</v>
      </c>
      <c r="I741">
        <v>1290.9394531</v>
      </c>
      <c r="J741">
        <v>1273.4350586</v>
      </c>
      <c r="K741">
        <v>2200</v>
      </c>
      <c r="L741">
        <v>0</v>
      </c>
      <c r="M741">
        <v>0</v>
      </c>
      <c r="N741">
        <v>2200</v>
      </c>
    </row>
    <row r="742" spans="1:14" x14ac:dyDescent="0.25">
      <c r="A742">
        <v>386.14558599999998</v>
      </c>
      <c r="B742" s="1">
        <f>DATE(2011,5,22) + TIME(3,29,38)</f>
        <v>40685.145578703705</v>
      </c>
      <c r="C742">
        <v>80</v>
      </c>
      <c r="D742">
        <v>79.931358337000006</v>
      </c>
      <c r="E742">
        <v>50</v>
      </c>
      <c r="F742">
        <v>47.563102721999996</v>
      </c>
      <c r="G742">
        <v>1383.1806641000001</v>
      </c>
      <c r="H742">
        <v>1369.8020019999999</v>
      </c>
      <c r="I742">
        <v>1290.9261475000001</v>
      </c>
      <c r="J742">
        <v>1273.4177245999999</v>
      </c>
      <c r="K742">
        <v>2200</v>
      </c>
      <c r="L742">
        <v>0</v>
      </c>
      <c r="M742">
        <v>0</v>
      </c>
      <c r="N742">
        <v>2200</v>
      </c>
    </row>
    <row r="743" spans="1:14" x14ac:dyDescent="0.25">
      <c r="A743">
        <v>386.64267100000001</v>
      </c>
      <c r="B743" s="1">
        <f>DATE(2011,5,22) + TIME(15,25,26)</f>
        <v>40685.64266203704</v>
      </c>
      <c r="C743">
        <v>80</v>
      </c>
      <c r="D743">
        <v>79.931350707999997</v>
      </c>
      <c r="E743">
        <v>50</v>
      </c>
      <c r="F743">
        <v>47.516670226999999</v>
      </c>
      <c r="G743">
        <v>1383.1136475000001</v>
      </c>
      <c r="H743">
        <v>1369.7454834</v>
      </c>
      <c r="I743">
        <v>1290.9124756000001</v>
      </c>
      <c r="J743">
        <v>1273.3999022999999</v>
      </c>
      <c r="K743">
        <v>2200</v>
      </c>
      <c r="L743">
        <v>0</v>
      </c>
      <c r="M743">
        <v>0</v>
      </c>
      <c r="N743">
        <v>2200</v>
      </c>
    </row>
    <row r="744" spans="1:14" x14ac:dyDescent="0.25">
      <c r="A744">
        <v>387.14950199999998</v>
      </c>
      <c r="B744" s="1">
        <f>DATE(2011,5,23) + TIME(3,35,17)</f>
        <v>40686.149502314816</v>
      </c>
      <c r="C744">
        <v>80</v>
      </c>
      <c r="D744">
        <v>79.931335449000002</v>
      </c>
      <c r="E744">
        <v>50</v>
      </c>
      <c r="F744">
        <v>47.469661713000001</v>
      </c>
      <c r="G744">
        <v>1383.0466309000001</v>
      </c>
      <c r="H744">
        <v>1369.6890868999999</v>
      </c>
      <c r="I744">
        <v>1290.8985596</v>
      </c>
      <c r="J744">
        <v>1273.3818358999999</v>
      </c>
      <c r="K744">
        <v>2200</v>
      </c>
      <c r="L744">
        <v>0</v>
      </c>
      <c r="M744">
        <v>0</v>
      </c>
      <c r="N744">
        <v>2200</v>
      </c>
    </row>
    <row r="745" spans="1:14" x14ac:dyDescent="0.25">
      <c r="A745">
        <v>387.66700100000003</v>
      </c>
      <c r="B745" s="1">
        <f>DATE(2011,5,23) + TIME(16,0,28)</f>
        <v>40686.666990740741</v>
      </c>
      <c r="C745">
        <v>80</v>
      </c>
      <c r="D745">
        <v>79.931327820000007</v>
      </c>
      <c r="E745">
        <v>50</v>
      </c>
      <c r="F745">
        <v>47.422004700000002</v>
      </c>
      <c r="G745">
        <v>1382.9796143000001</v>
      </c>
      <c r="H745">
        <v>1369.6325684000001</v>
      </c>
      <c r="I745">
        <v>1290.8842772999999</v>
      </c>
      <c r="J745">
        <v>1273.3631591999999</v>
      </c>
      <c r="K745">
        <v>2200</v>
      </c>
      <c r="L745">
        <v>0</v>
      </c>
      <c r="M745">
        <v>0</v>
      </c>
      <c r="N745">
        <v>2200</v>
      </c>
    </row>
    <row r="746" spans="1:14" x14ac:dyDescent="0.25">
      <c r="A746">
        <v>388.19204400000001</v>
      </c>
      <c r="B746" s="1">
        <f>DATE(2011,5,24) + TIME(4,36,32)</f>
        <v>40687.192037037035</v>
      </c>
      <c r="C746">
        <v>80</v>
      </c>
      <c r="D746">
        <v>79.931312560999999</v>
      </c>
      <c r="E746">
        <v>50</v>
      </c>
      <c r="F746">
        <v>47.373855591000002</v>
      </c>
      <c r="G746">
        <v>1382.9124756000001</v>
      </c>
      <c r="H746">
        <v>1369.5760498</v>
      </c>
      <c r="I746">
        <v>1290.8696289</v>
      </c>
      <c r="J746">
        <v>1273.3441161999999</v>
      </c>
      <c r="K746">
        <v>2200</v>
      </c>
      <c r="L746">
        <v>0</v>
      </c>
      <c r="M746">
        <v>0</v>
      </c>
      <c r="N746">
        <v>2200</v>
      </c>
    </row>
    <row r="747" spans="1:14" x14ac:dyDescent="0.25">
      <c r="A747">
        <v>388.72590600000001</v>
      </c>
      <c r="B747" s="1">
        <f>DATE(2011,5,24) + TIME(17,25,18)</f>
        <v>40687.725902777776</v>
      </c>
      <c r="C747">
        <v>80</v>
      </c>
      <c r="D747">
        <v>79.931304932000003</v>
      </c>
      <c r="E747">
        <v>50</v>
      </c>
      <c r="F747">
        <v>47.32516098</v>
      </c>
      <c r="G747">
        <v>1382.8457031</v>
      </c>
      <c r="H747">
        <v>1369.5197754000001</v>
      </c>
      <c r="I747">
        <v>1290.8546143000001</v>
      </c>
      <c r="J747">
        <v>1273.3245850000001</v>
      </c>
      <c r="K747">
        <v>2200</v>
      </c>
      <c r="L747">
        <v>0</v>
      </c>
      <c r="M747">
        <v>0</v>
      </c>
      <c r="N747">
        <v>2200</v>
      </c>
    </row>
    <row r="748" spans="1:14" x14ac:dyDescent="0.25">
      <c r="A748">
        <v>389.26988599999999</v>
      </c>
      <c r="B748" s="1">
        <f>DATE(2011,5,25) + TIME(6,28,38)</f>
        <v>40688.269884259258</v>
      </c>
      <c r="C748">
        <v>80</v>
      </c>
      <c r="D748">
        <v>79.931297302000004</v>
      </c>
      <c r="E748">
        <v>50</v>
      </c>
      <c r="F748">
        <v>47.275852202999999</v>
      </c>
      <c r="G748">
        <v>1382.7789307</v>
      </c>
      <c r="H748">
        <v>1369.4636230000001</v>
      </c>
      <c r="I748">
        <v>1290.8393555</v>
      </c>
      <c r="J748">
        <v>1273.3045654</v>
      </c>
      <c r="K748">
        <v>2200</v>
      </c>
      <c r="L748">
        <v>0</v>
      </c>
      <c r="M748">
        <v>0</v>
      </c>
      <c r="N748">
        <v>2200</v>
      </c>
    </row>
    <row r="749" spans="1:14" x14ac:dyDescent="0.25">
      <c r="A749">
        <v>389.82538499999998</v>
      </c>
      <c r="B749" s="1">
        <f>DATE(2011,5,25) + TIME(19,48,33)</f>
        <v>40688.825381944444</v>
      </c>
      <c r="C749">
        <v>80</v>
      </c>
      <c r="D749">
        <v>79.931282042999996</v>
      </c>
      <c r="E749">
        <v>50</v>
      </c>
      <c r="F749">
        <v>47.225833893000001</v>
      </c>
      <c r="G749">
        <v>1382.7122803</v>
      </c>
      <c r="H749">
        <v>1369.4074707</v>
      </c>
      <c r="I749">
        <v>1290.8236084</v>
      </c>
      <c r="J749">
        <v>1273.2840576000001</v>
      </c>
      <c r="K749">
        <v>2200</v>
      </c>
      <c r="L749">
        <v>0</v>
      </c>
      <c r="M749">
        <v>0</v>
      </c>
      <c r="N749">
        <v>2200</v>
      </c>
    </row>
    <row r="750" spans="1:14" x14ac:dyDescent="0.25">
      <c r="A750">
        <v>390.39394299999998</v>
      </c>
      <c r="B750" s="1">
        <f>DATE(2011,5,26) + TIME(9,27,16)</f>
        <v>40689.393935185188</v>
      </c>
      <c r="C750">
        <v>80</v>
      </c>
      <c r="D750">
        <v>79.931274414000001</v>
      </c>
      <c r="E750">
        <v>50</v>
      </c>
      <c r="F750">
        <v>47.175003052000001</v>
      </c>
      <c r="G750">
        <v>1382.6453856999999</v>
      </c>
      <c r="H750">
        <v>1369.3511963000001</v>
      </c>
      <c r="I750">
        <v>1290.8074951000001</v>
      </c>
      <c r="J750">
        <v>1273.2629394999999</v>
      </c>
      <c r="K750">
        <v>2200</v>
      </c>
      <c r="L750">
        <v>0</v>
      </c>
      <c r="M750">
        <v>0</v>
      </c>
      <c r="N750">
        <v>2200</v>
      </c>
    </row>
    <row r="751" spans="1:14" x14ac:dyDescent="0.25">
      <c r="A751">
        <v>390.977238</v>
      </c>
      <c r="B751" s="1">
        <f>DATE(2011,5,26) + TIME(23,27,13)</f>
        <v>40689.977233796293</v>
      </c>
      <c r="C751">
        <v>80</v>
      </c>
      <c r="D751">
        <v>79.931266785000005</v>
      </c>
      <c r="E751">
        <v>50</v>
      </c>
      <c r="F751">
        <v>47.123237609999997</v>
      </c>
      <c r="G751">
        <v>1382.578125</v>
      </c>
      <c r="H751">
        <v>1369.2946777</v>
      </c>
      <c r="I751">
        <v>1290.7907714999999</v>
      </c>
      <c r="J751">
        <v>1273.2412108999999</v>
      </c>
      <c r="K751">
        <v>2200</v>
      </c>
      <c r="L751">
        <v>0</v>
      </c>
      <c r="M751">
        <v>0</v>
      </c>
      <c r="N751">
        <v>2200</v>
      </c>
    </row>
    <row r="752" spans="1:14" x14ac:dyDescent="0.25">
      <c r="A752">
        <v>391.56705499999998</v>
      </c>
      <c r="B752" s="1">
        <f>DATE(2011,5,27) + TIME(13,36,33)</f>
        <v>40690.567048611112</v>
      </c>
      <c r="C752">
        <v>80</v>
      </c>
      <c r="D752">
        <v>79.931259155000006</v>
      </c>
      <c r="E752">
        <v>50</v>
      </c>
      <c r="F752">
        <v>47.070957184000001</v>
      </c>
      <c r="G752">
        <v>1382.5104980000001</v>
      </c>
      <c r="H752">
        <v>1369.2376709</v>
      </c>
      <c r="I752">
        <v>1290.7735596</v>
      </c>
      <c r="J752">
        <v>1273.2186279</v>
      </c>
      <c r="K752">
        <v>2200</v>
      </c>
      <c r="L752">
        <v>0</v>
      </c>
      <c r="M752">
        <v>0</v>
      </c>
      <c r="N752">
        <v>2200</v>
      </c>
    </row>
    <row r="753" spans="1:14" x14ac:dyDescent="0.25">
      <c r="A753">
        <v>392.15992399999999</v>
      </c>
      <c r="B753" s="1">
        <f>DATE(2011,5,28) + TIME(3,50,17)</f>
        <v>40691.159918981481</v>
      </c>
      <c r="C753">
        <v>80</v>
      </c>
      <c r="D753">
        <v>79.931251525999997</v>
      </c>
      <c r="E753">
        <v>50</v>
      </c>
      <c r="F753">
        <v>47.018428802000003</v>
      </c>
      <c r="G753">
        <v>1382.4432373</v>
      </c>
      <c r="H753">
        <v>1369.1811522999999</v>
      </c>
      <c r="I753">
        <v>1290.7559814000001</v>
      </c>
      <c r="J753">
        <v>1273.1958007999999</v>
      </c>
      <c r="K753">
        <v>2200</v>
      </c>
      <c r="L753">
        <v>0</v>
      </c>
      <c r="M753">
        <v>0</v>
      </c>
      <c r="N753">
        <v>2200</v>
      </c>
    </row>
    <row r="754" spans="1:14" x14ac:dyDescent="0.25">
      <c r="A754">
        <v>392.757046</v>
      </c>
      <c r="B754" s="1">
        <f>DATE(2011,5,28) + TIME(18,10,8)</f>
        <v>40691.757037037038</v>
      </c>
      <c r="C754">
        <v>80</v>
      </c>
      <c r="D754">
        <v>79.931243895999998</v>
      </c>
      <c r="E754">
        <v>50</v>
      </c>
      <c r="F754">
        <v>46.965682983000001</v>
      </c>
      <c r="G754">
        <v>1382.3769531</v>
      </c>
      <c r="H754">
        <v>1369.1253661999999</v>
      </c>
      <c r="I754">
        <v>1290.7381591999999</v>
      </c>
      <c r="J754">
        <v>1273.1724853999999</v>
      </c>
      <c r="K754">
        <v>2200</v>
      </c>
      <c r="L754">
        <v>0</v>
      </c>
      <c r="M754">
        <v>0</v>
      </c>
      <c r="N754">
        <v>2200</v>
      </c>
    </row>
    <row r="755" spans="1:14" x14ac:dyDescent="0.25">
      <c r="A755">
        <v>393.359827</v>
      </c>
      <c r="B755" s="1">
        <f>DATE(2011,5,29) + TIME(8,38,9)</f>
        <v>40692.359826388885</v>
      </c>
      <c r="C755">
        <v>80</v>
      </c>
      <c r="D755">
        <v>79.931243895999998</v>
      </c>
      <c r="E755">
        <v>50</v>
      </c>
      <c r="F755">
        <v>46.912689209</v>
      </c>
      <c r="G755">
        <v>1382.3112793</v>
      </c>
      <c r="H755">
        <v>1369.0701904</v>
      </c>
      <c r="I755">
        <v>1290.7200928</v>
      </c>
      <c r="J755">
        <v>1273.1488036999999</v>
      </c>
      <c r="K755">
        <v>2200</v>
      </c>
      <c r="L755">
        <v>0</v>
      </c>
      <c r="M755">
        <v>0</v>
      </c>
      <c r="N755">
        <v>2200</v>
      </c>
    </row>
    <row r="756" spans="1:14" x14ac:dyDescent="0.25">
      <c r="A756">
        <v>393.969696</v>
      </c>
      <c r="B756" s="1">
        <f>DATE(2011,5,29) + TIME(23,16,21)</f>
        <v>40692.969687500001</v>
      </c>
      <c r="C756">
        <v>80</v>
      </c>
      <c r="D756">
        <v>79.931236267000003</v>
      </c>
      <c r="E756">
        <v>50</v>
      </c>
      <c r="F756">
        <v>46.859375</v>
      </c>
      <c r="G756">
        <v>1382.2462158000001</v>
      </c>
      <c r="H756">
        <v>1369.0153809000001</v>
      </c>
      <c r="I756">
        <v>1290.7016602000001</v>
      </c>
      <c r="J756">
        <v>1273.1246338000001</v>
      </c>
      <c r="K756">
        <v>2200</v>
      </c>
      <c r="L756">
        <v>0</v>
      </c>
      <c r="M756">
        <v>0</v>
      </c>
      <c r="N756">
        <v>2200</v>
      </c>
    </row>
    <row r="757" spans="1:14" x14ac:dyDescent="0.25">
      <c r="A757">
        <v>394.58812699999999</v>
      </c>
      <c r="B757" s="1">
        <f>DATE(2011,5,30) + TIME(14,6,54)</f>
        <v>40693.588125000002</v>
      </c>
      <c r="C757">
        <v>80</v>
      </c>
      <c r="D757">
        <v>79.931236267000003</v>
      </c>
      <c r="E757">
        <v>50</v>
      </c>
      <c r="F757">
        <v>46.805656433000003</v>
      </c>
      <c r="G757">
        <v>1382.1815185999999</v>
      </c>
      <c r="H757">
        <v>1368.9609375</v>
      </c>
      <c r="I757">
        <v>1290.6829834</v>
      </c>
      <c r="J757">
        <v>1273.0999756000001</v>
      </c>
      <c r="K757">
        <v>2200</v>
      </c>
      <c r="L757">
        <v>0</v>
      </c>
      <c r="M757">
        <v>0</v>
      </c>
      <c r="N757">
        <v>2200</v>
      </c>
    </row>
    <row r="758" spans="1:14" x14ac:dyDescent="0.25">
      <c r="A758">
        <v>395.21666199999999</v>
      </c>
      <c r="B758" s="1">
        <f>DATE(2011,5,31) + TIME(5,11,59)</f>
        <v>40694.21665509259</v>
      </c>
      <c r="C758">
        <v>80</v>
      </c>
      <c r="D758">
        <v>79.931228637999993</v>
      </c>
      <c r="E758">
        <v>50</v>
      </c>
      <c r="F758">
        <v>46.751422882</v>
      </c>
      <c r="G758">
        <v>1382.1169434000001</v>
      </c>
      <c r="H758">
        <v>1368.9066161999999</v>
      </c>
      <c r="I758">
        <v>1290.6638184000001</v>
      </c>
      <c r="J758">
        <v>1273.0748291</v>
      </c>
      <c r="K758">
        <v>2200</v>
      </c>
      <c r="L758">
        <v>0</v>
      </c>
      <c r="M758">
        <v>0</v>
      </c>
      <c r="N758">
        <v>2200</v>
      </c>
    </row>
    <row r="759" spans="1:14" x14ac:dyDescent="0.25">
      <c r="A759">
        <v>395.85693900000001</v>
      </c>
      <c r="B759" s="1">
        <f>DATE(2011,5,31) + TIME(20,33,59)</f>
        <v>40694.856932870367</v>
      </c>
      <c r="C759">
        <v>80</v>
      </c>
      <c r="D759">
        <v>79.931228637999993</v>
      </c>
      <c r="E759">
        <v>50</v>
      </c>
      <c r="F759">
        <v>46.696556090999998</v>
      </c>
      <c r="G759">
        <v>1382.0524902</v>
      </c>
      <c r="H759">
        <v>1368.8524170000001</v>
      </c>
      <c r="I759">
        <v>1290.6441649999999</v>
      </c>
      <c r="J759">
        <v>1273.0488281</v>
      </c>
      <c r="K759">
        <v>2200</v>
      </c>
      <c r="L759">
        <v>0</v>
      </c>
      <c r="M759">
        <v>0</v>
      </c>
      <c r="N759">
        <v>2200</v>
      </c>
    </row>
    <row r="760" spans="1:14" x14ac:dyDescent="0.25">
      <c r="A760">
        <v>396</v>
      </c>
      <c r="B760" s="1">
        <f>DATE(2011,6,1) + TIME(0,0,0)</f>
        <v>40695</v>
      </c>
      <c r="C760">
        <v>80</v>
      </c>
      <c r="D760">
        <v>79.931221007999994</v>
      </c>
      <c r="E760">
        <v>50</v>
      </c>
      <c r="F760">
        <v>46.678775786999999</v>
      </c>
      <c r="G760">
        <v>1381.9885254000001</v>
      </c>
      <c r="H760">
        <v>1368.7985839999999</v>
      </c>
      <c r="I760">
        <v>1290.6204834</v>
      </c>
      <c r="J760">
        <v>1273.0258789</v>
      </c>
      <c r="K760">
        <v>2200</v>
      </c>
      <c r="L760">
        <v>0</v>
      </c>
      <c r="M760">
        <v>0</v>
      </c>
      <c r="N760">
        <v>2200</v>
      </c>
    </row>
    <row r="761" spans="1:14" x14ac:dyDescent="0.25">
      <c r="A761">
        <v>396.653775</v>
      </c>
      <c r="B761" s="1">
        <f>DATE(2011,6,1) + TIME(15,41,26)</f>
        <v>40695.653773148151</v>
      </c>
      <c r="C761">
        <v>80</v>
      </c>
      <c r="D761">
        <v>79.931228637999993</v>
      </c>
      <c r="E761">
        <v>50</v>
      </c>
      <c r="F761">
        <v>46.625381470000001</v>
      </c>
      <c r="G761">
        <v>1381.9733887</v>
      </c>
      <c r="H761">
        <v>1368.7857666</v>
      </c>
      <c r="I761">
        <v>1290.6195068</v>
      </c>
      <c r="J761">
        <v>1273.015625</v>
      </c>
      <c r="K761">
        <v>2200</v>
      </c>
      <c r="L761">
        <v>0</v>
      </c>
      <c r="M761">
        <v>0</v>
      </c>
      <c r="N761">
        <v>2200</v>
      </c>
    </row>
    <row r="762" spans="1:14" x14ac:dyDescent="0.25">
      <c r="A762">
        <v>397.32668100000001</v>
      </c>
      <c r="B762" s="1">
        <f>DATE(2011,6,2) + TIME(7,50,25)</f>
        <v>40696.326678240737</v>
      </c>
      <c r="C762">
        <v>80</v>
      </c>
      <c r="D762">
        <v>79.931228637999993</v>
      </c>
      <c r="E762">
        <v>50</v>
      </c>
      <c r="F762">
        <v>46.570037841999998</v>
      </c>
      <c r="G762">
        <v>1381.9091797000001</v>
      </c>
      <c r="H762">
        <v>1368.7318115</v>
      </c>
      <c r="I762">
        <v>1290.5986327999999</v>
      </c>
      <c r="J762">
        <v>1272.9882812000001</v>
      </c>
      <c r="K762">
        <v>2200</v>
      </c>
      <c r="L762">
        <v>0</v>
      </c>
      <c r="M762">
        <v>0</v>
      </c>
      <c r="N762">
        <v>2200</v>
      </c>
    </row>
    <row r="763" spans="1:14" x14ac:dyDescent="0.25">
      <c r="A763">
        <v>398.01157599999999</v>
      </c>
      <c r="B763" s="1">
        <f>DATE(2011,6,3) + TIME(0,16,40)</f>
        <v>40697.011574074073</v>
      </c>
      <c r="C763">
        <v>80</v>
      </c>
      <c r="D763">
        <v>79.931228637999993</v>
      </c>
      <c r="E763">
        <v>50</v>
      </c>
      <c r="F763">
        <v>46.513324738000001</v>
      </c>
      <c r="G763">
        <v>1381.8438721</v>
      </c>
      <c r="H763">
        <v>1368.6768798999999</v>
      </c>
      <c r="I763">
        <v>1290.5767822</v>
      </c>
      <c r="J763">
        <v>1272.9595947</v>
      </c>
      <c r="K763">
        <v>2200</v>
      </c>
      <c r="L763">
        <v>0</v>
      </c>
      <c r="M763">
        <v>0</v>
      </c>
      <c r="N763">
        <v>2200</v>
      </c>
    </row>
    <row r="764" spans="1:14" x14ac:dyDescent="0.25">
      <c r="A764">
        <v>398.70788299999998</v>
      </c>
      <c r="B764" s="1">
        <f>DATE(2011,6,3) + TIME(16,59,21)</f>
        <v>40697.707881944443</v>
      </c>
      <c r="C764">
        <v>80</v>
      </c>
      <c r="D764">
        <v>79.931228637999993</v>
      </c>
      <c r="E764">
        <v>50</v>
      </c>
      <c r="F764">
        <v>46.455520630000002</v>
      </c>
      <c r="G764">
        <v>1381.7785644999999</v>
      </c>
      <c r="H764">
        <v>1368.6218262</v>
      </c>
      <c r="I764">
        <v>1290.5544434000001</v>
      </c>
      <c r="J764">
        <v>1272.9300536999999</v>
      </c>
      <c r="K764">
        <v>2200</v>
      </c>
      <c r="L764">
        <v>0</v>
      </c>
      <c r="M764">
        <v>0</v>
      </c>
      <c r="N764">
        <v>2200</v>
      </c>
    </row>
    <row r="765" spans="1:14" x14ac:dyDescent="0.25">
      <c r="A765">
        <v>399.41741300000001</v>
      </c>
      <c r="B765" s="1">
        <f>DATE(2011,6,4) + TIME(10,1,4)</f>
        <v>40698.417407407411</v>
      </c>
      <c r="C765">
        <v>80</v>
      </c>
      <c r="D765">
        <v>79.931236267000003</v>
      </c>
      <c r="E765">
        <v>50</v>
      </c>
      <c r="F765">
        <v>46.396697998</v>
      </c>
      <c r="G765">
        <v>1381.7131348</v>
      </c>
      <c r="H765">
        <v>1368.5667725000001</v>
      </c>
      <c r="I765">
        <v>1290.5313721</v>
      </c>
      <c r="J765">
        <v>1272.8996582</v>
      </c>
      <c r="K765">
        <v>2200</v>
      </c>
      <c r="L765">
        <v>0</v>
      </c>
      <c r="M765">
        <v>0</v>
      </c>
      <c r="N765">
        <v>2200</v>
      </c>
    </row>
    <row r="766" spans="1:14" x14ac:dyDescent="0.25">
      <c r="A766">
        <v>400.14209799999998</v>
      </c>
      <c r="B766" s="1">
        <f>DATE(2011,6,5) + TIME(3,24,37)</f>
        <v>40699.142094907409</v>
      </c>
      <c r="C766">
        <v>80</v>
      </c>
      <c r="D766">
        <v>79.931236267000003</v>
      </c>
      <c r="E766">
        <v>50</v>
      </c>
      <c r="F766">
        <v>46.336841583000002</v>
      </c>
      <c r="G766">
        <v>1381.6477050999999</v>
      </c>
      <c r="H766">
        <v>1368.5115966999999</v>
      </c>
      <c r="I766">
        <v>1290.5078125</v>
      </c>
      <c r="J766">
        <v>1272.8681641000001</v>
      </c>
      <c r="K766">
        <v>2200</v>
      </c>
      <c r="L766">
        <v>0</v>
      </c>
      <c r="M766">
        <v>0</v>
      </c>
      <c r="N766">
        <v>2200</v>
      </c>
    </row>
    <row r="767" spans="1:14" x14ac:dyDescent="0.25">
      <c r="A767">
        <v>400.87331</v>
      </c>
      <c r="B767" s="1">
        <f>DATE(2011,6,5) + TIME(20,57,33)</f>
        <v>40699.873298611114</v>
      </c>
      <c r="C767">
        <v>80</v>
      </c>
      <c r="D767">
        <v>79.931243895999998</v>
      </c>
      <c r="E767">
        <v>50</v>
      </c>
      <c r="F767">
        <v>46.276374816999997</v>
      </c>
      <c r="G767">
        <v>1381.5819091999999</v>
      </c>
      <c r="H767">
        <v>1368.4562988</v>
      </c>
      <c r="I767">
        <v>1290.4832764</v>
      </c>
      <c r="J767">
        <v>1272.8356934000001</v>
      </c>
      <c r="K767">
        <v>2200</v>
      </c>
      <c r="L767">
        <v>0</v>
      </c>
      <c r="M767">
        <v>0</v>
      </c>
      <c r="N767">
        <v>2200</v>
      </c>
    </row>
    <row r="768" spans="1:14" x14ac:dyDescent="0.25">
      <c r="A768">
        <v>401.60818599999999</v>
      </c>
      <c r="B768" s="1">
        <f>DATE(2011,6,6) + TIME(14,35,47)</f>
        <v>40700.608182870368</v>
      </c>
      <c r="C768">
        <v>80</v>
      </c>
      <c r="D768">
        <v>79.931251525999997</v>
      </c>
      <c r="E768">
        <v>50</v>
      </c>
      <c r="F768">
        <v>46.215564727999997</v>
      </c>
      <c r="G768">
        <v>1381.5167236</v>
      </c>
      <c r="H768">
        <v>1368.4012451000001</v>
      </c>
      <c r="I768">
        <v>1290.4582519999999</v>
      </c>
      <c r="J768">
        <v>1272.8023682</v>
      </c>
      <c r="K768">
        <v>2200</v>
      </c>
      <c r="L768">
        <v>0</v>
      </c>
      <c r="M768">
        <v>0</v>
      </c>
      <c r="N768">
        <v>2200</v>
      </c>
    </row>
    <row r="769" spans="1:14" x14ac:dyDescent="0.25">
      <c r="A769">
        <v>402.34822200000002</v>
      </c>
      <c r="B769" s="1">
        <f>DATE(2011,6,7) + TIME(8,21,26)</f>
        <v>40701.348217592589</v>
      </c>
      <c r="C769">
        <v>80</v>
      </c>
      <c r="D769">
        <v>79.931251525999997</v>
      </c>
      <c r="E769">
        <v>50</v>
      </c>
      <c r="F769">
        <v>46.154464722</v>
      </c>
      <c r="G769">
        <v>1381.4521483999999</v>
      </c>
      <c r="H769">
        <v>1368.3469238</v>
      </c>
      <c r="I769">
        <v>1290.4328613</v>
      </c>
      <c r="J769">
        <v>1272.7684326000001</v>
      </c>
      <c r="K769">
        <v>2200</v>
      </c>
      <c r="L769">
        <v>0</v>
      </c>
      <c r="M769">
        <v>0</v>
      </c>
      <c r="N769">
        <v>2200</v>
      </c>
    </row>
    <row r="770" spans="1:14" x14ac:dyDescent="0.25">
      <c r="A770">
        <v>403.09520400000002</v>
      </c>
      <c r="B770" s="1">
        <f>DATE(2011,6,8) + TIME(2,17,5)</f>
        <v>40702.095196759263</v>
      </c>
      <c r="C770">
        <v>80</v>
      </c>
      <c r="D770">
        <v>79.931259155000006</v>
      </c>
      <c r="E770">
        <v>50</v>
      </c>
      <c r="F770">
        <v>46.093036652000002</v>
      </c>
      <c r="G770">
        <v>1381.3883057</v>
      </c>
      <c r="H770">
        <v>1368.2930908000001</v>
      </c>
      <c r="I770">
        <v>1290.4069824000001</v>
      </c>
      <c r="J770">
        <v>1272.7336425999999</v>
      </c>
      <c r="K770">
        <v>2200</v>
      </c>
      <c r="L770">
        <v>0</v>
      </c>
      <c r="M770">
        <v>0</v>
      </c>
      <c r="N770">
        <v>2200</v>
      </c>
    </row>
    <row r="771" spans="1:14" x14ac:dyDescent="0.25">
      <c r="A771">
        <v>403.850953</v>
      </c>
      <c r="B771" s="1">
        <f>DATE(2011,6,8) + TIME(20,25,22)</f>
        <v>40702.850949074076</v>
      </c>
      <c r="C771">
        <v>80</v>
      </c>
      <c r="D771">
        <v>79.931266785000005</v>
      </c>
      <c r="E771">
        <v>50</v>
      </c>
      <c r="F771">
        <v>46.031192779999998</v>
      </c>
      <c r="G771">
        <v>1381.3248291</v>
      </c>
      <c r="H771">
        <v>1368.2395019999999</v>
      </c>
      <c r="I771">
        <v>1290.3804932</v>
      </c>
      <c r="J771">
        <v>1272.6981201000001</v>
      </c>
      <c r="K771">
        <v>2200</v>
      </c>
      <c r="L771">
        <v>0</v>
      </c>
      <c r="M771">
        <v>0</v>
      </c>
      <c r="N771">
        <v>2200</v>
      </c>
    </row>
    <row r="772" spans="1:14" x14ac:dyDescent="0.25">
      <c r="A772">
        <v>404.61536799999999</v>
      </c>
      <c r="B772" s="1">
        <f>DATE(2011,6,9) + TIME(14,46,7)</f>
        <v>40703.615358796298</v>
      </c>
      <c r="C772">
        <v>80</v>
      </c>
      <c r="D772">
        <v>79.931282042999996</v>
      </c>
      <c r="E772">
        <v>50</v>
      </c>
      <c r="F772">
        <v>45.968898772999999</v>
      </c>
      <c r="G772">
        <v>1381.2615966999999</v>
      </c>
      <c r="H772">
        <v>1368.1861572</v>
      </c>
      <c r="I772">
        <v>1290.3533935999999</v>
      </c>
      <c r="J772">
        <v>1272.6616211</v>
      </c>
      <c r="K772">
        <v>2200</v>
      </c>
      <c r="L772">
        <v>0</v>
      </c>
      <c r="M772">
        <v>0</v>
      </c>
      <c r="N772">
        <v>2200</v>
      </c>
    </row>
    <row r="773" spans="1:14" x14ac:dyDescent="0.25">
      <c r="A773">
        <v>405.38917099999998</v>
      </c>
      <c r="B773" s="1">
        <f>DATE(2011,6,10) + TIME(9,20,24)</f>
        <v>40704.389166666668</v>
      </c>
      <c r="C773">
        <v>80</v>
      </c>
      <c r="D773">
        <v>79.931289672999995</v>
      </c>
      <c r="E773">
        <v>50</v>
      </c>
      <c r="F773">
        <v>45.906105042</v>
      </c>
      <c r="G773">
        <v>1381.1986084</v>
      </c>
      <c r="H773">
        <v>1368.1330565999999</v>
      </c>
      <c r="I773">
        <v>1290.3256836</v>
      </c>
      <c r="J773">
        <v>1272.6241454999999</v>
      </c>
      <c r="K773">
        <v>2200</v>
      </c>
      <c r="L773">
        <v>0</v>
      </c>
      <c r="M773">
        <v>0</v>
      </c>
      <c r="N773">
        <v>2200</v>
      </c>
    </row>
    <row r="774" spans="1:14" x14ac:dyDescent="0.25">
      <c r="A774">
        <v>406.174215</v>
      </c>
      <c r="B774" s="1">
        <f>DATE(2011,6,11) + TIME(4,10,52)</f>
        <v>40705.174212962964</v>
      </c>
      <c r="C774">
        <v>80</v>
      </c>
      <c r="D774">
        <v>79.931297302000004</v>
      </c>
      <c r="E774">
        <v>50</v>
      </c>
      <c r="F774">
        <v>45.842704773000001</v>
      </c>
      <c r="G774">
        <v>1381.1358643000001</v>
      </c>
      <c r="H774">
        <v>1368.0800781</v>
      </c>
      <c r="I774">
        <v>1290.2971190999999</v>
      </c>
      <c r="J774">
        <v>1272.5855713000001</v>
      </c>
      <c r="K774">
        <v>2200</v>
      </c>
      <c r="L774">
        <v>0</v>
      </c>
      <c r="M774">
        <v>0</v>
      </c>
      <c r="N774">
        <v>2200</v>
      </c>
    </row>
    <row r="775" spans="1:14" x14ac:dyDescent="0.25">
      <c r="A775">
        <v>406.972444</v>
      </c>
      <c r="B775" s="1">
        <f>DATE(2011,6,11) + TIME(23,20,19)</f>
        <v>40705.972442129627</v>
      </c>
      <c r="C775">
        <v>80</v>
      </c>
      <c r="D775">
        <v>79.931312560999999</v>
      </c>
      <c r="E775">
        <v>50</v>
      </c>
      <c r="F775">
        <v>45.778560638000002</v>
      </c>
      <c r="G775">
        <v>1381.0732422000001</v>
      </c>
      <c r="H775">
        <v>1368.0272216999999</v>
      </c>
      <c r="I775">
        <v>1290.2679443</v>
      </c>
      <c r="J775">
        <v>1272.5457764</v>
      </c>
      <c r="K775">
        <v>2200</v>
      </c>
      <c r="L775">
        <v>0</v>
      </c>
      <c r="M775">
        <v>0</v>
      </c>
      <c r="N775">
        <v>2200</v>
      </c>
    </row>
    <row r="776" spans="1:14" x14ac:dyDescent="0.25">
      <c r="A776">
        <v>407.78592200000003</v>
      </c>
      <c r="B776" s="1">
        <f>DATE(2011,6,12) + TIME(18,51,43)</f>
        <v>40706.785914351851</v>
      </c>
      <c r="C776">
        <v>80</v>
      </c>
      <c r="D776">
        <v>79.931327820000007</v>
      </c>
      <c r="E776">
        <v>50</v>
      </c>
      <c r="F776">
        <v>45.713527679000002</v>
      </c>
      <c r="G776">
        <v>1381.0104980000001</v>
      </c>
      <c r="H776">
        <v>1367.9742432</v>
      </c>
      <c r="I776">
        <v>1290.237793</v>
      </c>
      <c r="J776">
        <v>1272.5047606999999</v>
      </c>
      <c r="K776">
        <v>2200</v>
      </c>
      <c r="L776">
        <v>0</v>
      </c>
      <c r="M776">
        <v>0</v>
      </c>
      <c r="N776">
        <v>2200</v>
      </c>
    </row>
    <row r="777" spans="1:14" x14ac:dyDescent="0.25">
      <c r="A777">
        <v>408.61686900000001</v>
      </c>
      <c r="B777" s="1">
        <f>DATE(2011,6,13) + TIME(14,48,17)</f>
        <v>40707.616863425923</v>
      </c>
      <c r="C777">
        <v>80</v>
      </c>
      <c r="D777">
        <v>79.931343079000001</v>
      </c>
      <c r="E777">
        <v>50</v>
      </c>
      <c r="F777">
        <v>45.647434234999999</v>
      </c>
      <c r="G777">
        <v>1380.9475098</v>
      </c>
      <c r="H777">
        <v>1367.9210204999999</v>
      </c>
      <c r="I777">
        <v>1290.206543</v>
      </c>
      <c r="J777">
        <v>1272.4621582</v>
      </c>
      <c r="K777">
        <v>2200</v>
      </c>
      <c r="L777">
        <v>0</v>
      </c>
      <c r="M777">
        <v>0</v>
      </c>
      <c r="N777">
        <v>2200</v>
      </c>
    </row>
    <row r="778" spans="1:14" x14ac:dyDescent="0.25">
      <c r="A778">
        <v>409.46772099999998</v>
      </c>
      <c r="B778" s="1">
        <f>DATE(2011,6,14) + TIME(11,13,31)</f>
        <v>40708.467719907407</v>
      </c>
      <c r="C778">
        <v>80</v>
      </c>
      <c r="D778">
        <v>79.931358337000006</v>
      </c>
      <c r="E778">
        <v>50</v>
      </c>
      <c r="F778">
        <v>45.580101012999997</v>
      </c>
      <c r="G778">
        <v>1380.8842772999999</v>
      </c>
      <c r="H778">
        <v>1367.8674315999999</v>
      </c>
      <c r="I778">
        <v>1290.1743164</v>
      </c>
      <c r="J778">
        <v>1272.4179687999999</v>
      </c>
      <c r="K778">
        <v>2200</v>
      </c>
      <c r="L778">
        <v>0</v>
      </c>
      <c r="M778">
        <v>0</v>
      </c>
      <c r="N778">
        <v>2200</v>
      </c>
    </row>
    <row r="779" spans="1:14" x14ac:dyDescent="0.25">
      <c r="A779">
        <v>410.33542799999998</v>
      </c>
      <c r="B779" s="1">
        <f>DATE(2011,6,15) + TIME(8,3,0)</f>
        <v>40709.335416666669</v>
      </c>
      <c r="C779">
        <v>80</v>
      </c>
      <c r="D779">
        <v>79.931373596</v>
      </c>
      <c r="E779">
        <v>50</v>
      </c>
      <c r="F779">
        <v>45.511569977000001</v>
      </c>
      <c r="G779">
        <v>1380.8204346</v>
      </c>
      <c r="H779">
        <v>1367.8134766000001</v>
      </c>
      <c r="I779">
        <v>1290.1407471</v>
      </c>
      <c r="J779">
        <v>1272.3719481999999</v>
      </c>
      <c r="K779">
        <v>2200</v>
      </c>
      <c r="L779">
        <v>0</v>
      </c>
      <c r="M779">
        <v>0</v>
      </c>
      <c r="N779">
        <v>2200</v>
      </c>
    </row>
    <row r="780" spans="1:14" x14ac:dyDescent="0.25">
      <c r="A780">
        <v>411.20962600000001</v>
      </c>
      <c r="B780" s="1">
        <f>DATE(2011,6,16) + TIME(5,1,51)</f>
        <v>40710.209618055553</v>
      </c>
      <c r="C780">
        <v>80</v>
      </c>
      <c r="D780">
        <v>79.931388854999994</v>
      </c>
      <c r="E780">
        <v>50</v>
      </c>
      <c r="F780">
        <v>45.442268372000001</v>
      </c>
      <c r="G780">
        <v>1380.7562256000001</v>
      </c>
      <c r="H780">
        <v>1367.7592772999999</v>
      </c>
      <c r="I780">
        <v>1290.105957</v>
      </c>
      <c r="J780">
        <v>1272.3243408000001</v>
      </c>
      <c r="K780">
        <v>2200</v>
      </c>
      <c r="L780">
        <v>0</v>
      </c>
      <c r="M780">
        <v>0</v>
      </c>
      <c r="N780">
        <v>2200</v>
      </c>
    </row>
    <row r="781" spans="1:14" x14ac:dyDescent="0.25">
      <c r="A781">
        <v>412.09062799999998</v>
      </c>
      <c r="B781" s="1">
        <f>DATE(2011,6,17) + TIME(2,10,30)</f>
        <v>40711.090624999997</v>
      </c>
      <c r="C781">
        <v>80</v>
      </c>
      <c r="D781">
        <v>79.931404114000003</v>
      </c>
      <c r="E781">
        <v>50</v>
      </c>
      <c r="F781">
        <v>45.372360229000002</v>
      </c>
      <c r="G781">
        <v>1380.6926269999999</v>
      </c>
      <c r="H781">
        <v>1367.7053223</v>
      </c>
      <c r="I781">
        <v>1290.0704346</v>
      </c>
      <c r="J781">
        <v>1272.2753906</v>
      </c>
      <c r="K781">
        <v>2200</v>
      </c>
      <c r="L781">
        <v>0</v>
      </c>
      <c r="M781">
        <v>0</v>
      </c>
      <c r="N781">
        <v>2200</v>
      </c>
    </row>
    <row r="782" spans="1:14" x14ac:dyDescent="0.25">
      <c r="A782">
        <v>412.97450600000002</v>
      </c>
      <c r="B782" s="1">
        <f>DATE(2011,6,17) + TIME(23,23,17)</f>
        <v>40711.974502314813</v>
      </c>
      <c r="C782">
        <v>80</v>
      </c>
      <c r="D782">
        <v>79.931427002000007</v>
      </c>
      <c r="E782">
        <v>50</v>
      </c>
      <c r="F782">
        <v>45.302093505999999</v>
      </c>
      <c r="G782">
        <v>1380.6295166</v>
      </c>
      <c r="H782">
        <v>1367.6518555</v>
      </c>
      <c r="I782">
        <v>1290.0340576000001</v>
      </c>
      <c r="J782">
        <v>1272.2250977000001</v>
      </c>
      <c r="K782">
        <v>2200</v>
      </c>
      <c r="L782">
        <v>0</v>
      </c>
      <c r="M782">
        <v>0</v>
      </c>
      <c r="N782">
        <v>2200</v>
      </c>
    </row>
    <row r="783" spans="1:14" x14ac:dyDescent="0.25">
      <c r="A783">
        <v>413.863608</v>
      </c>
      <c r="B783" s="1">
        <f>DATE(2011,6,18) + TIME(20,43,35)</f>
        <v>40712.863599537035</v>
      </c>
      <c r="C783">
        <v>80</v>
      </c>
      <c r="D783">
        <v>79.931449889999996</v>
      </c>
      <c r="E783">
        <v>50</v>
      </c>
      <c r="F783">
        <v>45.231472015000001</v>
      </c>
      <c r="G783">
        <v>1380.5670166</v>
      </c>
      <c r="H783">
        <v>1367.598999</v>
      </c>
      <c r="I783">
        <v>1289.9970702999999</v>
      </c>
      <c r="J783">
        <v>1272.1735839999999</v>
      </c>
      <c r="K783">
        <v>2200</v>
      </c>
      <c r="L783">
        <v>0</v>
      </c>
      <c r="M783">
        <v>0</v>
      </c>
      <c r="N783">
        <v>2200</v>
      </c>
    </row>
    <row r="784" spans="1:14" x14ac:dyDescent="0.25">
      <c r="A784">
        <v>414.75975799999998</v>
      </c>
      <c r="B784" s="1">
        <f>DATE(2011,6,19) + TIME(18,14,3)</f>
        <v>40713.759756944448</v>
      </c>
      <c r="C784">
        <v>80</v>
      </c>
      <c r="D784">
        <v>79.931465149000005</v>
      </c>
      <c r="E784">
        <v>50</v>
      </c>
      <c r="F784">
        <v>45.160430908000002</v>
      </c>
      <c r="G784">
        <v>1380.5051269999999</v>
      </c>
      <c r="H784">
        <v>1367.5465088000001</v>
      </c>
      <c r="I784">
        <v>1289.9592285000001</v>
      </c>
      <c r="J784">
        <v>1272.1209716999999</v>
      </c>
      <c r="K784">
        <v>2200</v>
      </c>
      <c r="L784">
        <v>0</v>
      </c>
      <c r="M784">
        <v>0</v>
      </c>
      <c r="N784">
        <v>2200</v>
      </c>
    </row>
    <row r="785" spans="1:14" x14ac:dyDescent="0.25">
      <c r="A785">
        <v>415.66494899999998</v>
      </c>
      <c r="B785" s="1">
        <f>DATE(2011,6,20) + TIME(15,57,31)</f>
        <v>40714.664942129632</v>
      </c>
      <c r="C785">
        <v>80</v>
      </c>
      <c r="D785">
        <v>79.931488036999994</v>
      </c>
      <c r="E785">
        <v>50</v>
      </c>
      <c r="F785">
        <v>45.088844299000002</v>
      </c>
      <c r="G785">
        <v>1380.4437256000001</v>
      </c>
      <c r="H785">
        <v>1367.4943848</v>
      </c>
      <c r="I785">
        <v>1289.9205322</v>
      </c>
      <c r="J785">
        <v>1272.0667725000001</v>
      </c>
      <c r="K785">
        <v>2200</v>
      </c>
      <c r="L785">
        <v>0</v>
      </c>
      <c r="M785">
        <v>0</v>
      </c>
      <c r="N785">
        <v>2200</v>
      </c>
    </row>
    <row r="786" spans="1:14" x14ac:dyDescent="0.25">
      <c r="A786">
        <v>416.58129300000002</v>
      </c>
      <c r="B786" s="1">
        <f>DATE(2011,6,21) + TIME(13,57,3)</f>
        <v>40715.581284722219</v>
      </c>
      <c r="C786">
        <v>80</v>
      </c>
      <c r="D786">
        <v>79.931510924999998</v>
      </c>
      <c r="E786">
        <v>50</v>
      </c>
      <c r="F786">
        <v>45.016563415999997</v>
      </c>
      <c r="G786">
        <v>1380.3825684000001</v>
      </c>
      <c r="H786">
        <v>1367.4423827999999</v>
      </c>
      <c r="I786">
        <v>1289.8807373</v>
      </c>
      <c r="J786">
        <v>1272.0111084</v>
      </c>
      <c r="K786">
        <v>2200</v>
      </c>
      <c r="L786">
        <v>0</v>
      </c>
      <c r="M786">
        <v>0</v>
      </c>
      <c r="N786">
        <v>2200</v>
      </c>
    </row>
    <row r="787" spans="1:14" x14ac:dyDescent="0.25">
      <c r="A787">
        <v>417.51100200000002</v>
      </c>
      <c r="B787" s="1">
        <f>DATE(2011,6,22) + TIME(12,15,50)</f>
        <v>40716.510995370372</v>
      </c>
      <c r="C787">
        <v>80</v>
      </c>
      <c r="D787">
        <v>79.931533813000001</v>
      </c>
      <c r="E787">
        <v>50</v>
      </c>
      <c r="F787">
        <v>44.943416595000002</v>
      </c>
      <c r="G787">
        <v>1380.3214111</v>
      </c>
      <c r="H787">
        <v>1367.3905029</v>
      </c>
      <c r="I787">
        <v>1289.8399658000001</v>
      </c>
      <c r="J787">
        <v>1271.9536132999999</v>
      </c>
      <c r="K787">
        <v>2200</v>
      </c>
      <c r="L787">
        <v>0</v>
      </c>
      <c r="M787">
        <v>0</v>
      </c>
      <c r="N787">
        <v>2200</v>
      </c>
    </row>
    <row r="788" spans="1:14" x14ac:dyDescent="0.25">
      <c r="A788">
        <v>418.45639999999997</v>
      </c>
      <c r="B788" s="1">
        <f>DATE(2011,6,23) + TIME(10,57,12)</f>
        <v>40717.456388888888</v>
      </c>
      <c r="C788">
        <v>80</v>
      </c>
      <c r="D788">
        <v>79.931564331000004</v>
      </c>
      <c r="E788">
        <v>50</v>
      </c>
      <c r="F788">
        <v>44.869220734000002</v>
      </c>
      <c r="G788">
        <v>1380.260376</v>
      </c>
      <c r="H788">
        <v>1367.3386230000001</v>
      </c>
      <c r="I788">
        <v>1289.7978516000001</v>
      </c>
      <c r="J788">
        <v>1271.8942870999999</v>
      </c>
      <c r="K788">
        <v>2200</v>
      </c>
      <c r="L788">
        <v>0</v>
      </c>
      <c r="M788">
        <v>0</v>
      </c>
      <c r="N788">
        <v>2200</v>
      </c>
    </row>
    <row r="789" spans="1:14" x14ac:dyDescent="0.25">
      <c r="A789">
        <v>419.41999099999998</v>
      </c>
      <c r="B789" s="1">
        <f>DATE(2011,6,24) + TIME(10,4,47)</f>
        <v>40718.419988425929</v>
      </c>
      <c r="C789">
        <v>80</v>
      </c>
      <c r="D789">
        <v>79.931587218999994</v>
      </c>
      <c r="E789">
        <v>50</v>
      </c>
      <c r="F789">
        <v>44.793766022</v>
      </c>
      <c r="G789">
        <v>1380.1990966999999</v>
      </c>
      <c r="H789">
        <v>1367.286499</v>
      </c>
      <c r="I789">
        <v>1289.7543945</v>
      </c>
      <c r="J789">
        <v>1271.8326416</v>
      </c>
      <c r="K789">
        <v>2200</v>
      </c>
      <c r="L789">
        <v>0</v>
      </c>
      <c r="M789">
        <v>0</v>
      </c>
      <c r="N789">
        <v>2200</v>
      </c>
    </row>
    <row r="790" spans="1:14" x14ac:dyDescent="0.25">
      <c r="A790">
        <v>420.404472</v>
      </c>
      <c r="B790" s="1">
        <f>DATE(2011,6,25) + TIME(9,42,26)</f>
        <v>40719.404467592591</v>
      </c>
      <c r="C790">
        <v>80</v>
      </c>
      <c r="D790">
        <v>79.931617736999996</v>
      </c>
      <c r="E790">
        <v>50</v>
      </c>
      <c r="F790">
        <v>44.716835021999998</v>
      </c>
      <c r="G790">
        <v>1380.1375731999999</v>
      </c>
      <c r="H790">
        <v>1367.2341309000001</v>
      </c>
      <c r="I790">
        <v>1289.7093506000001</v>
      </c>
      <c r="J790">
        <v>1271.7686768000001</v>
      </c>
      <c r="K790">
        <v>2200</v>
      </c>
      <c r="L790">
        <v>0</v>
      </c>
      <c r="M790">
        <v>0</v>
      </c>
      <c r="N790">
        <v>2200</v>
      </c>
    </row>
    <row r="791" spans="1:14" x14ac:dyDescent="0.25">
      <c r="A791">
        <v>421.41098399999998</v>
      </c>
      <c r="B791" s="1">
        <f>DATE(2011,6,26) + TIME(9,51,49)</f>
        <v>40720.410983796297</v>
      </c>
      <c r="C791">
        <v>80</v>
      </c>
      <c r="D791">
        <v>79.931648253999995</v>
      </c>
      <c r="E791">
        <v>50</v>
      </c>
      <c r="F791">
        <v>44.638263702000003</v>
      </c>
      <c r="G791">
        <v>1380.0755615</v>
      </c>
      <c r="H791">
        <v>1367.1813964999999</v>
      </c>
      <c r="I791">
        <v>1289.6625977000001</v>
      </c>
      <c r="J791">
        <v>1271.7021483999999</v>
      </c>
      <c r="K791">
        <v>2200</v>
      </c>
      <c r="L791">
        <v>0</v>
      </c>
      <c r="M791">
        <v>0</v>
      </c>
      <c r="N791">
        <v>2200</v>
      </c>
    </row>
    <row r="792" spans="1:14" x14ac:dyDescent="0.25">
      <c r="A792">
        <v>422.42476599999998</v>
      </c>
      <c r="B792" s="1">
        <f>DATE(2011,6,27) + TIME(10,11,39)</f>
        <v>40721.424756944441</v>
      </c>
      <c r="C792">
        <v>80</v>
      </c>
      <c r="D792">
        <v>79.931678771999998</v>
      </c>
      <c r="E792">
        <v>50</v>
      </c>
      <c r="F792">
        <v>44.558513640999998</v>
      </c>
      <c r="G792">
        <v>1380.0130615</v>
      </c>
      <c r="H792">
        <v>1367.1280518000001</v>
      </c>
      <c r="I792">
        <v>1289.6140137</v>
      </c>
      <c r="J792">
        <v>1271.6328125</v>
      </c>
      <c r="K792">
        <v>2200</v>
      </c>
      <c r="L792">
        <v>0</v>
      </c>
      <c r="M792">
        <v>0</v>
      </c>
      <c r="N792">
        <v>2200</v>
      </c>
    </row>
    <row r="793" spans="1:14" x14ac:dyDescent="0.25">
      <c r="A793">
        <v>423.44838099999998</v>
      </c>
      <c r="B793" s="1">
        <f>DATE(2011,6,28) + TIME(10,45,40)</f>
        <v>40722.448379629626</v>
      </c>
      <c r="C793">
        <v>80</v>
      </c>
      <c r="D793">
        <v>79.931709290000001</v>
      </c>
      <c r="E793">
        <v>50</v>
      </c>
      <c r="F793">
        <v>44.477725982999999</v>
      </c>
      <c r="G793">
        <v>1379.9509277</v>
      </c>
      <c r="H793">
        <v>1367.0751952999999</v>
      </c>
      <c r="I793">
        <v>1289.5643310999999</v>
      </c>
      <c r="J793">
        <v>1271.5614014</v>
      </c>
      <c r="K793">
        <v>2200</v>
      </c>
      <c r="L793">
        <v>0</v>
      </c>
      <c r="M793">
        <v>0</v>
      </c>
      <c r="N793">
        <v>2200</v>
      </c>
    </row>
    <row r="794" spans="1:14" x14ac:dyDescent="0.25">
      <c r="A794">
        <v>424.483473</v>
      </c>
      <c r="B794" s="1">
        <f>DATE(2011,6,29) + TIME(11,36,12)</f>
        <v>40723.483472222222</v>
      </c>
      <c r="C794">
        <v>80</v>
      </c>
      <c r="D794">
        <v>79.931739807</v>
      </c>
      <c r="E794">
        <v>50</v>
      </c>
      <c r="F794">
        <v>44.395889281999999</v>
      </c>
      <c r="G794">
        <v>1379.8891602000001</v>
      </c>
      <c r="H794">
        <v>1367.0224608999999</v>
      </c>
      <c r="I794">
        <v>1289.5131836</v>
      </c>
      <c r="J794">
        <v>1271.4879149999999</v>
      </c>
      <c r="K794">
        <v>2200</v>
      </c>
      <c r="L794">
        <v>0</v>
      </c>
      <c r="M794">
        <v>0</v>
      </c>
      <c r="N794">
        <v>2200</v>
      </c>
    </row>
    <row r="795" spans="1:14" x14ac:dyDescent="0.25">
      <c r="A795">
        <v>425.52335799999997</v>
      </c>
      <c r="B795" s="1">
        <f>DATE(2011,6,30) + TIME(12,33,38)</f>
        <v>40724.523356481484</v>
      </c>
      <c r="C795">
        <v>80</v>
      </c>
      <c r="D795">
        <v>79.931770325000002</v>
      </c>
      <c r="E795">
        <v>50</v>
      </c>
      <c r="F795">
        <v>44.313236236999998</v>
      </c>
      <c r="G795">
        <v>1379.8275146000001</v>
      </c>
      <c r="H795">
        <v>1366.9698486</v>
      </c>
      <c r="I795">
        <v>1289.4606934000001</v>
      </c>
      <c r="J795">
        <v>1271.4121094</v>
      </c>
      <c r="K795">
        <v>2200</v>
      </c>
      <c r="L795">
        <v>0</v>
      </c>
      <c r="M795">
        <v>0</v>
      </c>
      <c r="N795">
        <v>2200</v>
      </c>
    </row>
    <row r="796" spans="1:14" x14ac:dyDescent="0.25">
      <c r="A796">
        <v>426</v>
      </c>
      <c r="B796" s="1">
        <f>DATE(2011,7,1) + TIME(0,0,0)</f>
        <v>40725</v>
      </c>
      <c r="C796">
        <v>80</v>
      </c>
      <c r="D796">
        <v>79.931770325000002</v>
      </c>
      <c r="E796">
        <v>50</v>
      </c>
      <c r="F796">
        <v>44.260417938000003</v>
      </c>
      <c r="G796">
        <v>1379.7662353999999</v>
      </c>
      <c r="H796">
        <v>1366.9174805</v>
      </c>
      <c r="I796">
        <v>1289.40625</v>
      </c>
      <c r="J796">
        <v>1271.3419189000001</v>
      </c>
      <c r="K796">
        <v>2200</v>
      </c>
      <c r="L796">
        <v>0</v>
      </c>
      <c r="M796">
        <v>0</v>
      </c>
      <c r="N796">
        <v>2200</v>
      </c>
    </row>
    <row r="797" spans="1:14" x14ac:dyDescent="0.25">
      <c r="A797">
        <v>427.04738400000002</v>
      </c>
      <c r="B797" s="1">
        <f>DATE(2011,7,2) + TIME(1,8,14)</f>
        <v>40726.047384259262</v>
      </c>
      <c r="C797">
        <v>80</v>
      </c>
      <c r="D797">
        <v>79.931816100999995</v>
      </c>
      <c r="E797">
        <v>50</v>
      </c>
      <c r="F797">
        <v>44.184349060000002</v>
      </c>
      <c r="G797">
        <v>1379.7384033000001</v>
      </c>
      <c r="H797">
        <v>1366.8936768000001</v>
      </c>
      <c r="I797">
        <v>1289.3815918</v>
      </c>
      <c r="J797">
        <v>1271.2950439000001</v>
      </c>
      <c r="K797">
        <v>2200</v>
      </c>
      <c r="L797">
        <v>0</v>
      </c>
      <c r="M797">
        <v>0</v>
      </c>
      <c r="N797">
        <v>2200</v>
      </c>
    </row>
    <row r="798" spans="1:14" x14ac:dyDescent="0.25">
      <c r="A798">
        <v>428.10976199999999</v>
      </c>
      <c r="B798" s="1">
        <f>DATE(2011,7,3) + TIME(2,38,3)</f>
        <v>40727.109756944446</v>
      </c>
      <c r="C798">
        <v>80</v>
      </c>
      <c r="D798">
        <v>79.931854247999993</v>
      </c>
      <c r="E798">
        <v>50</v>
      </c>
      <c r="F798">
        <v>44.103313446000001</v>
      </c>
      <c r="G798">
        <v>1379.6783447</v>
      </c>
      <c r="H798">
        <v>1366.8422852000001</v>
      </c>
      <c r="I798">
        <v>1289.3266602000001</v>
      </c>
      <c r="J798">
        <v>1271.2160644999999</v>
      </c>
      <c r="K798">
        <v>2200</v>
      </c>
      <c r="L798">
        <v>0</v>
      </c>
      <c r="M798">
        <v>0</v>
      </c>
      <c r="N798">
        <v>2200</v>
      </c>
    </row>
    <row r="799" spans="1:14" x14ac:dyDescent="0.25">
      <c r="A799">
        <v>429.18530199999998</v>
      </c>
      <c r="B799" s="1">
        <f>DATE(2011,7,4) + TIME(4,26,50)</f>
        <v>40728.185300925928</v>
      </c>
      <c r="C799">
        <v>80</v>
      </c>
      <c r="D799">
        <v>79.931892395000006</v>
      </c>
      <c r="E799">
        <v>50</v>
      </c>
      <c r="F799">
        <v>44.019161224000001</v>
      </c>
      <c r="G799">
        <v>1379.6179199000001</v>
      </c>
      <c r="H799">
        <v>1366.7906493999999</v>
      </c>
      <c r="I799">
        <v>1289.2697754000001</v>
      </c>
      <c r="J799">
        <v>1271.1334228999999</v>
      </c>
      <c r="K799">
        <v>2200</v>
      </c>
      <c r="L799">
        <v>0</v>
      </c>
      <c r="M799">
        <v>0</v>
      </c>
      <c r="N799">
        <v>2200</v>
      </c>
    </row>
    <row r="800" spans="1:14" x14ac:dyDescent="0.25">
      <c r="A800">
        <v>430.27668399999999</v>
      </c>
      <c r="B800" s="1">
        <f>DATE(2011,7,5) + TIME(6,38,25)</f>
        <v>40729.276678240742</v>
      </c>
      <c r="C800">
        <v>80</v>
      </c>
      <c r="D800">
        <v>79.931930542000003</v>
      </c>
      <c r="E800">
        <v>50</v>
      </c>
      <c r="F800">
        <v>43.932689666999998</v>
      </c>
      <c r="G800">
        <v>1379.5576172000001</v>
      </c>
      <c r="H800">
        <v>1366.7390137</v>
      </c>
      <c r="I800">
        <v>1289.2111815999999</v>
      </c>
      <c r="J800">
        <v>1271.0477295000001</v>
      </c>
      <c r="K800">
        <v>2200</v>
      </c>
      <c r="L800">
        <v>0</v>
      </c>
      <c r="M800">
        <v>0</v>
      </c>
      <c r="N800">
        <v>2200</v>
      </c>
    </row>
    <row r="801" spans="1:14" x14ac:dyDescent="0.25">
      <c r="A801">
        <v>431.38669499999997</v>
      </c>
      <c r="B801" s="1">
        <f>DATE(2011,7,6) + TIME(9,16,50)</f>
        <v>40730.386689814812</v>
      </c>
      <c r="C801">
        <v>80</v>
      </c>
      <c r="D801">
        <v>79.931968689000001</v>
      </c>
      <c r="E801">
        <v>50</v>
      </c>
      <c r="F801">
        <v>43.844154357999997</v>
      </c>
      <c r="G801">
        <v>1379.4971923999999</v>
      </c>
      <c r="H801">
        <v>1366.6872559000001</v>
      </c>
      <c r="I801">
        <v>1289.1508789</v>
      </c>
      <c r="J801">
        <v>1270.9587402</v>
      </c>
      <c r="K801">
        <v>2200</v>
      </c>
      <c r="L801">
        <v>0</v>
      </c>
      <c r="M801">
        <v>0</v>
      </c>
      <c r="N801">
        <v>2200</v>
      </c>
    </row>
    <row r="802" spans="1:14" x14ac:dyDescent="0.25">
      <c r="A802">
        <v>432.51831800000002</v>
      </c>
      <c r="B802" s="1">
        <f>DATE(2011,7,7) + TIME(12,26,22)</f>
        <v>40731.518310185187</v>
      </c>
      <c r="C802">
        <v>80</v>
      </c>
      <c r="D802">
        <v>79.932006835999999</v>
      </c>
      <c r="E802">
        <v>50</v>
      </c>
      <c r="F802">
        <v>43.753532409999998</v>
      </c>
      <c r="G802">
        <v>1379.4365233999999</v>
      </c>
      <c r="H802">
        <v>1366.6352539</v>
      </c>
      <c r="I802">
        <v>1289.088501</v>
      </c>
      <c r="J802">
        <v>1270.8665771000001</v>
      </c>
      <c r="K802">
        <v>2200</v>
      </c>
      <c r="L802">
        <v>0</v>
      </c>
      <c r="M802">
        <v>0</v>
      </c>
      <c r="N802">
        <v>2200</v>
      </c>
    </row>
    <row r="803" spans="1:14" x14ac:dyDescent="0.25">
      <c r="A803">
        <v>433.67172099999999</v>
      </c>
      <c r="B803" s="1">
        <f>DATE(2011,7,8) + TIME(16,7,16)</f>
        <v>40732.671712962961</v>
      </c>
      <c r="C803">
        <v>80</v>
      </c>
      <c r="D803">
        <v>79.932052612000007</v>
      </c>
      <c r="E803">
        <v>50</v>
      </c>
      <c r="F803">
        <v>43.660762787000003</v>
      </c>
      <c r="G803">
        <v>1379.3756103999999</v>
      </c>
      <c r="H803">
        <v>1366.5828856999999</v>
      </c>
      <c r="I803">
        <v>1289.0238036999999</v>
      </c>
      <c r="J803">
        <v>1270.7706298999999</v>
      </c>
      <c r="K803">
        <v>2200</v>
      </c>
      <c r="L803">
        <v>0</v>
      </c>
      <c r="M803">
        <v>0</v>
      </c>
      <c r="N803">
        <v>2200</v>
      </c>
    </row>
    <row r="804" spans="1:14" x14ac:dyDescent="0.25">
      <c r="A804">
        <v>434.83491400000003</v>
      </c>
      <c r="B804" s="1">
        <f>DATE(2011,7,9) + TIME(20,2,16)</f>
        <v>40733.834907407407</v>
      </c>
      <c r="C804">
        <v>80</v>
      </c>
      <c r="D804">
        <v>79.932090759000005</v>
      </c>
      <c r="E804">
        <v>50</v>
      </c>
      <c r="F804">
        <v>43.566242217999999</v>
      </c>
      <c r="G804">
        <v>1379.3142089999999</v>
      </c>
      <c r="H804">
        <v>1366.5301514</v>
      </c>
      <c r="I804">
        <v>1288.9569091999999</v>
      </c>
      <c r="J804">
        <v>1270.6711425999999</v>
      </c>
      <c r="K804">
        <v>2200</v>
      </c>
      <c r="L804">
        <v>0</v>
      </c>
      <c r="M804">
        <v>0</v>
      </c>
      <c r="N804">
        <v>2200</v>
      </c>
    </row>
    <row r="805" spans="1:14" x14ac:dyDescent="0.25">
      <c r="A805">
        <v>436.009254</v>
      </c>
      <c r="B805" s="1">
        <f>DATE(2011,7,11) + TIME(0,13,19)</f>
        <v>40735.009247685186</v>
      </c>
      <c r="C805">
        <v>80</v>
      </c>
      <c r="D805">
        <v>79.932136536000002</v>
      </c>
      <c r="E805">
        <v>50</v>
      </c>
      <c r="F805">
        <v>43.470165252999998</v>
      </c>
      <c r="G805">
        <v>1379.2530518000001</v>
      </c>
      <c r="H805">
        <v>1366.4775391000001</v>
      </c>
      <c r="I805">
        <v>1288.8884277</v>
      </c>
      <c r="J805">
        <v>1270.5686035000001</v>
      </c>
      <c r="K805">
        <v>2200</v>
      </c>
      <c r="L805">
        <v>0</v>
      </c>
      <c r="M805">
        <v>0</v>
      </c>
      <c r="N805">
        <v>2200</v>
      </c>
    </row>
    <row r="806" spans="1:14" x14ac:dyDescent="0.25">
      <c r="A806">
        <v>437.19766600000003</v>
      </c>
      <c r="B806" s="1">
        <f>DATE(2011,7,12) + TIME(4,44,38)</f>
        <v>40736.197662037041</v>
      </c>
      <c r="C806">
        <v>80</v>
      </c>
      <c r="D806">
        <v>79.932182311999995</v>
      </c>
      <c r="E806">
        <v>50</v>
      </c>
      <c r="F806">
        <v>43.372482300000001</v>
      </c>
      <c r="G806">
        <v>1379.1921387</v>
      </c>
      <c r="H806">
        <v>1366.4251709</v>
      </c>
      <c r="I806">
        <v>1288.8181152</v>
      </c>
      <c r="J806">
        <v>1270.4630127</v>
      </c>
      <c r="K806">
        <v>2200</v>
      </c>
      <c r="L806">
        <v>0</v>
      </c>
      <c r="M806">
        <v>0</v>
      </c>
      <c r="N806">
        <v>2200</v>
      </c>
    </row>
    <row r="807" spans="1:14" x14ac:dyDescent="0.25">
      <c r="A807">
        <v>438.39698099999998</v>
      </c>
      <c r="B807" s="1">
        <f>DATE(2011,7,13) + TIME(9,31,39)</f>
        <v>40737.396979166668</v>
      </c>
      <c r="C807">
        <v>80</v>
      </c>
      <c r="D807">
        <v>79.932220459000007</v>
      </c>
      <c r="E807">
        <v>50</v>
      </c>
      <c r="F807">
        <v>43.273242949999997</v>
      </c>
      <c r="G807">
        <v>1379.1313477000001</v>
      </c>
      <c r="H807">
        <v>1366.3728027</v>
      </c>
      <c r="I807">
        <v>1288.7458495999999</v>
      </c>
      <c r="J807">
        <v>1270.3542480000001</v>
      </c>
      <c r="K807">
        <v>2200</v>
      </c>
      <c r="L807">
        <v>0</v>
      </c>
      <c r="M807">
        <v>0</v>
      </c>
      <c r="N807">
        <v>2200</v>
      </c>
    </row>
    <row r="808" spans="1:14" x14ac:dyDescent="0.25">
      <c r="A808">
        <v>439.60986400000002</v>
      </c>
      <c r="B808" s="1">
        <f>DATE(2011,7,14) + TIME(14,38,12)</f>
        <v>40738.609861111108</v>
      </c>
      <c r="C808">
        <v>80</v>
      </c>
      <c r="D808">
        <v>79.932273864999999</v>
      </c>
      <c r="E808">
        <v>50</v>
      </c>
      <c r="F808">
        <v>43.172378539999997</v>
      </c>
      <c r="G808">
        <v>1379.0706786999999</v>
      </c>
      <c r="H808">
        <v>1366.3205565999999</v>
      </c>
      <c r="I808">
        <v>1288.671875</v>
      </c>
      <c r="J808">
        <v>1270.2423096</v>
      </c>
      <c r="K808">
        <v>2200</v>
      </c>
      <c r="L808">
        <v>0</v>
      </c>
      <c r="M808">
        <v>0</v>
      </c>
      <c r="N808">
        <v>2200</v>
      </c>
    </row>
    <row r="809" spans="1:14" x14ac:dyDescent="0.25">
      <c r="A809">
        <v>440.833798</v>
      </c>
      <c r="B809" s="1">
        <f>DATE(2011,7,15) + TIME(20,0,40)</f>
        <v>40739.833796296298</v>
      </c>
      <c r="C809">
        <v>80</v>
      </c>
      <c r="D809">
        <v>79.932319641000007</v>
      </c>
      <c r="E809">
        <v>50</v>
      </c>
      <c r="F809">
        <v>43.069904327000003</v>
      </c>
      <c r="G809">
        <v>1379.0101318</v>
      </c>
      <c r="H809">
        <v>1366.2683105000001</v>
      </c>
      <c r="I809">
        <v>1288.5959473</v>
      </c>
      <c r="J809">
        <v>1270.1270752</v>
      </c>
      <c r="K809">
        <v>2200</v>
      </c>
      <c r="L809">
        <v>0</v>
      </c>
      <c r="M809">
        <v>0</v>
      </c>
      <c r="N809">
        <v>2200</v>
      </c>
    </row>
    <row r="810" spans="1:14" x14ac:dyDescent="0.25">
      <c r="A810">
        <v>442.07063900000003</v>
      </c>
      <c r="B810" s="1">
        <f>DATE(2011,7,17) + TIME(1,41,43)</f>
        <v>40741.070636574077</v>
      </c>
      <c r="C810">
        <v>80</v>
      </c>
      <c r="D810">
        <v>79.932365417</v>
      </c>
      <c r="E810">
        <v>50</v>
      </c>
      <c r="F810">
        <v>42.965766907000003</v>
      </c>
      <c r="G810">
        <v>1378.9498291</v>
      </c>
      <c r="H810">
        <v>1366.2161865</v>
      </c>
      <c r="I810">
        <v>1288.5183105000001</v>
      </c>
      <c r="J810">
        <v>1270.0085449000001</v>
      </c>
      <c r="K810">
        <v>2200</v>
      </c>
      <c r="L810">
        <v>0</v>
      </c>
      <c r="M810">
        <v>0</v>
      </c>
      <c r="N810">
        <v>2200</v>
      </c>
    </row>
    <row r="811" spans="1:14" x14ac:dyDescent="0.25">
      <c r="A811">
        <v>443.32340799999997</v>
      </c>
      <c r="B811" s="1">
        <f>DATE(2011,7,18) + TIME(7,45,42)</f>
        <v>40742.32340277778</v>
      </c>
      <c r="C811">
        <v>80</v>
      </c>
      <c r="D811">
        <v>79.932418823000006</v>
      </c>
      <c r="E811">
        <v>50</v>
      </c>
      <c r="F811">
        <v>42.859783172999997</v>
      </c>
      <c r="G811">
        <v>1378.8895264</v>
      </c>
      <c r="H811">
        <v>1366.1641846</v>
      </c>
      <c r="I811">
        <v>1288.4385986</v>
      </c>
      <c r="J811">
        <v>1269.8865966999999</v>
      </c>
      <c r="K811">
        <v>2200</v>
      </c>
      <c r="L811">
        <v>0</v>
      </c>
      <c r="M811">
        <v>0</v>
      </c>
      <c r="N811">
        <v>2200</v>
      </c>
    </row>
    <row r="812" spans="1:14" x14ac:dyDescent="0.25">
      <c r="A812">
        <v>444.59526899999997</v>
      </c>
      <c r="B812" s="1">
        <f>DATE(2011,7,19) + TIME(14,17,11)</f>
        <v>40743.595266203702</v>
      </c>
      <c r="C812">
        <v>80</v>
      </c>
      <c r="D812">
        <v>79.932464600000003</v>
      </c>
      <c r="E812">
        <v>50</v>
      </c>
      <c r="F812">
        <v>42.751705170000001</v>
      </c>
      <c r="G812">
        <v>1378.8293457</v>
      </c>
      <c r="H812">
        <v>1366.1120605000001</v>
      </c>
      <c r="I812">
        <v>1288.3568115</v>
      </c>
      <c r="J812">
        <v>1269.7608643000001</v>
      </c>
      <c r="K812">
        <v>2200</v>
      </c>
      <c r="L812">
        <v>0</v>
      </c>
      <c r="M812">
        <v>0</v>
      </c>
      <c r="N812">
        <v>2200</v>
      </c>
    </row>
    <row r="813" spans="1:14" x14ac:dyDescent="0.25">
      <c r="A813">
        <v>445.883016</v>
      </c>
      <c r="B813" s="1">
        <f>DATE(2011,7,20) + TIME(21,11,32)</f>
        <v>40744.883009259262</v>
      </c>
      <c r="C813">
        <v>80</v>
      </c>
      <c r="D813">
        <v>79.932518005000006</v>
      </c>
      <c r="E813">
        <v>50</v>
      </c>
      <c r="F813">
        <v>42.641483307000001</v>
      </c>
      <c r="G813">
        <v>1378.7687988</v>
      </c>
      <c r="H813">
        <v>1366.0596923999999</v>
      </c>
      <c r="I813">
        <v>1288.2727050999999</v>
      </c>
      <c r="J813">
        <v>1269.6311035000001</v>
      </c>
      <c r="K813">
        <v>2200</v>
      </c>
      <c r="L813">
        <v>0</v>
      </c>
      <c r="M813">
        <v>0</v>
      </c>
      <c r="N813">
        <v>2200</v>
      </c>
    </row>
    <row r="814" spans="1:14" x14ac:dyDescent="0.25">
      <c r="A814">
        <v>447.18862000000001</v>
      </c>
      <c r="B814" s="1">
        <f>DATE(2011,7,22) + TIME(4,31,36)</f>
        <v>40746.188611111109</v>
      </c>
      <c r="C814">
        <v>80</v>
      </c>
      <c r="D814">
        <v>79.932571410999998</v>
      </c>
      <c r="E814">
        <v>50</v>
      </c>
      <c r="F814">
        <v>42.529029846</v>
      </c>
      <c r="G814">
        <v>1378.708374</v>
      </c>
      <c r="H814">
        <v>1366.0073242000001</v>
      </c>
      <c r="I814">
        <v>1288.1865233999999</v>
      </c>
      <c r="J814">
        <v>1269.4974365</v>
      </c>
      <c r="K814">
        <v>2200</v>
      </c>
      <c r="L814">
        <v>0</v>
      </c>
      <c r="M814">
        <v>0</v>
      </c>
      <c r="N814">
        <v>2200</v>
      </c>
    </row>
    <row r="815" spans="1:14" x14ac:dyDescent="0.25">
      <c r="A815">
        <v>448.50874299999998</v>
      </c>
      <c r="B815" s="1">
        <f>DATE(2011,7,23) + TIME(12,12,35)</f>
        <v>40747.508738425924</v>
      </c>
      <c r="C815">
        <v>80</v>
      </c>
      <c r="D815">
        <v>79.932624817000004</v>
      </c>
      <c r="E815">
        <v>50</v>
      </c>
      <c r="F815">
        <v>42.414390564000001</v>
      </c>
      <c r="G815">
        <v>1378.6478271000001</v>
      </c>
      <c r="H815">
        <v>1365.9548339999999</v>
      </c>
      <c r="I815">
        <v>1288.0979004000001</v>
      </c>
      <c r="J815">
        <v>1269.3597411999999</v>
      </c>
      <c r="K815">
        <v>2200</v>
      </c>
      <c r="L815">
        <v>0</v>
      </c>
      <c r="M815">
        <v>0</v>
      </c>
      <c r="N815">
        <v>2200</v>
      </c>
    </row>
    <row r="816" spans="1:14" x14ac:dyDescent="0.25">
      <c r="A816">
        <v>449.83563500000002</v>
      </c>
      <c r="B816" s="1">
        <f>DATE(2011,7,24) + TIME(20,3,18)</f>
        <v>40748.835625</v>
      </c>
      <c r="C816">
        <v>80</v>
      </c>
      <c r="D816">
        <v>79.932685852000006</v>
      </c>
      <c r="E816">
        <v>50</v>
      </c>
      <c r="F816">
        <v>42.297897339000002</v>
      </c>
      <c r="G816">
        <v>1378.5872803</v>
      </c>
      <c r="H816">
        <v>1365.9022216999999</v>
      </c>
      <c r="I816">
        <v>1288.0072021000001</v>
      </c>
      <c r="J816">
        <v>1269.2181396000001</v>
      </c>
      <c r="K816">
        <v>2200</v>
      </c>
      <c r="L816">
        <v>0</v>
      </c>
      <c r="M816">
        <v>0</v>
      </c>
      <c r="N816">
        <v>2200</v>
      </c>
    </row>
    <row r="817" spans="1:14" x14ac:dyDescent="0.25">
      <c r="A817">
        <v>451.17191800000001</v>
      </c>
      <c r="B817" s="1">
        <f>DATE(2011,7,26) + TIME(4,7,33)</f>
        <v>40750.171909722223</v>
      </c>
      <c r="C817">
        <v>80</v>
      </c>
      <c r="D817">
        <v>79.932739257999998</v>
      </c>
      <c r="E817">
        <v>50</v>
      </c>
      <c r="F817">
        <v>42.1796875</v>
      </c>
      <c r="G817">
        <v>1378.5270995999999</v>
      </c>
      <c r="H817">
        <v>1365.8499756000001</v>
      </c>
      <c r="I817">
        <v>1287.9149170000001</v>
      </c>
      <c r="J817">
        <v>1269.0734863</v>
      </c>
      <c r="K817">
        <v>2200</v>
      </c>
      <c r="L817">
        <v>0</v>
      </c>
      <c r="M817">
        <v>0</v>
      </c>
      <c r="N817">
        <v>2200</v>
      </c>
    </row>
    <row r="818" spans="1:14" x14ac:dyDescent="0.25">
      <c r="A818">
        <v>452.520668</v>
      </c>
      <c r="B818" s="1">
        <f>DATE(2011,7,27) + TIME(12,29,45)</f>
        <v>40751.52065972222</v>
      </c>
      <c r="C818">
        <v>80</v>
      </c>
      <c r="D818">
        <v>79.932792664000004</v>
      </c>
      <c r="E818">
        <v>50</v>
      </c>
      <c r="F818">
        <v>42.059661865000002</v>
      </c>
      <c r="G818">
        <v>1378.4672852000001</v>
      </c>
      <c r="H818">
        <v>1365.7978516000001</v>
      </c>
      <c r="I818">
        <v>1287.8210449000001</v>
      </c>
      <c r="J818">
        <v>1268.9254149999999</v>
      </c>
      <c r="K818">
        <v>2200</v>
      </c>
      <c r="L818">
        <v>0</v>
      </c>
      <c r="M818">
        <v>0</v>
      </c>
      <c r="N818">
        <v>2200</v>
      </c>
    </row>
    <row r="819" spans="1:14" x14ac:dyDescent="0.25">
      <c r="A819">
        <v>453.88505099999998</v>
      </c>
      <c r="B819" s="1">
        <f>DATE(2011,7,28) + TIME(21,14,28)</f>
        <v>40752.885046296295</v>
      </c>
      <c r="C819">
        <v>80</v>
      </c>
      <c r="D819">
        <v>79.932853699000006</v>
      </c>
      <c r="E819">
        <v>50</v>
      </c>
      <c r="F819">
        <v>41.937614441000001</v>
      </c>
      <c r="G819">
        <v>1378.4074707</v>
      </c>
      <c r="H819">
        <v>1365.7458495999999</v>
      </c>
      <c r="I819">
        <v>1287.7252197</v>
      </c>
      <c r="J819">
        <v>1268.7736815999999</v>
      </c>
      <c r="K819">
        <v>2200</v>
      </c>
      <c r="L819">
        <v>0</v>
      </c>
      <c r="M819">
        <v>0</v>
      </c>
      <c r="N819">
        <v>2200</v>
      </c>
    </row>
    <row r="820" spans="1:14" x14ac:dyDescent="0.25">
      <c r="A820">
        <v>455.26840600000003</v>
      </c>
      <c r="B820" s="1">
        <f>DATE(2011,7,30) + TIME(6,26,30)</f>
        <v>40754.26840277778</v>
      </c>
      <c r="C820">
        <v>80</v>
      </c>
      <c r="D820">
        <v>79.932914733999993</v>
      </c>
      <c r="E820">
        <v>50</v>
      </c>
      <c r="F820">
        <v>41.813274384000003</v>
      </c>
      <c r="G820">
        <v>1378.3477783000001</v>
      </c>
      <c r="H820">
        <v>1365.6938477000001</v>
      </c>
      <c r="I820">
        <v>1287.6271973</v>
      </c>
      <c r="J820">
        <v>1268.6180420000001</v>
      </c>
      <c r="K820">
        <v>2200</v>
      </c>
      <c r="L820">
        <v>0</v>
      </c>
      <c r="M820">
        <v>0</v>
      </c>
      <c r="N820">
        <v>2200</v>
      </c>
    </row>
    <row r="821" spans="1:14" x14ac:dyDescent="0.25">
      <c r="A821">
        <v>456.67424099999999</v>
      </c>
      <c r="B821" s="1">
        <f>DATE(2011,7,31) + TIME(16,10,54)</f>
        <v>40755.67423611111</v>
      </c>
      <c r="C821">
        <v>80</v>
      </c>
      <c r="D821">
        <v>79.932975768999995</v>
      </c>
      <c r="E821">
        <v>50</v>
      </c>
      <c r="F821">
        <v>41.686344147</v>
      </c>
      <c r="G821">
        <v>1378.2878418</v>
      </c>
      <c r="H821">
        <v>1365.6416016000001</v>
      </c>
      <c r="I821">
        <v>1287.5269774999999</v>
      </c>
      <c r="J821">
        <v>1268.4580077999999</v>
      </c>
      <c r="K821">
        <v>2200</v>
      </c>
      <c r="L821">
        <v>0</v>
      </c>
      <c r="M821">
        <v>0</v>
      </c>
      <c r="N821">
        <v>2200</v>
      </c>
    </row>
    <row r="822" spans="1:14" x14ac:dyDescent="0.25">
      <c r="A822">
        <v>457</v>
      </c>
      <c r="B822" s="1">
        <f>DATE(2011,8,1) + TIME(0,0,0)</f>
        <v>40756</v>
      </c>
      <c r="C822">
        <v>80</v>
      </c>
      <c r="D822">
        <v>79.932975768999995</v>
      </c>
      <c r="E822">
        <v>50</v>
      </c>
      <c r="F822">
        <v>41.631729126000003</v>
      </c>
      <c r="G822">
        <v>1378.2277832</v>
      </c>
      <c r="H822">
        <v>1365.5892334</v>
      </c>
      <c r="I822">
        <v>1287.4279785000001</v>
      </c>
      <c r="J822">
        <v>1268.3251952999999</v>
      </c>
      <c r="K822">
        <v>2200</v>
      </c>
      <c r="L822">
        <v>0</v>
      </c>
      <c r="M822">
        <v>0</v>
      </c>
      <c r="N822">
        <v>2200</v>
      </c>
    </row>
    <row r="823" spans="1:14" x14ac:dyDescent="0.25">
      <c r="A823">
        <v>458.43206900000001</v>
      </c>
      <c r="B823" s="1">
        <f>DATE(2011,8,2) + TIME(10,22,10)</f>
        <v>40757.432060185187</v>
      </c>
      <c r="C823">
        <v>80</v>
      </c>
      <c r="D823">
        <v>79.933044433999996</v>
      </c>
      <c r="E823">
        <v>50</v>
      </c>
      <c r="F823">
        <v>41.516269684000001</v>
      </c>
      <c r="G823">
        <v>1378.2133789</v>
      </c>
      <c r="H823">
        <v>1365.5765381000001</v>
      </c>
      <c r="I823">
        <v>1287.3978271000001</v>
      </c>
      <c r="J823">
        <v>1268.2470702999999</v>
      </c>
      <c r="K823">
        <v>2200</v>
      </c>
      <c r="L823">
        <v>0</v>
      </c>
      <c r="M823">
        <v>0</v>
      </c>
      <c r="N823">
        <v>2200</v>
      </c>
    </row>
    <row r="824" spans="1:14" x14ac:dyDescent="0.25">
      <c r="A824">
        <v>459.87876299999999</v>
      </c>
      <c r="B824" s="1">
        <f>DATE(2011,8,3) + TIME(21,5,25)</f>
        <v>40758.878761574073</v>
      </c>
      <c r="C824">
        <v>80</v>
      </c>
      <c r="D824">
        <v>79.933113098000007</v>
      </c>
      <c r="E824">
        <v>50</v>
      </c>
      <c r="F824">
        <v>41.389465332</v>
      </c>
      <c r="G824">
        <v>1378.1531981999999</v>
      </c>
      <c r="H824">
        <v>1365.5239257999999</v>
      </c>
      <c r="I824">
        <v>1287.2937012</v>
      </c>
      <c r="J824">
        <v>1268.0812988</v>
      </c>
      <c r="K824">
        <v>2200</v>
      </c>
      <c r="L824">
        <v>0</v>
      </c>
      <c r="M824">
        <v>0</v>
      </c>
      <c r="N824">
        <v>2200</v>
      </c>
    </row>
    <row r="825" spans="1:14" x14ac:dyDescent="0.25">
      <c r="A825">
        <v>461.33839999999998</v>
      </c>
      <c r="B825" s="1">
        <f>DATE(2011,8,5) + TIME(8,7,17)</f>
        <v>40760.338391203702</v>
      </c>
      <c r="C825">
        <v>80</v>
      </c>
      <c r="D825">
        <v>79.933174132999994</v>
      </c>
      <c r="E825">
        <v>50</v>
      </c>
      <c r="F825">
        <v>41.256824493000003</v>
      </c>
      <c r="G825">
        <v>1378.0926514</v>
      </c>
      <c r="H825">
        <v>1365.4709473</v>
      </c>
      <c r="I825">
        <v>1287.1866454999999</v>
      </c>
      <c r="J825">
        <v>1267.9086914</v>
      </c>
      <c r="K825">
        <v>2200</v>
      </c>
      <c r="L825">
        <v>0</v>
      </c>
      <c r="M825">
        <v>0</v>
      </c>
      <c r="N825">
        <v>2200</v>
      </c>
    </row>
    <row r="826" spans="1:14" x14ac:dyDescent="0.25">
      <c r="A826">
        <v>462.81458099999998</v>
      </c>
      <c r="B826" s="1">
        <f>DATE(2011,8,6) + TIME(19,32,59)</f>
        <v>40761.814571759256</v>
      </c>
      <c r="C826">
        <v>80</v>
      </c>
      <c r="D826">
        <v>79.933242797999995</v>
      </c>
      <c r="E826">
        <v>50</v>
      </c>
      <c r="F826">
        <v>41.120525360000002</v>
      </c>
      <c r="G826">
        <v>1378.0322266000001</v>
      </c>
      <c r="H826">
        <v>1365.4179687999999</v>
      </c>
      <c r="I826">
        <v>1287.0775146000001</v>
      </c>
      <c r="J826">
        <v>1267.7313231999999</v>
      </c>
      <c r="K826">
        <v>2200</v>
      </c>
      <c r="L826">
        <v>0</v>
      </c>
      <c r="M826">
        <v>0</v>
      </c>
      <c r="N826">
        <v>2200</v>
      </c>
    </row>
    <row r="827" spans="1:14" x14ac:dyDescent="0.25">
      <c r="A827">
        <v>464.29629799999998</v>
      </c>
      <c r="B827" s="1">
        <f>DATE(2011,8,8) + TIME(7,6,40)</f>
        <v>40763.296296296299</v>
      </c>
      <c r="C827">
        <v>80</v>
      </c>
      <c r="D827">
        <v>79.933311462000006</v>
      </c>
      <c r="E827">
        <v>50</v>
      </c>
      <c r="F827">
        <v>40.981830596999998</v>
      </c>
      <c r="G827">
        <v>1377.9716797000001</v>
      </c>
      <c r="H827">
        <v>1365.3648682</v>
      </c>
      <c r="I827">
        <v>1286.9663086</v>
      </c>
      <c r="J827">
        <v>1267.5496826000001</v>
      </c>
      <c r="K827">
        <v>2200</v>
      </c>
      <c r="L827">
        <v>0</v>
      </c>
      <c r="M827">
        <v>0</v>
      </c>
      <c r="N827">
        <v>2200</v>
      </c>
    </row>
    <row r="828" spans="1:14" x14ac:dyDescent="0.25">
      <c r="A828">
        <v>465.78733999999997</v>
      </c>
      <c r="B828" s="1">
        <f>DATE(2011,8,9) + TIME(18,53,46)</f>
        <v>40764.78733796296</v>
      </c>
      <c r="C828">
        <v>80</v>
      </c>
      <c r="D828">
        <v>79.933372497999997</v>
      </c>
      <c r="E828">
        <v>50</v>
      </c>
      <c r="F828">
        <v>40.841377258000001</v>
      </c>
      <c r="G828">
        <v>1377.9116211</v>
      </c>
      <c r="H828">
        <v>1365.3121338000001</v>
      </c>
      <c r="I828">
        <v>1286.8540039</v>
      </c>
      <c r="J828">
        <v>1267.3651123</v>
      </c>
      <c r="K828">
        <v>2200</v>
      </c>
      <c r="L828">
        <v>0</v>
      </c>
      <c r="M828">
        <v>0</v>
      </c>
      <c r="N828">
        <v>2200</v>
      </c>
    </row>
    <row r="829" spans="1:14" x14ac:dyDescent="0.25">
      <c r="A829">
        <v>467.29127099999999</v>
      </c>
      <c r="B829" s="1">
        <f>DATE(2011,8,11) + TIME(6,59,25)</f>
        <v>40766.291261574072</v>
      </c>
      <c r="C829">
        <v>80</v>
      </c>
      <c r="D829">
        <v>79.933441161999994</v>
      </c>
      <c r="E829">
        <v>50</v>
      </c>
      <c r="F829">
        <v>40.699256896999998</v>
      </c>
      <c r="G829">
        <v>1377.8516846</v>
      </c>
      <c r="H829">
        <v>1365.2595214999999</v>
      </c>
      <c r="I829">
        <v>1286.7406006000001</v>
      </c>
      <c r="J829">
        <v>1267.1776123</v>
      </c>
      <c r="K829">
        <v>2200</v>
      </c>
      <c r="L829">
        <v>0</v>
      </c>
      <c r="M829">
        <v>0</v>
      </c>
      <c r="N829">
        <v>2200</v>
      </c>
    </row>
    <row r="830" spans="1:14" x14ac:dyDescent="0.25">
      <c r="A830">
        <v>468.81161600000001</v>
      </c>
      <c r="B830" s="1">
        <f>DATE(2011,8,12) + TIME(19,28,43)</f>
        <v>40767.811608796299</v>
      </c>
      <c r="C830">
        <v>80</v>
      </c>
      <c r="D830">
        <v>79.933509826999995</v>
      </c>
      <c r="E830">
        <v>50</v>
      </c>
      <c r="F830">
        <v>40.555397034000002</v>
      </c>
      <c r="G830">
        <v>1377.7918701000001</v>
      </c>
      <c r="H830">
        <v>1365.2069091999999</v>
      </c>
      <c r="I830">
        <v>1286.6257324000001</v>
      </c>
      <c r="J830">
        <v>1266.9866943</v>
      </c>
      <c r="K830">
        <v>2200</v>
      </c>
      <c r="L830">
        <v>0</v>
      </c>
      <c r="M830">
        <v>0</v>
      </c>
      <c r="N830">
        <v>2200</v>
      </c>
    </row>
    <row r="831" spans="1:14" x14ac:dyDescent="0.25">
      <c r="A831">
        <v>470.35205400000001</v>
      </c>
      <c r="B831" s="1">
        <f>DATE(2011,8,14) + TIME(8,26,57)</f>
        <v>40769.352048611108</v>
      </c>
      <c r="C831">
        <v>80</v>
      </c>
      <c r="D831">
        <v>79.933578491000006</v>
      </c>
      <c r="E831">
        <v>50</v>
      </c>
      <c r="F831">
        <v>40.409667968999997</v>
      </c>
      <c r="G831">
        <v>1377.7319336</v>
      </c>
      <c r="H831">
        <v>1365.1540527</v>
      </c>
      <c r="I831">
        <v>1286.5093993999999</v>
      </c>
      <c r="J831">
        <v>1266.7923584</v>
      </c>
      <c r="K831">
        <v>2200</v>
      </c>
      <c r="L831">
        <v>0</v>
      </c>
      <c r="M831">
        <v>0</v>
      </c>
      <c r="N831">
        <v>2200</v>
      </c>
    </row>
    <row r="832" spans="1:14" x14ac:dyDescent="0.25">
      <c r="A832">
        <v>471.916493</v>
      </c>
      <c r="B832" s="1">
        <f>DATE(2011,8,15) + TIME(21,59,44)</f>
        <v>40770.916481481479</v>
      </c>
      <c r="C832">
        <v>80</v>
      </c>
      <c r="D832">
        <v>79.933654785000002</v>
      </c>
      <c r="E832">
        <v>50</v>
      </c>
      <c r="F832">
        <v>40.261909484999997</v>
      </c>
      <c r="G832">
        <v>1377.6717529</v>
      </c>
      <c r="H832">
        <v>1365.1010742000001</v>
      </c>
      <c r="I832">
        <v>1286.3914795000001</v>
      </c>
      <c r="J832">
        <v>1266.5939940999999</v>
      </c>
      <c r="K832">
        <v>2200</v>
      </c>
      <c r="L832">
        <v>0</v>
      </c>
      <c r="M832">
        <v>0</v>
      </c>
      <c r="N832">
        <v>2200</v>
      </c>
    </row>
    <row r="833" spans="1:14" x14ac:dyDescent="0.25">
      <c r="A833">
        <v>473.50379700000002</v>
      </c>
      <c r="B833" s="1">
        <f>DATE(2011,8,17) + TIME(12,5,28)</f>
        <v>40772.503796296296</v>
      </c>
      <c r="C833">
        <v>80</v>
      </c>
      <c r="D833">
        <v>79.933723450000002</v>
      </c>
      <c r="E833">
        <v>50</v>
      </c>
      <c r="F833">
        <v>40.112087250000002</v>
      </c>
      <c r="G833">
        <v>1377.6112060999999</v>
      </c>
      <c r="H833">
        <v>1365.0476074000001</v>
      </c>
      <c r="I833">
        <v>1286.2716064000001</v>
      </c>
      <c r="J833">
        <v>1266.3917236</v>
      </c>
      <c r="K833">
        <v>2200</v>
      </c>
      <c r="L833">
        <v>0</v>
      </c>
      <c r="M833">
        <v>0</v>
      </c>
      <c r="N833">
        <v>2200</v>
      </c>
    </row>
    <row r="834" spans="1:14" x14ac:dyDescent="0.25">
      <c r="A834">
        <v>475.10175500000003</v>
      </c>
      <c r="B834" s="1">
        <f>DATE(2011,8,19) + TIME(2,26,31)</f>
        <v>40774.101747685185</v>
      </c>
      <c r="C834">
        <v>80</v>
      </c>
      <c r="D834">
        <v>79.933799743999998</v>
      </c>
      <c r="E834">
        <v>50</v>
      </c>
      <c r="F834">
        <v>39.960773467999999</v>
      </c>
      <c r="G834">
        <v>1377.5504149999999</v>
      </c>
      <c r="H834">
        <v>1364.9937743999999</v>
      </c>
      <c r="I834">
        <v>1286.1502685999999</v>
      </c>
      <c r="J834">
        <v>1266.1856689000001</v>
      </c>
      <c r="K834">
        <v>2200</v>
      </c>
      <c r="L834">
        <v>0</v>
      </c>
      <c r="M834">
        <v>0</v>
      </c>
      <c r="N834">
        <v>2200</v>
      </c>
    </row>
    <row r="835" spans="1:14" x14ac:dyDescent="0.25">
      <c r="A835">
        <v>476.71420699999999</v>
      </c>
      <c r="B835" s="1">
        <f>DATE(2011,8,20) + TIME(17,8,27)</f>
        <v>40775.714201388888</v>
      </c>
      <c r="C835">
        <v>80</v>
      </c>
      <c r="D835">
        <v>79.933876037999994</v>
      </c>
      <c r="E835">
        <v>50</v>
      </c>
      <c r="F835">
        <v>39.808486938000001</v>
      </c>
      <c r="G835">
        <v>1377.489624</v>
      </c>
      <c r="H835">
        <v>1364.9399414</v>
      </c>
      <c r="I835">
        <v>1286.0281981999999</v>
      </c>
      <c r="J835">
        <v>1265.9772949000001</v>
      </c>
      <c r="K835">
        <v>2200</v>
      </c>
      <c r="L835">
        <v>0</v>
      </c>
      <c r="M835">
        <v>0</v>
      </c>
      <c r="N835">
        <v>2200</v>
      </c>
    </row>
    <row r="836" spans="1:14" x14ac:dyDescent="0.25">
      <c r="A836">
        <v>478.34505100000001</v>
      </c>
      <c r="B836" s="1">
        <f>DATE(2011,8,22) + TIME(8,16,52)</f>
        <v>40777.345046296294</v>
      </c>
      <c r="C836">
        <v>80</v>
      </c>
      <c r="D836">
        <v>79.933944702000005</v>
      </c>
      <c r="E836">
        <v>50</v>
      </c>
      <c r="F836">
        <v>39.655300140000001</v>
      </c>
      <c r="G836">
        <v>1377.4288329999999</v>
      </c>
      <c r="H836">
        <v>1364.8861084</v>
      </c>
      <c r="I836">
        <v>1285.9055175999999</v>
      </c>
      <c r="J836">
        <v>1265.7664795000001</v>
      </c>
      <c r="K836">
        <v>2200</v>
      </c>
      <c r="L836">
        <v>0</v>
      </c>
      <c r="M836">
        <v>0</v>
      </c>
      <c r="N836">
        <v>2200</v>
      </c>
    </row>
    <row r="837" spans="1:14" x14ac:dyDescent="0.25">
      <c r="A837">
        <v>479.988337</v>
      </c>
      <c r="B837" s="1">
        <f>DATE(2011,8,23) + TIME(23,43,12)</f>
        <v>40778.988333333335</v>
      </c>
      <c r="C837">
        <v>80</v>
      </c>
      <c r="D837">
        <v>79.934020996000001</v>
      </c>
      <c r="E837">
        <v>50</v>
      </c>
      <c r="F837">
        <v>39.501552582000002</v>
      </c>
      <c r="G837">
        <v>1377.3679199000001</v>
      </c>
      <c r="H837">
        <v>1364.8320312000001</v>
      </c>
      <c r="I837">
        <v>1285.7822266000001</v>
      </c>
      <c r="J837">
        <v>1265.5533447</v>
      </c>
      <c r="K837">
        <v>2200</v>
      </c>
      <c r="L837">
        <v>0</v>
      </c>
      <c r="M837">
        <v>0</v>
      </c>
      <c r="N837">
        <v>2200</v>
      </c>
    </row>
    <row r="838" spans="1:14" x14ac:dyDescent="0.25">
      <c r="A838">
        <v>481.648619</v>
      </c>
      <c r="B838" s="1">
        <f>DATE(2011,8,25) + TIME(15,34,0)</f>
        <v>40780.648611111108</v>
      </c>
      <c r="C838">
        <v>80</v>
      </c>
      <c r="D838">
        <v>79.934104919000006</v>
      </c>
      <c r="E838">
        <v>50</v>
      </c>
      <c r="F838">
        <v>39.347564697000003</v>
      </c>
      <c r="G838">
        <v>1377.3068848</v>
      </c>
      <c r="H838">
        <v>1364.777832</v>
      </c>
      <c r="I838">
        <v>1285.6586914</v>
      </c>
      <c r="J838">
        <v>1265.338501</v>
      </c>
      <c r="K838">
        <v>2200</v>
      </c>
      <c r="L838">
        <v>0</v>
      </c>
      <c r="M838">
        <v>0</v>
      </c>
      <c r="N838">
        <v>2200</v>
      </c>
    </row>
    <row r="839" spans="1:14" x14ac:dyDescent="0.25">
      <c r="A839">
        <v>483.32100300000002</v>
      </c>
      <c r="B839" s="1">
        <f>DATE(2011,8,27) + TIME(7,42,14)</f>
        <v>40782.32099537037</v>
      </c>
      <c r="C839">
        <v>80</v>
      </c>
      <c r="D839">
        <v>79.934181213000002</v>
      </c>
      <c r="E839">
        <v>50</v>
      </c>
      <c r="F839">
        <v>39.193748474000003</v>
      </c>
      <c r="G839">
        <v>1377.2458495999999</v>
      </c>
      <c r="H839">
        <v>1364.7235106999999</v>
      </c>
      <c r="I839">
        <v>1285.5350341999999</v>
      </c>
      <c r="J839">
        <v>1265.1221923999999</v>
      </c>
      <c r="K839">
        <v>2200</v>
      </c>
      <c r="L839">
        <v>0</v>
      </c>
      <c r="M839">
        <v>0</v>
      </c>
      <c r="N839">
        <v>2200</v>
      </c>
    </row>
    <row r="840" spans="1:14" x14ac:dyDescent="0.25">
      <c r="A840">
        <v>485.01069000000001</v>
      </c>
      <c r="B840" s="1">
        <f>DATE(2011,8,29) + TIME(0,15,23)</f>
        <v>40784.010682870372</v>
      </c>
      <c r="C840">
        <v>80</v>
      </c>
      <c r="D840">
        <v>79.934257506999998</v>
      </c>
      <c r="E840">
        <v>50</v>
      </c>
      <c r="F840">
        <v>39.040470122999999</v>
      </c>
      <c r="G840">
        <v>1377.1846923999999</v>
      </c>
      <c r="H840">
        <v>1364.6690673999999</v>
      </c>
      <c r="I840">
        <v>1285.4118652</v>
      </c>
      <c r="J840">
        <v>1264.9050293</v>
      </c>
      <c r="K840">
        <v>2200</v>
      </c>
      <c r="L840">
        <v>0</v>
      </c>
      <c r="M840">
        <v>0</v>
      </c>
      <c r="N840">
        <v>2200</v>
      </c>
    </row>
    <row r="841" spans="1:14" x14ac:dyDescent="0.25">
      <c r="A841">
        <v>486.72220900000002</v>
      </c>
      <c r="B841" s="1">
        <f>DATE(2011,8,30) + TIME(17,19,58)</f>
        <v>40785.722199074073</v>
      </c>
      <c r="C841">
        <v>80</v>
      </c>
      <c r="D841">
        <v>79.934341431000007</v>
      </c>
      <c r="E841">
        <v>50</v>
      </c>
      <c r="F841">
        <v>38.887897490999997</v>
      </c>
      <c r="G841">
        <v>1377.1234131000001</v>
      </c>
      <c r="H841">
        <v>1364.6143798999999</v>
      </c>
      <c r="I841">
        <v>1285.2888184000001</v>
      </c>
      <c r="J841">
        <v>1264.6868896000001</v>
      </c>
      <c r="K841">
        <v>2200</v>
      </c>
      <c r="L841">
        <v>0</v>
      </c>
      <c r="M841">
        <v>0</v>
      </c>
      <c r="N841">
        <v>2200</v>
      </c>
    </row>
    <row r="842" spans="1:14" x14ac:dyDescent="0.25">
      <c r="A842">
        <v>488</v>
      </c>
      <c r="B842" s="1">
        <f>DATE(2011,9,1) + TIME(0,0,0)</f>
        <v>40787</v>
      </c>
      <c r="C842">
        <v>80</v>
      </c>
      <c r="D842">
        <v>79.934394835999996</v>
      </c>
      <c r="E842">
        <v>50</v>
      </c>
      <c r="F842">
        <v>38.753391266000001</v>
      </c>
      <c r="G842">
        <v>1377.0616454999999</v>
      </c>
      <c r="H842">
        <v>1364.5592041</v>
      </c>
      <c r="I842">
        <v>1285.1677245999999</v>
      </c>
      <c r="J842">
        <v>1264.4774170000001</v>
      </c>
      <c r="K842">
        <v>2200</v>
      </c>
      <c r="L842">
        <v>0</v>
      </c>
      <c r="M842">
        <v>0</v>
      </c>
      <c r="N842">
        <v>2200</v>
      </c>
    </row>
    <row r="843" spans="1:14" x14ac:dyDescent="0.25">
      <c r="A843">
        <v>489.73598399999997</v>
      </c>
      <c r="B843" s="1">
        <f>DATE(2011,9,2) + TIME(17,39,49)</f>
        <v>40788.735983796294</v>
      </c>
      <c r="C843">
        <v>80</v>
      </c>
      <c r="D843">
        <v>79.934478760000005</v>
      </c>
      <c r="E843">
        <v>50</v>
      </c>
      <c r="F843">
        <v>38.618003844999997</v>
      </c>
      <c r="G843">
        <v>1377.0159911999999</v>
      </c>
      <c r="H843">
        <v>1364.5183105000001</v>
      </c>
      <c r="I843">
        <v>1285.0736084</v>
      </c>
      <c r="J843">
        <v>1264.2989502</v>
      </c>
      <c r="K843">
        <v>2200</v>
      </c>
      <c r="L843">
        <v>0</v>
      </c>
      <c r="M843">
        <v>0</v>
      </c>
      <c r="N843">
        <v>2200</v>
      </c>
    </row>
    <row r="844" spans="1:14" x14ac:dyDescent="0.25">
      <c r="A844">
        <v>491.477439</v>
      </c>
      <c r="B844" s="1">
        <f>DATE(2011,9,4) + TIME(11,27,30)</f>
        <v>40790.477430555555</v>
      </c>
      <c r="C844">
        <v>80</v>
      </c>
      <c r="D844">
        <v>79.934562682999996</v>
      </c>
      <c r="E844">
        <v>50</v>
      </c>
      <c r="F844">
        <v>38.476104736000003</v>
      </c>
      <c r="G844">
        <v>1376.9543457</v>
      </c>
      <c r="H844">
        <v>1364.4631348</v>
      </c>
      <c r="I844">
        <v>1284.9547118999999</v>
      </c>
      <c r="J844">
        <v>1264.0861815999999</v>
      </c>
      <c r="K844">
        <v>2200</v>
      </c>
      <c r="L844">
        <v>0</v>
      </c>
      <c r="M844">
        <v>0</v>
      </c>
      <c r="N844">
        <v>2200</v>
      </c>
    </row>
    <row r="845" spans="1:14" x14ac:dyDescent="0.25">
      <c r="A845">
        <v>493.22927700000002</v>
      </c>
      <c r="B845" s="1">
        <f>DATE(2011,9,6) + TIME(5,30,9)</f>
        <v>40792.229270833333</v>
      </c>
      <c r="C845">
        <v>80</v>
      </c>
      <c r="D845">
        <v>79.934646606000001</v>
      </c>
      <c r="E845">
        <v>50</v>
      </c>
      <c r="F845">
        <v>38.334541321000003</v>
      </c>
      <c r="G845">
        <v>1376.8927002</v>
      </c>
      <c r="H845">
        <v>1364.4079589999999</v>
      </c>
      <c r="I845">
        <v>1284.8369141000001</v>
      </c>
      <c r="J845">
        <v>1263.8725586</v>
      </c>
      <c r="K845">
        <v>2200</v>
      </c>
      <c r="L845">
        <v>0</v>
      </c>
      <c r="M845">
        <v>0</v>
      </c>
      <c r="N845">
        <v>2200</v>
      </c>
    </row>
    <row r="846" spans="1:14" x14ac:dyDescent="0.25">
      <c r="A846">
        <v>494.99662599999999</v>
      </c>
      <c r="B846" s="1">
        <f>DATE(2011,9,7) + TIME(23,55,8)</f>
        <v>40793.996620370373</v>
      </c>
      <c r="C846">
        <v>80</v>
      </c>
      <c r="D846">
        <v>79.934730529999996</v>
      </c>
      <c r="E846">
        <v>50</v>
      </c>
      <c r="F846">
        <v>38.195945739999999</v>
      </c>
      <c r="G846">
        <v>1376.8311768000001</v>
      </c>
      <c r="H846">
        <v>1364.3526611</v>
      </c>
      <c r="I846">
        <v>1284.7208252</v>
      </c>
      <c r="J846">
        <v>1263.6602783000001</v>
      </c>
      <c r="K846">
        <v>2200</v>
      </c>
      <c r="L846">
        <v>0</v>
      </c>
      <c r="M846">
        <v>0</v>
      </c>
      <c r="N846">
        <v>2200</v>
      </c>
    </row>
    <row r="847" spans="1:14" x14ac:dyDescent="0.25">
      <c r="A847">
        <v>496.78466600000002</v>
      </c>
      <c r="B847" s="1">
        <f>DATE(2011,9,9) + TIME(18,49,55)</f>
        <v>40795.78466435185</v>
      </c>
      <c r="C847">
        <v>80</v>
      </c>
      <c r="D847">
        <v>79.934814453000001</v>
      </c>
      <c r="E847">
        <v>50</v>
      </c>
      <c r="F847">
        <v>38.061527251999998</v>
      </c>
      <c r="G847">
        <v>1376.7694091999999</v>
      </c>
      <c r="H847">
        <v>1364.2971190999999</v>
      </c>
      <c r="I847">
        <v>1284.6068115</v>
      </c>
      <c r="J847">
        <v>1263.4501952999999</v>
      </c>
      <c r="K847">
        <v>2200</v>
      </c>
      <c r="L847">
        <v>0</v>
      </c>
      <c r="M847">
        <v>0</v>
      </c>
      <c r="N847">
        <v>2200</v>
      </c>
    </row>
    <row r="848" spans="1:14" x14ac:dyDescent="0.25">
      <c r="A848">
        <v>498.57637299999999</v>
      </c>
      <c r="B848" s="1">
        <f>DATE(2011,9,11) + TIME(13,49,58)</f>
        <v>40797.576365740744</v>
      </c>
      <c r="C848">
        <v>80</v>
      </c>
      <c r="D848">
        <v>79.934898376000007</v>
      </c>
      <c r="E848">
        <v>50</v>
      </c>
      <c r="F848">
        <v>37.932632446</v>
      </c>
      <c r="G848">
        <v>1376.7073975000001</v>
      </c>
      <c r="H848">
        <v>1364.2412108999999</v>
      </c>
      <c r="I848">
        <v>1284.4949951000001</v>
      </c>
      <c r="J848">
        <v>1263.2430420000001</v>
      </c>
      <c r="K848">
        <v>2200</v>
      </c>
      <c r="L848">
        <v>0</v>
      </c>
      <c r="M848">
        <v>0</v>
      </c>
      <c r="N848">
        <v>2200</v>
      </c>
    </row>
    <row r="849" spans="1:14" x14ac:dyDescent="0.25">
      <c r="A849">
        <v>500.37391700000001</v>
      </c>
      <c r="B849" s="1">
        <f>DATE(2011,9,13) + TIME(8,58,26)</f>
        <v>40799.373912037037</v>
      </c>
      <c r="C849">
        <v>80</v>
      </c>
      <c r="D849">
        <v>79.934982300000001</v>
      </c>
      <c r="E849">
        <v>50</v>
      </c>
      <c r="F849">
        <v>37.810604095000002</v>
      </c>
      <c r="G849">
        <v>1376.6455077999999</v>
      </c>
      <c r="H849">
        <v>1364.1854248</v>
      </c>
      <c r="I849">
        <v>1284.3865966999999</v>
      </c>
      <c r="J849">
        <v>1263.0406493999999</v>
      </c>
      <c r="K849">
        <v>2200</v>
      </c>
      <c r="L849">
        <v>0</v>
      </c>
      <c r="M849">
        <v>0</v>
      </c>
      <c r="N849">
        <v>2200</v>
      </c>
    </row>
    <row r="850" spans="1:14" x14ac:dyDescent="0.25">
      <c r="A850">
        <v>502.18269099999998</v>
      </c>
      <c r="B850" s="1">
        <f>DATE(2011,9,15) + TIME(4,23,4)</f>
        <v>40801.182685185187</v>
      </c>
      <c r="C850">
        <v>80</v>
      </c>
      <c r="D850">
        <v>79.935066223000007</v>
      </c>
      <c r="E850">
        <v>50</v>
      </c>
      <c r="F850">
        <v>37.696308135999999</v>
      </c>
      <c r="G850">
        <v>1376.5837402</v>
      </c>
      <c r="H850">
        <v>1364.1296387</v>
      </c>
      <c r="I850">
        <v>1284.2818603999999</v>
      </c>
      <c r="J850">
        <v>1262.8438721</v>
      </c>
      <c r="K850">
        <v>2200</v>
      </c>
      <c r="L850">
        <v>0</v>
      </c>
      <c r="M850">
        <v>0</v>
      </c>
      <c r="N850">
        <v>2200</v>
      </c>
    </row>
    <row r="851" spans="1:14" x14ac:dyDescent="0.25">
      <c r="A851">
        <v>504.00988999999998</v>
      </c>
      <c r="B851" s="1">
        <f>DATE(2011,9,17) + TIME(0,14,14)</f>
        <v>40803.009884259256</v>
      </c>
      <c r="C851">
        <v>80</v>
      </c>
      <c r="D851">
        <v>79.935157775999997</v>
      </c>
      <c r="E851">
        <v>50</v>
      </c>
      <c r="F851">
        <v>37.590435028000002</v>
      </c>
      <c r="G851">
        <v>1376.5219727000001</v>
      </c>
      <c r="H851">
        <v>1364.0737305</v>
      </c>
      <c r="I851">
        <v>1284.1807861</v>
      </c>
      <c r="J851">
        <v>1262.652832</v>
      </c>
      <c r="K851">
        <v>2200</v>
      </c>
      <c r="L851">
        <v>0</v>
      </c>
      <c r="M851">
        <v>0</v>
      </c>
      <c r="N851">
        <v>2200</v>
      </c>
    </row>
    <row r="852" spans="1:14" x14ac:dyDescent="0.25">
      <c r="A852">
        <v>505.84620200000001</v>
      </c>
      <c r="B852" s="1">
        <f>DATE(2011,9,18) + TIME(20,18,31)</f>
        <v>40804.846192129633</v>
      </c>
      <c r="C852">
        <v>80</v>
      </c>
      <c r="D852">
        <v>79.935241699000002</v>
      </c>
      <c r="E852">
        <v>50</v>
      </c>
      <c r="F852">
        <v>37.493965148999997</v>
      </c>
      <c r="G852">
        <v>1376.4598389</v>
      </c>
      <c r="H852">
        <v>1364.0175781</v>
      </c>
      <c r="I852">
        <v>1284.0832519999999</v>
      </c>
      <c r="J852">
        <v>1262.4677733999999</v>
      </c>
      <c r="K852">
        <v>2200</v>
      </c>
      <c r="L852">
        <v>0</v>
      </c>
      <c r="M852">
        <v>0</v>
      </c>
      <c r="N852">
        <v>2200</v>
      </c>
    </row>
    <row r="853" spans="1:14" x14ac:dyDescent="0.25">
      <c r="A853">
        <v>507.69841700000001</v>
      </c>
      <c r="B853" s="1">
        <f>DATE(2011,9,20) + TIME(16,45,43)</f>
        <v>40806.698414351849</v>
      </c>
      <c r="C853">
        <v>80</v>
      </c>
      <c r="D853">
        <v>79.935333252000007</v>
      </c>
      <c r="E853">
        <v>50</v>
      </c>
      <c r="F853">
        <v>37.407962799000003</v>
      </c>
      <c r="G853">
        <v>1376.3978271000001</v>
      </c>
      <c r="H853">
        <v>1363.9613036999999</v>
      </c>
      <c r="I853">
        <v>1283.9899902</v>
      </c>
      <c r="J853">
        <v>1262.2899170000001</v>
      </c>
      <c r="K853">
        <v>2200</v>
      </c>
      <c r="L853">
        <v>0</v>
      </c>
      <c r="M853">
        <v>0</v>
      </c>
      <c r="N853">
        <v>2200</v>
      </c>
    </row>
    <row r="854" spans="1:14" x14ac:dyDescent="0.25">
      <c r="A854">
        <v>509.57471399999997</v>
      </c>
      <c r="B854" s="1">
        <f>DATE(2011,9,22) + TIME(13,47,35)</f>
        <v>40808.57471064815</v>
      </c>
      <c r="C854">
        <v>80</v>
      </c>
      <c r="D854">
        <v>79.935417174999998</v>
      </c>
      <c r="E854">
        <v>50</v>
      </c>
      <c r="F854">
        <v>37.333286285</v>
      </c>
      <c r="G854">
        <v>1376.3354492000001</v>
      </c>
      <c r="H854">
        <v>1363.9047852000001</v>
      </c>
      <c r="I854">
        <v>1283.9008789</v>
      </c>
      <c r="J854">
        <v>1262.1195068</v>
      </c>
      <c r="K854">
        <v>2200</v>
      </c>
      <c r="L854">
        <v>0</v>
      </c>
      <c r="M854">
        <v>0</v>
      </c>
      <c r="N854">
        <v>2200</v>
      </c>
    </row>
    <row r="855" spans="1:14" x14ac:dyDescent="0.25">
      <c r="A855">
        <v>511.48118799999997</v>
      </c>
      <c r="B855" s="1">
        <f>DATE(2011,9,24) + TIME(11,32,54)</f>
        <v>40810.481180555558</v>
      </c>
      <c r="C855">
        <v>80</v>
      </c>
      <c r="D855">
        <v>79.935508728000002</v>
      </c>
      <c r="E855">
        <v>50</v>
      </c>
      <c r="F855">
        <v>37.270874022999998</v>
      </c>
      <c r="G855">
        <v>1376.2728271000001</v>
      </c>
      <c r="H855">
        <v>1363.8476562000001</v>
      </c>
      <c r="I855">
        <v>1283.815918</v>
      </c>
      <c r="J855">
        <v>1261.956543</v>
      </c>
      <c r="K855">
        <v>2200</v>
      </c>
      <c r="L855">
        <v>0</v>
      </c>
      <c r="M855">
        <v>0</v>
      </c>
      <c r="N855">
        <v>2200</v>
      </c>
    </row>
    <row r="856" spans="1:14" x14ac:dyDescent="0.25">
      <c r="A856">
        <v>513.41830400000003</v>
      </c>
      <c r="B856" s="1">
        <f>DATE(2011,9,26) + TIME(10,2,21)</f>
        <v>40812.418298611112</v>
      </c>
      <c r="C856">
        <v>80</v>
      </c>
      <c r="D856">
        <v>79.935600281000006</v>
      </c>
      <c r="E856">
        <v>50</v>
      </c>
      <c r="F856">
        <v>37.221881865999997</v>
      </c>
      <c r="G856">
        <v>1376.2093506000001</v>
      </c>
      <c r="H856">
        <v>1363.7900391000001</v>
      </c>
      <c r="I856">
        <v>1283.7352295000001</v>
      </c>
      <c r="J856">
        <v>1261.8015137</v>
      </c>
      <c r="K856">
        <v>2200</v>
      </c>
      <c r="L856">
        <v>0</v>
      </c>
      <c r="M856">
        <v>0</v>
      </c>
      <c r="N856">
        <v>2200</v>
      </c>
    </row>
    <row r="857" spans="1:14" x14ac:dyDescent="0.25">
      <c r="A857">
        <v>515.35747200000003</v>
      </c>
      <c r="B857" s="1">
        <f>DATE(2011,9,28) + TIME(8,34,45)</f>
        <v>40814.357465277775</v>
      </c>
      <c r="C857">
        <v>80</v>
      </c>
      <c r="D857">
        <v>79.935691833000007</v>
      </c>
      <c r="E857">
        <v>50</v>
      </c>
      <c r="F857">
        <v>37.187763214</v>
      </c>
      <c r="G857">
        <v>1376.1453856999999</v>
      </c>
      <c r="H857">
        <v>1363.7316894999999</v>
      </c>
      <c r="I857">
        <v>1283.6590576000001</v>
      </c>
      <c r="J857">
        <v>1261.6555175999999</v>
      </c>
      <c r="K857">
        <v>2200</v>
      </c>
      <c r="L857">
        <v>0</v>
      </c>
      <c r="M857">
        <v>0</v>
      </c>
      <c r="N857">
        <v>2200</v>
      </c>
    </row>
    <row r="858" spans="1:14" x14ac:dyDescent="0.25">
      <c r="A858">
        <v>517.30483300000003</v>
      </c>
      <c r="B858" s="1">
        <f>DATE(2011,9,30) + TIME(7,18,57)</f>
        <v>40816.304826388892</v>
      </c>
      <c r="C858">
        <v>80</v>
      </c>
      <c r="D858">
        <v>79.935783385999997</v>
      </c>
      <c r="E858">
        <v>50</v>
      </c>
      <c r="F858">
        <v>37.169643401999998</v>
      </c>
      <c r="G858">
        <v>1376.0816649999999</v>
      </c>
      <c r="H858">
        <v>1363.6734618999999</v>
      </c>
      <c r="I858">
        <v>1283.588501</v>
      </c>
      <c r="J858">
        <v>1261.5206298999999</v>
      </c>
      <c r="K858">
        <v>2200</v>
      </c>
      <c r="L858">
        <v>0</v>
      </c>
      <c r="M858">
        <v>0</v>
      </c>
      <c r="N858">
        <v>2200</v>
      </c>
    </row>
    <row r="859" spans="1:14" x14ac:dyDescent="0.25">
      <c r="A859">
        <v>518</v>
      </c>
      <c r="B859" s="1">
        <f>DATE(2011,10,1) + TIME(0,0,0)</f>
        <v>40817</v>
      </c>
      <c r="C859">
        <v>80</v>
      </c>
      <c r="D859">
        <v>79.935806274000001</v>
      </c>
      <c r="E859">
        <v>50</v>
      </c>
      <c r="F859">
        <v>37.168788910000004</v>
      </c>
      <c r="G859">
        <v>1376.0183105000001</v>
      </c>
      <c r="H859">
        <v>1363.6156006000001</v>
      </c>
      <c r="I859">
        <v>1283.5360106999999</v>
      </c>
      <c r="J859">
        <v>1261.4183350000001</v>
      </c>
      <c r="K859">
        <v>2200</v>
      </c>
      <c r="L859">
        <v>0</v>
      </c>
      <c r="M859">
        <v>0</v>
      </c>
      <c r="N859">
        <v>2200</v>
      </c>
    </row>
    <row r="860" spans="1:14" x14ac:dyDescent="0.25">
      <c r="A860">
        <v>519.959566</v>
      </c>
      <c r="B860" s="1">
        <f>DATE(2011,10,2) + TIME(23,1,46)</f>
        <v>40818.959560185183</v>
      </c>
      <c r="C860">
        <v>80</v>
      </c>
      <c r="D860">
        <v>79.935913085999999</v>
      </c>
      <c r="E860">
        <v>50</v>
      </c>
      <c r="F860">
        <v>37.173568725999999</v>
      </c>
      <c r="G860">
        <v>1375.9952393000001</v>
      </c>
      <c r="H860">
        <v>1363.5943603999999</v>
      </c>
      <c r="I860">
        <v>1283.4979248</v>
      </c>
      <c r="J860">
        <v>1261.3500977000001</v>
      </c>
      <c r="K860">
        <v>2200</v>
      </c>
      <c r="L860">
        <v>0</v>
      </c>
      <c r="M860">
        <v>0</v>
      </c>
      <c r="N860">
        <v>2200</v>
      </c>
    </row>
    <row r="861" spans="1:14" x14ac:dyDescent="0.25">
      <c r="A861">
        <v>521.93334900000002</v>
      </c>
      <c r="B861" s="1">
        <f>DATE(2011,10,4) + TIME(22,24,1)</f>
        <v>40820.933344907404</v>
      </c>
      <c r="C861">
        <v>80</v>
      </c>
      <c r="D861">
        <v>79.936004639000004</v>
      </c>
      <c r="E861">
        <v>50</v>
      </c>
      <c r="F861">
        <v>37.195598601999997</v>
      </c>
      <c r="G861">
        <v>1375.9321289</v>
      </c>
      <c r="H861">
        <v>1363.5367432</v>
      </c>
      <c r="I861">
        <v>1283.4433594</v>
      </c>
      <c r="J861">
        <v>1261.2470702999999</v>
      </c>
      <c r="K861">
        <v>2200</v>
      </c>
      <c r="L861">
        <v>0</v>
      </c>
      <c r="M861">
        <v>0</v>
      </c>
      <c r="N861">
        <v>2200</v>
      </c>
    </row>
    <row r="862" spans="1:14" x14ac:dyDescent="0.25">
      <c r="A862">
        <v>523.92267900000002</v>
      </c>
      <c r="B862" s="1">
        <f>DATE(2011,10,6) + TIME(22,8,39)</f>
        <v>40822.922673611109</v>
      </c>
      <c r="C862">
        <v>80</v>
      </c>
      <c r="D862">
        <v>79.936103821000003</v>
      </c>
      <c r="E862">
        <v>50</v>
      </c>
      <c r="F862">
        <v>37.235374450999998</v>
      </c>
      <c r="G862">
        <v>1375.8686522999999</v>
      </c>
      <c r="H862">
        <v>1363.4786377</v>
      </c>
      <c r="I862">
        <v>1283.3920897999999</v>
      </c>
      <c r="J862">
        <v>1261.1524658000001</v>
      </c>
      <c r="K862">
        <v>2200</v>
      </c>
      <c r="L862">
        <v>0</v>
      </c>
      <c r="M862">
        <v>0</v>
      </c>
      <c r="N862">
        <v>2200</v>
      </c>
    </row>
    <row r="863" spans="1:14" x14ac:dyDescent="0.25">
      <c r="A863">
        <v>525.93668000000002</v>
      </c>
      <c r="B863" s="1">
        <f>DATE(2011,10,8) + TIME(22,28,49)</f>
        <v>40824.936678240738</v>
      </c>
      <c r="C863">
        <v>80</v>
      </c>
      <c r="D863">
        <v>79.936195373999993</v>
      </c>
      <c r="E863">
        <v>50</v>
      </c>
      <c r="F863">
        <v>37.293209075999997</v>
      </c>
      <c r="G863">
        <v>1375.8052978999999</v>
      </c>
      <c r="H863">
        <v>1363.4205322</v>
      </c>
      <c r="I863">
        <v>1283.3454589999999</v>
      </c>
      <c r="J863">
        <v>1261.0684814000001</v>
      </c>
      <c r="K863">
        <v>2200</v>
      </c>
      <c r="L863">
        <v>0</v>
      </c>
      <c r="M863">
        <v>0</v>
      </c>
      <c r="N863">
        <v>2200</v>
      </c>
    </row>
    <row r="864" spans="1:14" x14ac:dyDescent="0.25">
      <c r="A864">
        <v>527.98033899999996</v>
      </c>
      <c r="B864" s="1">
        <f>DATE(2011,10,10) + TIME(23,31,41)</f>
        <v>40826.98033564815</v>
      </c>
      <c r="C864">
        <v>80</v>
      </c>
      <c r="D864">
        <v>79.936294556000007</v>
      </c>
      <c r="E864">
        <v>50</v>
      </c>
      <c r="F864">
        <v>37.369411468999999</v>
      </c>
      <c r="G864">
        <v>1375.7416992000001</v>
      </c>
      <c r="H864">
        <v>1363.3621826000001</v>
      </c>
      <c r="I864">
        <v>1283.3037108999999</v>
      </c>
      <c r="J864">
        <v>1260.9956055</v>
      </c>
      <c r="K864">
        <v>2200</v>
      </c>
      <c r="L864">
        <v>0</v>
      </c>
      <c r="M864">
        <v>0</v>
      </c>
      <c r="N864">
        <v>2200</v>
      </c>
    </row>
    <row r="865" spans="1:14" x14ac:dyDescent="0.25">
      <c r="A865">
        <v>530.03417300000001</v>
      </c>
      <c r="B865" s="1">
        <f>DATE(2011,10,13) + TIME(0,49,12)</f>
        <v>40829.034166666665</v>
      </c>
      <c r="C865">
        <v>80</v>
      </c>
      <c r="D865">
        <v>79.936393738000007</v>
      </c>
      <c r="E865">
        <v>50</v>
      </c>
      <c r="F865">
        <v>37.463878631999997</v>
      </c>
      <c r="G865">
        <v>1375.6777344</v>
      </c>
      <c r="H865">
        <v>1363.3033447</v>
      </c>
      <c r="I865">
        <v>1283.2669678</v>
      </c>
      <c r="J865">
        <v>1260.9342041</v>
      </c>
      <c r="K865">
        <v>2200</v>
      </c>
      <c r="L865">
        <v>0</v>
      </c>
      <c r="M865">
        <v>0</v>
      </c>
      <c r="N865">
        <v>2200</v>
      </c>
    </row>
    <row r="866" spans="1:14" x14ac:dyDescent="0.25">
      <c r="A866">
        <v>532.10064799999998</v>
      </c>
      <c r="B866" s="1">
        <f>DATE(2011,10,15) + TIME(2,24,55)</f>
        <v>40831.100636574076</v>
      </c>
      <c r="C866">
        <v>80</v>
      </c>
      <c r="D866">
        <v>79.936492920000006</v>
      </c>
      <c r="E866">
        <v>50</v>
      </c>
      <c r="F866">
        <v>37.575843810999999</v>
      </c>
      <c r="G866">
        <v>1375.6140137</v>
      </c>
      <c r="H866">
        <v>1363.2448730000001</v>
      </c>
      <c r="I866">
        <v>1283.2353516000001</v>
      </c>
      <c r="J866">
        <v>1260.8843993999999</v>
      </c>
      <c r="K866">
        <v>2200</v>
      </c>
      <c r="L866">
        <v>0</v>
      </c>
      <c r="M866">
        <v>0</v>
      </c>
      <c r="N866">
        <v>2200</v>
      </c>
    </row>
    <row r="867" spans="1:14" x14ac:dyDescent="0.25">
      <c r="A867">
        <v>534.18654800000002</v>
      </c>
      <c r="B867" s="1">
        <f>DATE(2011,10,17) + TIME(4,28,37)</f>
        <v>40833.186539351853</v>
      </c>
      <c r="C867">
        <v>80</v>
      </c>
      <c r="D867">
        <v>79.936592102000006</v>
      </c>
      <c r="E867">
        <v>50</v>
      </c>
      <c r="F867">
        <v>37.704586028999998</v>
      </c>
      <c r="G867">
        <v>1375.5505370999999</v>
      </c>
      <c r="H867">
        <v>1363.1865233999999</v>
      </c>
      <c r="I867">
        <v>1283.2087402</v>
      </c>
      <c r="J867">
        <v>1260.8461914</v>
      </c>
      <c r="K867">
        <v>2200</v>
      </c>
      <c r="L867">
        <v>0</v>
      </c>
      <c r="M867">
        <v>0</v>
      </c>
      <c r="N867">
        <v>2200</v>
      </c>
    </row>
    <row r="868" spans="1:14" x14ac:dyDescent="0.25">
      <c r="A868">
        <v>536.29780600000004</v>
      </c>
      <c r="B868" s="1">
        <f>DATE(2011,10,19) + TIME(7,8,50)</f>
        <v>40835.297800925924</v>
      </c>
      <c r="C868">
        <v>80</v>
      </c>
      <c r="D868">
        <v>79.936691284000005</v>
      </c>
      <c r="E868">
        <v>50</v>
      </c>
      <c r="F868">
        <v>37.849491119</v>
      </c>
      <c r="G868">
        <v>1375.4873047000001</v>
      </c>
      <c r="H868">
        <v>1363.1282959</v>
      </c>
      <c r="I868">
        <v>1283.1867675999999</v>
      </c>
      <c r="J868">
        <v>1260.8187256000001</v>
      </c>
      <c r="K868">
        <v>2200</v>
      </c>
      <c r="L868">
        <v>0</v>
      </c>
      <c r="M868">
        <v>0</v>
      </c>
      <c r="N868">
        <v>2200</v>
      </c>
    </row>
    <row r="869" spans="1:14" x14ac:dyDescent="0.25">
      <c r="A869">
        <v>538.44194100000004</v>
      </c>
      <c r="B869" s="1">
        <f>DATE(2011,10,21) + TIME(10,36,23)</f>
        <v>40837.441932870373</v>
      </c>
      <c r="C869">
        <v>80</v>
      </c>
      <c r="D869">
        <v>79.936790466000005</v>
      </c>
      <c r="E869">
        <v>50</v>
      </c>
      <c r="F869">
        <v>38.009960175000003</v>
      </c>
      <c r="G869">
        <v>1375.4239502</v>
      </c>
      <c r="H869">
        <v>1363.0699463000001</v>
      </c>
      <c r="I869">
        <v>1283.1691894999999</v>
      </c>
      <c r="J869">
        <v>1260.8018798999999</v>
      </c>
      <c r="K869">
        <v>2200</v>
      </c>
      <c r="L869">
        <v>0</v>
      </c>
      <c r="M869">
        <v>0</v>
      </c>
      <c r="N869">
        <v>2200</v>
      </c>
    </row>
    <row r="870" spans="1:14" x14ac:dyDescent="0.25">
      <c r="A870">
        <v>540.60189700000001</v>
      </c>
      <c r="B870" s="1">
        <f>DATE(2011,10,23) + TIME(14,26,43)</f>
        <v>40839.601886574077</v>
      </c>
      <c r="C870">
        <v>80</v>
      </c>
      <c r="D870">
        <v>79.936889648000005</v>
      </c>
      <c r="E870">
        <v>50</v>
      </c>
      <c r="F870">
        <v>38.184928894000002</v>
      </c>
      <c r="G870">
        <v>1375.3604736</v>
      </c>
      <c r="H870">
        <v>1363.0114745999999</v>
      </c>
      <c r="I870">
        <v>1283.15625</v>
      </c>
      <c r="J870">
        <v>1260.7950439000001</v>
      </c>
      <c r="K870">
        <v>2200</v>
      </c>
      <c r="L870">
        <v>0</v>
      </c>
      <c r="M870">
        <v>0</v>
      </c>
      <c r="N870">
        <v>2200</v>
      </c>
    </row>
    <row r="871" spans="1:14" x14ac:dyDescent="0.25">
      <c r="A871">
        <v>542.78676399999995</v>
      </c>
      <c r="B871" s="1">
        <f>DATE(2011,10,25) + TIME(18,52,56)</f>
        <v>40841.786759259259</v>
      </c>
      <c r="C871">
        <v>80</v>
      </c>
      <c r="D871">
        <v>79.936996460000003</v>
      </c>
      <c r="E871">
        <v>50</v>
      </c>
      <c r="F871">
        <v>38.372611999999997</v>
      </c>
      <c r="G871">
        <v>1375.2972411999999</v>
      </c>
      <c r="H871">
        <v>1362.9532471</v>
      </c>
      <c r="I871">
        <v>1283.1473389</v>
      </c>
      <c r="J871">
        <v>1260.7978516000001</v>
      </c>
      <c r="K871">
        <v>2200</v>
      </c>
      <c r="L871">
        <v>0</v>
      </c>
      <c r="M871">
        <v>0</v>
      </c>
      <c r="N871">
        <v>2200</v>
      </c>
    </row>
    <row r="872" spans="1:14" x14ac:dyDescent="0.25">
      <c r="A872">
        <v>545.00609599999996</v>
      </c>
      <c r="B872" s="1">
        <f>DATE(2011,10,28) + TIME(0,8,46)</f>
        <v>40844.00608796296</v>
      </c>
      <c r="C872">
        <v>80</v>
      </c>
      <c r="D872">
        <v>79.937095642000003</v>
      </c>
      <c r="E872">
        <v>50</v>
      </c>
      <c r="F872">
        <v>38.572021483999997</v>
      </c>
      <c r="G872">
        <v>1375.2342529</v>
      </c>
      <c r="H872">
        <v>1362.8952637</v>
      </c>
      <c r="I872">
        <v>1283.1425781</v>
      </c>
      <c r="J872">
        <v>1260.8096923999999</v>
      </c>
      <c r="K872">
        <v>2200</v>
      </c>
      <c r="L872">
        <v>0</v>
      </c>
      <c r="M872">
        <v>0</v>
      </c>
      <c r="N872">
        <v>2200</v>
      </c>
    </row>
    <row r="873" spans="1:14" x14ac:dyDescent="0.25">
      <c r="A873">
        <v>547.23548100000005</v>
      </c>
      <c r="B873" s="1">
        <f>DATE(2011,10,30) + TIME(5,39,5)</f>
        <v>40846.235474537039</v>
      </c>
      <c r="C873">
        <v>80</v>
      </c>
      <c r="D873">
        <v>79.937202454000001</v>
      </c>
      <c r="E873">
        <v>50</v>
      </c>
      <c r="F873">
        <v>38.781555175999998</v>
      </c>
      <c r="G873">
        <v>1375.1712646000001</v>
      </c>
      <c r="H873">
        <v>1362.8371582</v>
      </c>
      <c r="I873">
        <v>1283.1417236</v>
      </c>
      <c r="J873">
        <v>1260.8299560999999</v>
      </c>
      <c r="K873">
        <v>2200</v>
      </c>
      <c r="L873">
        <v>0</v>
      </c>
      <c r="M873">
        <v>0</v>
      </c>
      <c r="N873">
        <v>2200</v>
      </c>
    </row>
    <row r="874" spans="1:14" x14ac:dyDescent="0.25">
      <c r="A874">
        <v>549</v>
      </c>
      <c r="B874" s="1">
        <f>DATE(2011,11,1) + TIME(0,0,0)</f>
        <v>40848</v>
      </c>
      <c r="C874">
        <v>80</v>
      </c>
      <c r="D874">
        <v>79.937278747999997</v>
      </c>
      <c r="E874">
        <v>50</v>
      </c>
      <c r="F874">
        <v>38.983234406000001</v>
      </c>
      <c r="G874">
        <v>1375.1088867000001</v>
      </c>
      <c r="H874">
        <v>1362.7796631000001</v>
      </c>
      <c r="I874">
        <v>1283.1479492000001</v>
      </c>
      <c r="J874">
        <v>1260.8572998</v>
      </c>
      <c r="K874">
        <v>2200</v>
      </c>
      <c r="L874">
        <v>0</v>
      </c>
      <c r="M874">
        <v>0</v>
      </c>
      <c r="N874">
        <v>2200</v>
      </c>
    </row>
    <row r="875" spans="1:14" x14ac:dyDescent="0.25">
      <c r="A875">
        <v>549.000001</v>
      </c>
      <c r="B875" s="1">
        <f>DATE(2011,11,1) + TIME(0,0,0)</f>
        <v>40848</v>
      </c>
      <c r="C875">
        <v>80</v>
      </c>
      <c r="D875">
        <v>79.937164307000003</v>
      </c>
      <c r="E875">
        <v>50</v>
      </c>
      <c r="F875">
        <v>38.983348845999998</v>
      </c>
      <c r="G875">
        <v>1361.9805908000001</v>
      </c>
      <c r="H875">
        <v>1351.104126</v>
      </c>
      <c r="I875">
        <v>1306.3479004000001</v>
      </c>
      <c r="J875">
        <v>1283.9923096</v>
      </c>
      <c r="K875">
        <v>0</v>
      </c>
      <c r="L875">
        <v>2200</v>
      </c>
      <c r="M875">
        <v>2200</v>
      </c>
      <c r="N875">
        <v>0</v>
      </c>
    </row>
    <row r="876" spans="1:14" x14ac:dyDescent="0.25">
      <c r="A876">
        <v>549.00000399999999</v>
      </c>
      <c r="B876" s="1">
        <f>DATE(2011,11,1) + TIME(0,0,0)</f>
        <v>40848</v>
      </c>
      <c r="C876">
        <v>80</v>
      </c>
      <c r="D876">
        <v>79.936882018999995</v>
      </c>
      <c r="E876">
        <v>50</v>
      </c>
      <c r="F876">
        <v>38.983661652000002</v>
      </c>
      <c r="G876">
        <v>1359.9619141000001</v>
      </c>
      <c r="H876">
        <v>1349.0847168</v>
      </c>
      <c r="I876">
        <v>1308.5631103999999</v>
      </c>
      <c r="J876">
        <v>1286.2897949000001</v>
      </c>
      <c r="K876">
        <v>0</v>
      </c>
      <c r="L876">
        <v>2200</v>
      </c>
      <c r="M876">
        <v>2200</v>
      </c>
      <c r="N876">
        <v>0</v>
      </c>
    </row>
    <row r="877" spans="1:14" x14ac:dyDescent="0.25">
      <c r="A877">
        <v>549.00001299999997</v>
      </c>
      <c r="B877" s="1">
        <f>DATE(2011,11,1) + TIME(0,0,1)</f>
        <v>40848.000011574077</v>
      </c>
      <c r="C877">
        <v>80</v>
      </c>
      <c r="D877">
        <v>79.936302185000002</v>
      </c>
      <c r="E877">
        <v>50</v>
      </c>
      <c r="F877">
        <v>38.984416961999997</v>
      </c>
      <c r="G877">
        <v>1355.8863524999999</v>
      </c>
      <c r="H877">
        <v>1345.0084228999999</v>
      </c>
      <c r="I877">
        <v>1313.7938231999999</v>
      </c>
      <c r="J877">
        <v>1291.6695557</v>
      </c>
      <c r="K877">
        <v>0</v>
      </c>
      <c r="L877">
        <v>2200</v>
      </c>
      <c r="M877">
        <v>2200</v>
      </c>
      <c r="N877">
        <v>0</v>
      </c>
    </row>
    <row r="878" spans="1:14" x14ac:dyDescent="0.25">
      <c r="A878">
        <v>549.00004000000001</v>
      </c>
      <c r="B878" s="1">
        <f>DATE(2011,11,1) + TIME(0,0,3)</f>
        <v>40848.000034722223</v>
      </c>
      <c r="C878">
        <v>80</v>
      </c>
      <c r="D878">
        <v>79.935447693</v>
      </c>
      <c r="E878">
        <v>50</v>
      </c>
      <c r="F878">
        <v>38.985885619999998</v>
      </c>
      <c r="G878">
        <v>1349.9304199000001</v>
      </c>
      <c r="H878">
        <v>1339.0552978999999</v>
      </c>
      <c r="I878">
        <v>1323.1983643000001</v>
      </c>
      <c r="J878">
        <v>1301.1951904</v>
      </c>
      <c r="K878">
        <v>0</v>
      </c>
      <c r="L878">
        <v>2200</v>
      </c>
      <c r="M878">
        <v>2200</v>
      </c>
      <c r="N878">
        <v>0</v>
      </c>
    </row>
    <row r="879" spans="1:14" x14ac:dyDescent="0.25">
      <c r="A879">
        <v>549.00012100000004</v>
      </c>
      <c r="B879" s="1">
        <f>DATE(2011,11,1) + TIME(0,0,10)</f>
        <v>40848.000115740739</v>
      </c>
      <c r="C879">
        <v>80</v>
      </c>
      <c r="D879">
        <v>79.934486389</v>
      </c>
      <c r="E879">
        <v>50</v>
      </c>
      <c r="F879">
        <v>38.988346100000001</v>
      </c>
      <c r="G879">
        <v>1343.3001709</v>
      </c>
      <c r="H879">
        <v>1332.4318848</v>
      </c>
      <c r="I879">
        <v>1335.4661865</v>
      </c>
      <c r="J879">
        <v>1313.4904785000001</v>
      </c>
      <c r="K879">
        <v>0</v>
      </c>
      <c r="L879">
        <v>2200</v>
      </c>
      <c r="M879">
        <v>2200</v>
      </c>
      <c r="N879">
        <v>0</v>
      </c>
    </row>
    <row r="880" spans="1:14" x14ac:dyDescent="0.25">
      <c r="A880">
        <v>549.00036399999999</v>
      </c>
      <c r="B880" s="1">
        <f>DATE(2011,11,1) + TIME(0,0,31)</f>
        <v>40848.000358796293</v>
      </c>
      <c r="C880">
        <v>80</v>
      </c>
      <c r="D880">
        <v>79.933479309000006</v>
      </c>
      <c r="E880">
        <v>50</v>
      </c>
      <c r="F880">
        <v>38.992893219000003</v>
      </c>
      <c r="G880">
        <v>1336.6290283000001</v>
      </c>
      <c r="H880">
        <v>1325.7686768000001</v>
      </c>
      <c r="I880">
        <v>1348.5565185999999</v>
      </c>
      <c r="J880">
        <v>1326.5913086</v>
      </c>
      <c r="K880">
        <v>0</v>
      </c>
      <c r="L880">
        <v>2200</v>
      </c>
      <c r="M880">
        <v>2200</v>
      </c>
      <c r="N880">
        <v>0</v>
      </c>
    </row>
    <row r="881" spans="1:14" x14ac:dyDescent="0.25">
      <c r="A881">
        <v>549.00109299999997</v>
      </c>
      <c r="B881" s="1">
        <f>DATE(2011,11,1) + TIME(0,1,34)</f>
        <v>40848.001087962963</v>
      </c>
      <c r="C881">
        <v>80</v>
      </c>
      <c r="D881">
        <v>79.932327271000005</v>
      </c>
      <c r="E881">
        <v>50</v>
      </c>
      <c r="F881">
        <v>39.003425598</v>
      </c>
      <c r="G881">
        <v>1329.8826904</v>
      </c>
      <c r="H881">
        <v>1318.9976807</v>
      </c>
      <c r="I881">
        <v>1361.9501952999999</v>
      </c>
      <c r="J881">
        <v>1339.9986572</v>
      </c>
      <c r="K881">
        <v>0</v>
      </c>
      <c r="L881">
        <v>2200</v>
      </c>
      <c r="M881">
        <v>2200</v>
      </c>
      <c r="N881">
        <v>0</v>
      </c>
    </row>
    <row r="882" spans="1:14" x14ac:dyDescent="0.25">
      <c r="A882">
        <v>549.00328000000002</v>
      </c>
      <c r="B882" s="1">
        <f>DATE(2011,11,1) + TIME(0,4,43)</f>
        <v>40848.003275462965</v>
      </c>
      <c r="C882">
        <v>80</v>
      </c>
      <c r="D882">
        <v>79.930725097999996</v>
      </c>
      <c r="E882">
        <v>50</v>
      </c>
      <c r="F882">
        <v>39.031826019</v>
      </c>
      <c r="G882">
        <v>1322.7701416</v>
      </c>
      <c r="H882">
        <v>1311.7705077999999</v>
      </c>
      <c r="I882">
        <v>1375.5258789</v>
      </c>
      <c r="J882">
        <v>1353.5397949000001</v>
      </c>
      <c r="K882">
        <v>0</v>
      </c>
      <c r="L882">
        <v>2200</v>
      </c>
      <c r="M882">
        <v>2200</v>
      </c>
      <c r="N882">
        <v>0</v>
      </c>
    </row>
    <row r="883" spans="1:14" x14ac:dyDescent="0.25">
      <c r="A883">
        <v>549.00984100000005</v>
      </c>
      <c r="B883" s="1">
        <f>DATE(2011,11,1) + TIME(0,14,10)</f>
        <v>40848.009837962964</v>
      </c>
      <c r="C883">
        <v>80</v>
      </c>
      <c r="D883">
        <v>79.927909850999995</v>
      </c>
      <c r="E883">
        <v>50</v>
      </c>
      <c r="F883">
        <v>39.113471984999997</v>
      </c>
      <c r="G883">
        <v>1315.4694824000001</v>
      </c>
      <c r="H883">
        <v>1304.3369141000001</v>
      </c>
      <c r="I883">
        <v>1387.880249</v>
      </c>
      <c r="J883">
        <v>1365.8067627</v>
      </c>
      <c r="K883">
        <v>0</v>
      </c>
      <c r="L883">
        <v>2200</v>
      </c>
      <c r="M883">
        <v>2200</v>
      </c>
      <c r="N883">
        <v>0</v>
      </c>
    </row>
    <row r="884" spans="1:14" x14ac:dyDescent="0.25">
      <c r="A884">
        <v>549.02952400000004</v>
      </c>
      <c r="B884" s="1">
        <f>DATE(2011,11,1) + TIME(0,42,30)</f>
        <v>40848.029513888891</v>
      </c>
      <c r="C884">
        <v>80</v>
      </c>
      <c r="D884">
        <v>79.921783446999996</v>
      </c>
      <c r="E884">
        <v>50</v>
      </c>
      <c r="F884">
        <v>39.351074218999997</v>
      </c>
      <c r="G884">
        <v>1309.4605713000001</v>
      </c>
      <c r="H884">
        <v>1298.265625</v>
      </c>
      <c r="I884">
        <v>1396.3015137</v>
      </c>
      <c r="J884">
        <v>1374.2043457</v>
      </c>
      <c r="K884">
        <v>0</v>
      </c>
      <c r="L884">
        <v>2200</v>
      </c>
      <c r="M884">
        <v>2200</v>
      </c>
      <c r="N884">
        <v>0</v>
      </c>
    </row>
    <row r="885" spans="1:14" x14ac:dyDescent="0.25">
      <c r="A885">
        <v>549.07910900000002</v>
      </c>
      <c r="B885" s="1">
        <f>DATE(2011,11,1) + TIME(1,53,54)</f>
        <v>40848.079097222224</v>
      </c>
      <c r="C885">
        <v>80</v>
      </c>
      <c r="D885">
        <v>79.908538817999997</v>
      </c>
      <c r="E885">
        <v>50</v>
      </c>
      <c r="F885">
        <v>39.917224883999999</v>
      </c>
      <c r="G885">
        <v>1306.4377440999999</v>
      </c>
      <c r="H885">
        <v>1295.2259521000001</v>
      </c>
      <c r="I885">
        <v>1399.3272704999999</v>
      </c>
      <c r="J885">
        <v>1377.4063721</v>
      </c>
      <c r="K885">
        <v>0</v>
      </c>
      <c r="L885">
        <v>2200</v>
      </c>
      <c r="M885">
        <v>2200</v>
      </c>
      <c r="N885">
        <v>0</v>
      </c>
    </row>
    <row r="886" spans="1:14" x14ac:dyDescent="0.25">
      <c r="A886">
        <v>549.13085899999999</v>
      </c>
      <c r="B886" s="1">
        <f>DATE(2011,11,1) + TIME(3,8,26)</f>
        <v>40848.130856481483</v>
      </c>
      <c r="C886">
        <v>80</v>
      </c>
      <c r="D886">
        <v>79.895263671999999</v>
      </c>
      <c r="E886">
        <v>50</v>
      </c>
      <c r="F886">
        <v>40.475841522000003</v>
      </c>
      <c r="G886">
        <v>1305.6745605000001</v>
      </c>
      <c r="H886">
        <v>1294.4593506000001</v>
      </c>
      <c r="I886">
        <v>1399.5814209</v>
      </c>
      <c r="J886">
        <v>1377.8641356999999</v>
      </c>
      <c r="K886">
        <v>0</v>
      </c>
      <c r="L886">
        <v>2200</v>
      </c>
      <c r="M886">
        <v>2200</v>
      </c>
      <c r="N886">
        <v>0</v>
      </c>
    </row>
    <row r="887" spans="1:14" x14ac:dyDescent="0.25">
      <c r="A887">
        <v>549.18471299999999</v>
      </c>
      <c r="B887" s="1">
        <f>DATE(2011,11,1) + TIME(4,25,59)</f>
        <v>40848.184710648151</v>
      </c>
      <c r="C887">
        <v>80</v>
      </c>
      <c r="D887">
        <v>79.881767272999994</v>
      </c>
      <c r="E887">
        <v>50</v>
      </c>
      <c r="F887">
        <v>41.024089813000003</v>
      </c>
      <c r="G887">
        <v>1305.458374</v>
      </c>
      <c r="H887">
        <v>1294.2420654</v>
      </c>
      <c r="I887">
        <v>1399.3240966999999</v>
      </c>
      <c r="J887">
        <v>1377.8116454999999</v>
      </c>
      <c r="K887">
        <v>0</v>
      </c>
      <c r="L887">
        <v>2200</v>
      </c>
      <c r="M887">
        <v>2200</v>
      </c>
      <c r="N887">
        <v>0</v>
      </c>
    </row>
    <row r="888" spans="1:14" x14ac:dyDescent="0.25">
      <c r="A888">
        <v>549.24082399999998</v>
      </c>
      <c r="B888" s="1">
        <f>DATE(2011,11,1) + TIME(5,46,47)</f>
        <v>40848.24082175926</v>
      </c>
      <c r="C888">
        <v>80</v>
      </c>
      <c r="D888">
        <v>79.867973328000005</v>
      </c>
      <c r="E888">
        <v>50</v>
      </c>
      <c r="F888">
        <v>41.561435699</v>
      </c>
      <c r="G888">
        <v>1305.3902588000001</v>
      </c>
      <c r="H888">
        <v>1294.1732178</v>
      </c>
      <c r="I888">
        <v>1398.9873047000001</v>
      </c>
      <c r="J888">
        <v>1377.6739502</v>
      </c>
      <c r="K888">
        <v>0</v>
      </c>
      <c r="L888">
        <v>2200</v>
      </c>
      <c r="M888">
        <v>2200</v>
      </c>
      <c r="N888">
        <v>0</v>
      </c>
    </row>
    <row r="889" spans="1:14" x14ac:dyDescent="0.25">
      <c r="A889">
        <v>549.299397</v>
      </c>
      <c r="B889" s="1">
        <f>DATE(2011,11,1) + TIME(7,11,7)</f>
        <v>40848.299386574072</v>
      </c>
      <c r="C889">
        <v>80</v>
      </c>
      <c r="D889">
        <v>79.853828429999993</v>
      </c>
      <c r="E889">
        <v>50</v>
      </c>
      <c r="F889">
        <v>42.087669372999997</v>
      </c>
      <c r="G889">
        <v>1305.3659668</v>
      </c>
      <c r="H889">
        <v>1294.1483154</v>
      </c>
      <c r="I889">
        <v>1398.6517334</v>
      </c>
      <c r="J889">
        <v>1377.5305175999999</v>
      </c>
      <c r="K889">
        <v>0</v>
      </c>
      <c r="L889">
        <v>2200</v>
      </c>
      <c r="M889">
        <v>2200</v>
      </c>
      <c r="N889">
        <v>0</v>
      </c>
    </row>
    <row r="890" spans="1:14" x14ac:dyDescent="0.25">
      <c r="A890">
        <v>549.36069999999995</v>
      </c>
      <c r="B890" s="1">
        <f>DATE(2011,11,1) + TIME(8,39,24)</f>
        <v>40848.360694444447</v>
      </c>
      <c r="C890">
        <v>80</v>
      </c>
      <c r="D890">
        <v>79.839286803999997</v>
      </c>
      <c r="E890">
        <v>50</v>
      </c>
      <c r="F890">
        <v>42.602806090999998</v>
      </c>
      <c r="G890">
        <v>1305.3557129000001</v>
      </c>
      <c r="H890">
        <v>1294.1374512</v>
      </c>
      <c r="I890">
        <v>1398.3289795000001</v>
      </c>
      <c r="J890">
        <v>1377.3927002</v>
      </c>
      <c r="K890">
        <v>0</v>
      </c>
      <c r="L890">
        <v>2200</v>
      </c>
      <c r="M890">
        <v>2200</v>
      </c>
      <c r="N890">
        <v>0</v>
      </c>
    </row>
    <row r="891" spans="1:14" x14ac:dyDescent="0.25">
      <c r="A891">
        <v>549.42503799999997</v>
      </c>
      <c r="B891" s="1">
        <f>DATE(2011,11,1) + TIME(10,12,3)</f>
        <v>40848.425034722219</v>
      </c>
      <c r="C891">
        <v>80</v>
      </c>
      <c r="D891">
        <v>79.824302673000005</v>
      </c>
      <c r="E891">
        <v>50</v>
      </c>
      <c r="F891">
        <v>43.106803894000002</v>
      </c>
      <c r="G891">
        <v>1305.3502197</v>
      </c>
      <c r="H891">
        <v>1294.1313477000001</v>
      </c>
      <c r="I891">
        <v>1398.0184326000001</v>
      </c>
      <c r="J891">
        <v>1377.2602539</v>
      </c>
      <c r="K891">
        <v>0</v>
      </c>
      <c r="L891">
        <v>2200</v>
      </c>
      <c r="M891">
        <v>2200</v>
      </c>
      <c r="N891">
        <v>0</v>
      </c>
    </row>
    <row r="892" spans="1:14" x14ac:dyDescent="0.25">
      <c r="A892">
        <v>549.49276499999996</v>
      </c>
      <c r="B892" s="1">
        <f>DATE(2011,11,1) + TIME(11,49,34)</f>
        <v>40848.492754629631</v>
      </c>
      <c r="C892">
        <v>80</v>
      </c>
      <c r="D892">
        <v>79.808815002000003</v>
      </c>
      <c r="E892">
        <v>50</v>
      </c>
      <c r="F892">
        <v>43.599567413000003</v>
      </c>
      <c r="G892">
        <v>1305.3461914</v>
      </c>
      <c r="H892">
        <v>1294.1268310999999</v>
      </c>
      <c r="I892">
        <v>1397.7186279</v>
      </c>
      <c r="J892">
        <v>1377.1318358999999</v>
      </c>
      <c r="K892">
        <v>0</v>
      </c>
      <c r="L892">
        <v>2200</v>
      </c>
      <c r="M892">
        <v>2200</v>
      </c>
      <c r="N892">
        <v>0</v>
      </c>
    </row>
    <row r="893" spans="1:14" x14ac:dyDescent="0.25">
      <c r="A893">
        <v>549.56429600000001</v>
      </c>
      <c r="B893" s="1">
        <f>DATE(2011,11,1) + TIME(13,32,35)</f>
        <v>40848.564293981479</v>
      </c>
      <c r="C893">
        <v>80</v>
      </c>
      <c r="D893">
        <v>79.792762756000002</v>
      </c>
      <c r="E893">
        <v>50</v>
      </c>
      <c r="F893">
        <v>44.080951691000003</v>
      </c>
      <c r="G893">
        <v>1305.3427733999999</v>
      </c>
      <c r="H893">
        <v>1294.1226807</v>
      </c>
      <c r="I893">
        <v>1397.4282227000001</v>
      </c>
      <c r="J893">
        <v>1377.0063477000001</v>
      </c>
      <c r="K893">
        <v>0</v>
      </c>
      <c r="L893">
        <v>2200</v>
      </c>
      <c r="M893">
        <v>2200</v>
      </c>
      <c r="N893">
        <v>0</v>
      </c>
    </row>
    <row r="894" spans="1:14" x14ac:dyDescent="0.25">
      <c r="A894">
        <v>549.64012500000001</v>
      </c>
      <c r="B894" s="1">
        <f>DATE(2011,11,1) + TIME(15,21,46)</f>
        <v>40848.640115740738</v>
      </c>
      <c r="C894">
        <v>80</v>
      </c>
      <c r="D894">
        <v>79.776069641000007</v>
      </c>
      <c r="E894">
        <v>50</v>
      </c>
      <c r="F894">
        <v>44.550777435000001</v>
      </c>
      <c r="G894">
        <v>1305.3392334</v>
      </c>
      <c r="H894">
        <v>1294.1185303</v>
      </c>
      <c r="I894">
        <v>1397.1463623</v>
      </c>
      <c r="J894">
        <v>1376.8833007999999</v>
      </c>
      <c r="K894">
        <v>0</v>
      </c>
      <c r="L894">
        <v>2200</v>
      </c>
      <c r="M894">
        <v>2200</v>
      </c>
      <c r="N894">
        <v>0</v>
      </c>
    </row>
    <row r="895" spans="1:14" x14ac:dyDescent="0.25">
      <c r="A895">
        <v>549.72084400000006</v>
      </c>
      <c r="B895" s="1">
        <f>DATE(2011,11,1) + TIME(17,18,0)</f>
        <v>40848.720833333333</v>
      </c>
      <c r="C895">
        <v>80</v>
      </c>
      <c r="D895">
        <v>79.758636475000003</v>
      </c>
      <c r="E895">
        <v>50</v>
      </c>
      <c r="F895">
        <v>45.008796691999997</v>
      </c>
      <c r="G895">
        <v>1305.3356934000001</v>
      </c>
      <c r="H895">
        <v>1294.1142577999999</v>
      </c>
      <c r="I895">
        <v>1396.8725586</v>
      </c>
      <c r="J895">
        <v>1376.762207</v>
      </c>
      <c r="K895">
        <v>0</v>
      </c>
      <c r="L895">
        <v>2200</v>
      </c>
      <c r="M895">
        <v>2200</v>
      </c>
      <c r="N895">
        <v>0</v>
      </c>
    </row>
    <row r="896" spans="1:14" x14ac:dyDescent="0.25">
      <c r="A896">
        <v>549.80716800000005</v>
      </c>
      <c r="B896" s="1">
        <f>DATE(2011,11,1) + TIME(19,22,19)</f>
        <v>40848.807164351849</v>
      </c>
      <c r="C896">
        <v>80</v>
      </c>
      <c r="D896">
        <v>79.740371703999998</v>
      </c>
      <c r="E896">
        <v>50</v>
      </c>
      <c r="F896">
        <v>45.454723358000003</v>
      </c>
      <c r="G896">
        <v>1305.3317870999999</v>
      </c>
      <c r="H896">
        <v>1294.1097411999999</v>
      </c>
      <c r="I896">
        <v>1396.6063231999999</v>
      </c>
      <c r="J896">
        <v>1376.6427002</v>
      </c>
      <c r="K896">
        <v>0</v>
      </c>
      <c r="L896">
        <v>2200</v>
      </c>
      <c r="M896">
        <v>2200</v>
      </c>
      <c r="N896">
        <v>0</v>
      </c>
    </row>
    <row r="897" spans="1:14" x14ac:dyDescent="0.25">
      <c r="A897">
        <v>549.89997600000004</v>
      </c>
      <c r="B897" s="1">
        <f>DATE(2011,11,1) + TIME(21,35,57)</f>
        <v>40848.899965277778</v>
      </c>
      <c r="C897">
        <v>80</v>
      </c>
      <c r="D897">
        <v>79.721122742000006</v>
      </c>
      <c r="E897">
        <v>50</v>
      </c>
      <c r="F897">
        <v>45.888175963999998</v>
      </c>
      <c r="G897">
        <v>1305.3277588000001</v>
      </c>
      <c r="H897">
        <v>1294.1048584</v>
      </c>
      <c r="I897">
        <v>1396.3469238</v>
      </c>
      <c r="J897">
        <v>1376.5242920000001</v>
      </c>
      <c r="K897">
        <v>0</v>
      </c>
      <c r="L897">
        <v>2200</v>
      </c>
      <c r="M897">
        <v>2200</v>
      </c>
      <c r="N897">
        <v>0</v>
      </c>
    </row>
    <row r="898" spans="1:14" x14ac:dyDescent="0.25">
      <c r="A898">
        <v>550.000362</v>
      </c>
      <c r="B898" s="1">
        <f>DATE(2011,11,2) + TIME(0,0,31)</f>
        <v>40849.000358796293</v>
      </c>
      <c r="C898">
        <v>80</v>
      </c>
      <c r="D898">
        <v>79.700744628999999</v>
      </c>
      <c r="E898">
        <v>50</v>
      </c>
      <c r="F898">
        <v>46.308700561999999</v>
      </c>
      <c r="G898">
        <v>1305.3232422000001</v>
      </c>
      <c r="H898">
        <v>1294.0997314000001</v>
      </c>
      <c r="I898">
        <v>1396.0939940999999</v>
      </c>
      <c r="J898">
        <v>1376.4068603999999</v>
      </c>
      <c r="K898">
        <v>0</v>
      </c>
      <c r="L898">
        <v>2200</v>
      </c>
      <c r="M898">
        <v>2200</v>
      </c>
      <c r="N898">
        <v>0</v>
      </c>
    </row>
    <row r="899" spans="1:14" x14ac:dyDescent="0.25">
      <c r="A899">
        <v>550.10970099999997</v>
      </c>
      <c r="B899" s="1">
        <f>DATE(2011,11,2) + TIME(2,37,58)</f>
        <v>40849.109699074077</v>
      </c>
      <c r="C899">
        <v>80</v>
      </c>
      <c r="D899">
        <v>79.679031371999997</v>
      </c>
      <c r="E899">
        <v>50</v>
      </c>
      <c r="F899">
        <v>46.715721129999999</v>
      </c>
      <c r="G899">
        <v>1305.3184814000001</v>
      </c>
      <c r="H899">
        <v>1294.0941161999999</v>
      </c>
      <c r="I899">
        <v>1395.847168</v>
      </c>
      <c r="J899">
        <v>1376.2899170000001</v>
      </c>
      <c r="K899">
        <v>0</v>
      </c>
      <c r="L899">
        <v>2200</v>
      </c>
      <c r="M899">
        <v>2200</v>
      </c>
      <c r="N899">
        <v>0</v>
      </c>
    </row>
    <row r="900" spans="1:14" x14ac:dyDescent="0.25">
      <c r="A900">
        <v>550.22975299999996</v>
      </c>
      <c r="B900" s="1">
        <f>DATE(2011,11,2) + TIME(5,30,50)</f>
        <v>40849.229745370372</v>
      </c>
      <c r="C900">
        <v>80</v>
      </c>
      <c r="D900">
        <v>79.655723571999999</v>
      </c>
      <c r="E900">
        <v>50</v>
      </c>
      <c r="F900">
        <v>47.108489990000002</v>
      </c>
      <c r="G900">
        <v>1305.3133545000001</v>
      </c>
      <c r="H900">
        <v>1294.0880127</v>
      </c>
      <c r="I900">
        <v>1395.6057129000001</v>
      </c>
      <c r="J900">
        <v>1376.1728516000001</v>
      </c>
      <c r="K900">
        <v>0</v>
      </c>
      <c r="L900">
        <v>2200</v>
      </c>
      <c r="M900">
        <v>2200</v>
      </c>
      <c r="N900">
        <v>0</v>
      </c>
    </row>
    <row r="901" spans="1:14" x14ac:dyDescent="0.25">
      <c r="A901">
        <v>550.36287600000003</v>
      </c>
      <c r="B901" s="1">
        <f>DATE(2011,11,2) + TIME(8,42,32)</f>
        <v>40849.362870370373</v>
      </c>
      <c r="C901">
        <v>80</v>
      </c>
      <c r="D901">
        <v>79.630508422999995</v>
      </c>
      <c r="E901">
        <v>50</v>
      </c>
      <c r="F901">
        <v>47.486217498999999</v>
      </c>
      <c r="G901">
        <v>1305.3076172000001</v>
      </c>
      <c r="H901">
        <v>1294.0812988</v>
      </c>
      <c r="I901">
        <v>1395.3693848</v>
      </c>
      <c r="J901">
        <v>1376.0552978999999</v>
      </c>
      <c r="K901">
        <v>0</v>
      </c>
      <c r="L901">
        <v>2200</v>
      </c>
      <c r="M901">
        <v>2200</v>
      </c>
      <c r="N901">
        <v>0</v>
      </c>
    </row>
    <row r="902" spans="1:14" x14ac:dyDescent="0.25">
      <c r="A902">
        <v>550.51222600000006</v>
      </c>
      <c r="B902" s="1">
        <f>DATE(2011,11,2) + TIME(12,17,36)</f>
        <v>40849.51222222222</v>
      </c>
      <c r="C902">
        <v>80</v>
      </c>
      <c r="D902">
        <v>79.602943420000003</v>
      </c>
      <c r="E902">
        <v>50</v>
      </c>
      <c r="F902">
        <v>47.847835541000002</v>
      </c>
      <c r="G902">
        <v>1305.3013916</v>
      </c>
      <c r="H902">
        <v>1294.0739745999999</v>
      </c>
      <c r="I902">
        <v>1395.1373291</v>
      </c>
      <c r="J902">
        <v>1375.9366454999999</v>
      </c>
      <c r="K902">
        <v>0</v>
      </c>
      <c r="L902">
        <v>2200</v>
      </c>
      <c r="M902">
        <v>2200</v>
      </c>
      <c r="N902">
        <v>0</v>
      </c>
    </row>
    <row r="903" spans="1:14" x14ac:dyDescent="0.25">
      <c r="A903">
        <v>550.68219099999999</v>
      </c>
      <c r="B903" s="1">
        <f>DATE(2011,11,2) + TIME(16,22,21)</f>
        <v>40849.682187500002</v>
      </c>
      <c r="C903">
        <v>80</v>
      </c>
      <c r="D903">
        <v>79.572441100999995</v>
      </c>
      <c r="E903">
        <v>50</v>
      </c>
      <c r="F903">
        <v>48.191986084</v>
      </c>
      <c r="G903">
        <v>1305.2943115</v>
      </c>
      <c r="H903">
        <v>1294.0657959</v>
      </c>
      <c r="I903">
        <v>1394.9089355000001</v>
      </c>
      <c r="J903">
        <v>1375.815918</v>
      </c>
      <c r="K903">
        <v>0</v>
      </c>
      <c r="L903">
        <v>2200</v>
      </c>
      <c r="M903">
        <v>2200</v>
      </c>
      <c r="N903">
        <v>0</v>
      </c>
    </row>
    <row r="904" spans="1:14" x14ac:dyDescent="0.25">
      <c r="A904">
        <v>550.879097</v>
      </c>
      <c r="B904" s="1">
        <f>DATE(2011,11,2) + TIME(21,5,53)</f>
        <v>40849.87908564815</v>
      </c>
      <c r="C904">
        <v>80</v>
      </c>
      <c r="D904">
        <v>79.538200377999999</v>
      </c>
      <c r="E904">
        <v>50</v>
      </c>
      <c r="F904">
        <v>48.516937255999999</v>
      </c>
      <c r="G904">
        <v>1305.2863769999999</v>
      </c>
      <c r="H904">
        <v>1294.0565185999999</v>
      </c>
      <c r="I904">
        <v>1394.6834716999999</v>
      </c>
      <c r="J904">
        <v>1375.6923827999999</v>
      </c>
      <c r="K904">
        <v>0</v>
      </c>
      <c r="L904">
        <v>2200</v>
      </c>
      <c r="M904">
        <v>2200</v>
      </c>
      <c r="N904">
        <v>0</v>
      </c>
    </row>
    <row r="905" spans="1:14" x14ac:dyDescent="0.25">
      <c r="A905">
        <v>551.08065299999998</v>
      </c>
      <c r="B905" s="1">
        <f>DATE(2011,11,3) + TIME(1,56,8)</f>
        <v>40850.080648148149</v>
      </c>
      <c r="C905">
        <v>80</v>
      </c>
      <c r="D905">
        <v>79.503410338999998</v>
      </c>
      <c r="E905">
        <v>50</v>
      </c>
      <c r="F905">
        <v>48.786846161</v>
      </c>
      <c r="G905">
        <v>1305.2770995999999</v>
      </c>
      <c r="H905">
        <v>1294.0460204999999</v>
      </c>
      <c r="I905">
        <v>1394.4807129000001</v>
      </c>
      <c r="J905">
        <v>1375.5739745999999</v>
      </c>
      <c r="K905">
        <v>0</v>
      </c>
      <c r="L905">
        <v>2200</v>
      </c>
      <c r="M905">
        <v>2200</v>
      </c>
      <c r="N905">
        <v>0</v>
      </c>
    </row>
    <row r="906" spans="1:14" x14ac:dyDescent="0.25">
      <c r="A906">
        <v>551.28489400000001</v>
      </c>
      <c r="B906" s="1">
        <f>DATE(2011,11,3) + TIME(6,50,14)</f>
        <v>40850.284884259258</v>
      </c>
      <c r="C906">
        <v>80</v>
      </c>
      <c r="D906">
        <v>79.468360900999997</v>
      </c>
      <c r="E906">
        <v>50</v>
      </c>
      <c r="F906">
        <v>49.008220672999997</v>
      </c>
      <c r="G906">
        <v>1305.2675781</v>
      </c>
      <c r="H906">
        <v>1294.0352783000001</v>
      </c>
      <c r="I906">
        <v>1394.3016356999999</v>
      </c>
      <c r="J906">
        <v>1375.4647216999999</v>
      </c>
      <c r="K906">
        <v>0</v>
      </c>
      <c r="L906">
        <v>2200</v>
      </c>
      <c r="M906">
        <v>2200</v>
      </c>
      <c r="N906">
        <v>0</v>
      </c>
    </row>
    <row r="907" spans="1:14" x14ac:dyDescent="0.25">
      <c r="A907">
        <v>551.49384099999997</v>
      </c>
      <c r="B907" s="1">
        <f>DATE(2011,11,3) + TIME(11,51,7)</f>
        <v>40850.493831018517</v>
      </c>
      <c r="C907">
        <v>80</v>
      </c>
      <c r="D907">
        <v>79.432792664000004</v>
      </c>
      <c r="E907">
        <v>50</v>
      </c>
      <c r="F907">
        <v>49.190734863000003</v>
      </c>
      <c r="G907">
        <v>1305.2579346</v>
      </c>
      <c r="H907">
        <v>1294.0244141000001</v>
      </c>
      <c r="I907">
        <v>1394.1416016000001</v>
      </c>
      <c r="J907">
        <v>1375.3632812000001</v>
      </c>
      <c r="K907">
        <v>0</v>
      </c>
      <c r="L907">
        <v>2200</v>
      </c>
      <c r="M907">
        <v>2200</v>
      </c>
      <c r="N907">
        <v>0</v>
      </c>
    </row>
    <row r="908" spans="1:14" x14ac:dyDescent="0.25">
      <c r="A908">
        <v>551.70917099999997</v>
      </c>
      <c r="B908" s="1">
        <f>DATE(2011,11,3) + TIME(17,1,12)</f>
        <v>40850.709166666667</v>
      </c>
      <c r="C908">
        <v>80</v>
      </c>
      <c r="D908">
        <v>79.396469116000006</v>
      </c>
      <c r="E908">
        <v>50</v>
      </c>
      <c r="F908">
        <v>49.341434479</v>
      </c>
      <c r="G908">
        <v>1305.2482910000001</v>
      </c>
      <c r="H908">
        <v>1294.0134277</v>
      </c>
      <c r="I908">
        <v>1393.9969481999999</v>
      </c>
      <c r="J908">
        <v>1375.2681885</v>
      </c>
      <c r="K908">
        <v>0</v>
      </c>
      <c r="L908">
        <v>2200</v>
      </c>
      <c r="M908">
        <v>2200</v>
      </c>
      <c r="N908">
        <v>0</v>
      </c>
    </row>
    <row r="909" spans="1:14" x14ac:dyDescent="0.25">
      <c r="A909">
        <v>551.93264499999998</v>
      </c>
      <c r="B909" s="1">
        <f>DATE(2011,11,3) + TIME(22,23,0)</f>
        <v>40850.932638888888</v>
      </c>
      <c r="C909">
        <v>80</v>
      </c>
      <c r="D909">
        <v>79.359176636000001</v>
      </c>
      <c r="E909">
        <v>50</v>
      </c>
      <c r="F909">
        <v>49.465835571</v>
      </c>
      <c r="G909">
        <v>1305.2382812000001</v>
      </c>
      <c r="H909">
        <v>1294.0020752</v>
      </c>
      <c r="I909">
        <v>1393.8647461</v>
      </c>
      <c r="J909">
        <v>1375.1781006000001</v>
      </c>
      <c r="K909">
        <v>0</v>
      </c>
      <c r="L909">
        <v>2200</v>
      </c>
      <c r="M909">
        <v>2200</v>
      </c>
      <c r="N909">
        <v>0</v>
      </c>
    </row>
    <row r="910" spans="1:14" x14ac:dyDescent="0.25">
      <c r="A910">
        <v>552.16617599999995</v>
      </c>
      <c r="B910" s="1">
        <f>DATE(2011,11,4) + TIME(3,59,17)</f>
        <v>40851.166168981479</v>
      </c>
      <c r="C910">
        <v>80</v>
      </c>
      <c r="D910">
        <v>79.320648192999997</v>
      </c>
      <c r="E910">
        <v>50</v>
      </c>
      <c r="F910">
        <v>49.568321228000002</v>
      </c>
      <c r="G910">
        <v>1305.2279053</v>
      </c>
      <c r="H910">
        <v>1293.9903564000001</v>
      </c>
      <c r="I910">
        <v>1393.7426757999999</v>
      </c>
      <c r="J910">
        <v>1375.0919189000001</v>
      </c>
      <c r="K910">
        <v>0</v>
      </c>
      <c r="L910">
        <v>2200</v>
      </c>
      <c r="M910">
        <v>2200</v>
      </c>
      <c r="N910">
        <v>0</v>
      </c>
    </row>
    <row r="911" spans="1:14" x14ac:dyDescent="0.25">
      <c r="A911">
        <v>552.41192799999999</v>
      </c>
      <c r="B911" s="1">
        <f>DATE(2011,11,4) + TIME(9,53,10)</f>
        <v>40851.411921296298</v>
      </c>
      <c r="C911">
        <v>80</v>
      </c>
      <c r="D911">
        <v>79.280609131000006</v>
      </c>
      <c r="E911">
        <v>50</v>
      </c>
      <c r="F911">
        <v>49.652450561999999</v>
      </c>
      <c r="G911">
        <v>1305.2172852000001</v>
      </c>
      <c r="H911">
        <v>1293.9781493999999</v>
      </c>
      <c r="I911">
        <v>1393.6287841999999</v>
      </c>
      <c r="J911">
        <v>1375.0087891000001</v>
      </c>
      <c r="K911">
        <v>0</v>
      </c>
      <c r="L911">
        <v>2200</v>
      </c>
      <c r="M911">
        <v>2200</v>
      </c>
      <c r="N911">
        <v>0</v>
      </c>
    </row>
    <row r="912" spans="1:14" x14ac:dyDescent="0.25">
      <c r="A912">
        <v>552.67242599999997</v>
      </c>
      <c r="B912" s="1">
        <f>DATE(2011,11,4) + TIME(16,8,17)</f>
        <v>40851.672418981485</v>
      </c>
      <c r="C912">
        <v>80</v>
      </c>
      <c r="D912">
        <v>79.238746642999999</v>
      </c>
      <c r="E912">
        <v>50</v>
      </c>
      <c r="F912">
        <v>49.721138000000003</v>
      </c>
      <c r="G912">
        <v>1305.2060547000001</v>
      </c>
      <c r="H912">
        <v>1293.965332</v>
      </c>
      <c r="I912">
        <v>1393.5212402</v>
      </c>
      <c r="J912">
        <v>1374.9278564000001</v>
      </c>
      <c r="K912">
        <v>0</v>
      </c>
      <c r="L912">
        <v>2200</v>
      </c>
      <c r="M912">
        <v>2200</v>
      </c>
      <c r="N912">
        <v>0</v>
      </c>
    </row>
    <row r="913" spans="1:14" x14ac:dyDescent="0.25">
      <c r="A913">
        <v>552.95070699999997</v>
      </c>
      <c r="B913" s="1">
        <f>DATE(2011,11,4) + TIME(22,49,1)</f>
        <v>40851.950706018521</v>
      </c>
      <c r="C913">
        <v>80</v>
      </c>
      <c r="D913">
        <v>79.194671631000006</v>
      </c>
      <c r="E913">
        <v>50</v>
      </c>
      <c r="F913">
        <v>49.776828766000001</v>
      </c>
      <c r="G913">
        <v>1305.1940918</v>
      </c>
      <c r="H913">
        <v>1293.9517822</v>
      </c>
      <c r="I913">
        <v>1393.4187012</v>
      </c>
      <c r="J913">
        <v>1374.8483887</v>
      </c>
      <c r="K913">
        <v>0</v>
      </c>
      <c r="L913">
        <v>2200</v>
      </c>
      <c r="M913">
        <v>2200</v>
      </c>
      <c r="N913">
        <v>0</v>
      </c>
    </row>
    <row r="914" spans="1:14" x14ac:dyDescent="0.25">
      <c r="A914">
        <v>553.25046899999995</v>
      </c>
      <c r="B914" s="1">
        <f>DATE(2011,11,5) + TIME(6,0,40)</f>
        <v>40852.250462962962</v>
      </c>
      <c r="C914">
        <v>80</v>
      </c>
      <c r="D914">
        <v>79.147933960000003</v>
      </c>
      <c r="E914">
        <v>50</v>
      </c>
      <c r="F914">
        <v>49.821571349999999</v>
      </c>
      <c r="G914">
        <v>1305.1815185999999</v>
      </c>
      <c r="H914">
        <v>1293.9373779</v>
      </c>
      <c r="I914">
        <v>1393.3198242000001</v>
      </c>
      <c r="J914">
        <v>1374.7695312000001</v>
      </c>
      <c r="K914">
        <v>0</v>
      </c>
      <c r="L914">
        <v>2200</v>
      </c>
      <c r="M914">
        <v>2200</v>
      </c>
      <c r="N914">
        <v>0</v>
      </c>
    </row>
    <row r="915" spans="1:14" x14ac:dyDescent="0.25">
      <c r="A915">
        <v>553.57400500000006</v>
      </c>
      <c r="B915" s="1">
        <f>DATE(2011,11,5) + TIME(13,46,34)</f>
        <v>40852.574004629627</v>
      </c>
      <c r="C915">
        <v>80</v>
      </c>
      <c r="D915">
        <v>79.098258971999996</v>
      </c>
      <c r="E915">
        <v>50</v>
      </c>
      <c r="F915">
        <v>49.856918335000003</v>
      </c>
      <c r="G915">
        <v>1305.1679687999999</v>
      </c>
      <c r="H915">
        <v>1293.9219971</v>
      </c>
      <c r="I915">
        <v>1393.2235106999999</v>
      </c>
      <c r="J915">
        <v>1374.690918</v>
      </c>
      <c r="K915">
        <v>0</v>
      </c>
      <c r="L915">
        <v>2200</v>
      </c>
      <c r="M915">
        <v>2200</v>
      </c>
      <c r="N915">
        <v>0</v>
      </c>
    </row>
    <row r="916" spans="1:14" x14ac:dyDescent="0.25">
      <c r="A916">
        <v>553.92154200000004</v>
      </c>
      <c r="B916" s="1">
        <f>DATE(2011,11,5) + TIME(22,7,1)</f>
        <v>40852.921539351853</v>
      </c>
      <c r="C916">
        <v>80</v>
      </c>
      <c r="D916">
        <v>79.045593261999997</v>
      </c>
      <c r="E916">
        <v>50</v>
      </c>
      <c r="F916">
        <v>49.884223937999998</v>
      </c>
      <c r="G916">
        <v>1305.1534423999999</v>
      </c>
      <c r="H916">
        <v>1293.9053954999999</v>
      </c>
      <c r="I916">
        <v>1393.1290283000001</v>
      </c>
      <c r="J916">
        <v>1374.6120605000001</v>
      </c>
      <c r="K916">
        <v>0</v>
      </c>
      <c r="L916">
        <v>2200</v>
      </c>
      <c r="M916">
        <v>2200</v>
      </c>
      <c r="N916">
        <v>0</v>
      </c>
    </row>
    <row r="917" spans="1:14" x14ac:dyDescent="0.25">
      <c r="A917">
        <v>554.298317</v>
      </c>
      <c r="B917" s="1">
        <f>DATE(2011,11,6) + TIME(7,9,34)</f>
        <v>40853.298310185186</v>
      </c>
      <c r="C917">
        <v>80</v>
      </c>
      <c r="D917">
        <v>78.989349364999995</v>
      </c>
      <c r="E917">
        <v>50</v>
      </c>
      <c r="F917">
        <v>49.905067443999997</v>
      </c>
      <c r="G917">
        <v>1305.1378173999999</v>
      </c>
      <c r="H917">
        <v>1293.8875731999999</v>
      </c>
      <c r="I917">
        <v>1393.0362548999999</v>
      </c>
      <c r="J917">
        <v>1374.5333252</v>
      </c>
      <c r="K917">
        <v>0</v>
      </c>
      <c r="L917">
        <v>2200</v>
      </c>
      <c r="M917">
        <v>2200</v>
      </c>
      <c r="N917">
        <v>0</v>
      </c>
    </row>
    <row r="918" spans="1:14" x14ac:dyDescent="0.25">
      <c r="A918">
        <v>554.710419</v>
      </c>
      <c r="B918" s="1">
        <f>DATE(2011,11,6) + TIME(17,3,0)</f>
        <v>40853.710416666669</v>
      </c>
      <c r="C918">
        <v>80</v>
      </c>
      <c r="D918">
        <v>78.928863524999997</v>
      </c>
      <c r="E918">
        <v>50</v>
      </c>
      <c r="F918">
        <v>49.920742035000004</v>
      </c>
      <c r="G918">
        <v>1305.1208495999999</v>
      </c>
      <c r="H918">
        <v>1293.8682861</v>
      </c>
      <c r="I918">
        <v>1392.9439697</v>
      </c>
      <c r="J918">
        <v>1374.4538574000001</v>
      </c>
      <c r="K918">
        <v>0</v>
      </c>
      <c r="L918">
        <v>2200</v>
      </c>
      <c r="M918">
        <v>2200</v>
      </c>
      <c r="N918">
        <v>0</v>
      </c>
    </row>
    <row r="919" spans="1:14" x14ac:dyDescent="0.25">
      <c r="A919">
        <v>555.12636299999997</v>
      </c>
      <c r="B919" s="1">
        <f>DATE(2011,11,7) + TIME(3,1,57)</f>
        <v>40854.126354166663</v>
      </c>
      <c r="C919">
        <v>80</v>
      </c>
      <c r="D919">
        <v>78.867195128999995</v>
      </c>
      <c r="E919">
        <v>50</v>
      </c>
      <c r="F919">
        <v>49.931629180999998</v>
      </c>
      <c r="G919">
        <v>1305.1022949000001</v>
      </c>
      <c r="H919">
        <v>1293.8475341999999</v>
      </c>
      <c r="I919">
        <v>1392.8514404</v>
      </c>
      <c r="J919">
        <v>1374.3730469</v>
      </c>
      <c r="K919">
        <v>0</v>
      </c>
      <c r="L919">
        <v>2200</v>
      </c>
      <c r="M919">
        <v>2200</v>
      </c>
      <c r="N919">
        <v>0</v>
      </c>
    </row>
    <row r="920" spans="1:14" x14ac:dyDescent="0.25">
      <c r="A920">
        <v>555.55074300000001</v>
      </c>
      <c r="B920" s="1">
        <f>DATE(2011,11,7) + TIME(13,13,4)</f>
        <v>40854.550740740742</v>
      </c>
      <c r="C920">
        <v>80</v>
      </c>
      <c r="D920">
        <v>78.804260253999999</v>
      </c>
      <c r="E920">
        <v>50</v>
      </c>
      <c r="F920">
        <v>49.939262390000003</v>
      </c>
      <c r="G920">
        <v>1305.0836182</v>
      </c>
      <c r="H920">
        <v>1293.8264160000001</v>
      </c>
      <c r="I920">
        <v>1392.7648925999999</v>
      </c>
      <c r="J920">
        <v>1374.2971190999999</v>
      </c>
      <c r="K920">
        <v>0</v>
      </c>
      <c r="L920">
        <v>2200</v>
      </c>
      <c r="M920">
        <v>2200</v>
      </c>
      <c r="N920">
        <v>0</v>
      </c>
    </row>
    <row r="921" spans="1:14" x14ac:dyDescent="0.25">
      <c r="A921">
        <v>555.98797300000001</v>
      </c>
      <c r="B921" s="1">
        <f>DATE(2011,11,7) + TIME(23,42,40)</f>
        <v>40854.987962962965</v>
      </c>
      <c r="C921">
        <v>80</v>
      </c>
      <c r="D921">
        <v>78.739791870000005</v>
      </c>
      <c r="E921">
        <v>50</v>
      </c>
      <c r="F921">
        <v>49.944656371999997</v>
      </c>
      <c r="G921">
        <v>1305.0645752</v>
      </c>
      <c r="H921">
        <v>1293.8048096</v>
      </c>
      <c r="I921">
        <v>1392.6824951000001</v>
      </c>
      <c r="J921">
        <v>1374.2243652</v>
      </c>
      <c r="K921">
        <v>0</v>
      </c>
      <c r="L921">
        <v>2200</v>
      </c>
      <c r="M921">
        <v>2200</v>
      </c>
      <c r="N921">
        <v>0</v>
      </c>
    </row>
    <row r="922" spans="1:14" x14ac:dyDescent="0.25">
      <c r="A922">
        <v>556.44253400000002</v>
      </c>
      <c r="B922" s="1">
        <f>DATE(2011,11,8) + TIME(10,37,14)</f>
        <v>40855.442523148151</v>
      </c>
      <c r="C922">
        <v>80</v>
      </c>
      <c r="D922">
        <v>78.673439025999997</v>
      </c>
      <c r="E922">
        <v>50</v>
      </c>
      <c r="F922">
        <v>49.948478698999999</v>
      </c>
      <c r="G922">
        <v>1305.0450439000001</v>
      </c>
      <c r="H922">
        <v>1293.7827147999999</v>
      </c>
      <c r="I922">
        <v>1392.6030272999999</v>
      </c>
      <c r="J922">
        <v>1374.1541748</v>
      </c>
      <c r="K922">
        <v>0</v>
      </c>
      <c r="L922">
        <v>2200</v>
      </c>
      <c r="M922">
        <v>2200</v>
      </c>
      <c r="N922">
        <v>0</v>
      </c>
    </row>
    <row r="923" spans="1:14" x14ac:dyDescent="0.25">
      <c r="A923">
        <v>556.91933400000005</v>
      </c>
      <c r="B923" s="1">
        <f>DATE(2011,11,8) + TIME(22,3,50)</f>
        <v>40855.919328703705</v>
      </c>
      <c r="C923">
        <v>80</v>
      </c>
      <c r="D923">
        <v>78.604759216000005</v>
      </c>
      <c r="E923">
        <v>50</v>
      </c>
      <c r="F923">
        <v>49.951198578000003</v>
      </c>
      <c r="G923">
        <v>1305.0247803</v>
      </c>
      <c r="H923">
        <v>1293.7596435999999</v>
      </c>
      <c r="I923">
        <v>1392.5253906</v>
      </c>
      <c r="J923">
        <v>1374.0854492000001</v>
      </c>
      <c r="K923">
        <v>0</v>
      </c>
      <c r="L923">
        <v>2200</v>
      </c>
      <c r="M923">
        <v>2200</v>
      </c>
      <c r="N923">
        <v>0</v>
      </c>
    </row>
    <row r="924" spans="1:14" x14ac:dyDescent="0.25">
      <c r="A924">
        <v>557.41736800000001</v>
      </c>
      <c r="B924" s="1">
        <f>DATE(2011,11,9) + TIME(10,1,0)</f>
        <v>40856.417361111111</v>
      </c>
      <c r="C924">
        <v>80</v>
      </c>
      <c r="D924">
        <v>78.533782959000007</v>
      </c>
      <c r="E924">
        <v>50</v>
      </c>
      <c r="F924">
        <v>49.953128814999999</v>
      </c>
      <c r="G924">
        <v>1305.0035399999999</v>
      </c>
      <c r="H924">
        <v>1293.7355957</v>
      </c>
      <c r="I924">
        <v>1392.4488524999999</v>
      </c>
      <c r="J924">
        <v>1374.0174560999999</v>
      </c>
      <c r="K924">
        <v>0</v>
      </c>
      <c r="L924">
        <v>2200</v>
      </c>
      <c r="M924">
        <v>2200</v>
      </c>
      <c r="N924">
        <v>0</v>
      </c>
    </row>
    <row r="925" spans="1:14" x14ac:dyDescent="0.25">
      <c r="A925">
        <v>557.93591900000001</v>
      </c>
      <c r="B925" s="1">
        <f>DATE(2011,11,9) + TIME(22,27,43)</f>
        <v>40856.935914351852</v>
      </c>
      <c r="C925">
        <v>80</v>
      </c>
      <c r="D925">
        <v>78.460586547999995</v>
      </c>
      <c r="E925">
        <v>50</v>
      </c>
      <c r="F925">
        <v>49.954490661999998</v>
      </c>
      <c r="G925">
        <v>1304.9814452999999</v>
      </c>
      <c r="H925">
        <v>1293.7103271000001</v>
      </c>
      <c r="I925">
        <v>1392.3734131000001</v>
      </c>
      <c r="J925">
        <v>1373.9506836</v>
      </c>
      <c r="K925">
        <v>0</v>
      </c>
      <c r="L925">
        <v>2200</v>
      </c>
      <c r="M925">
        <v>2200</v>
      </c>
      <c r="N925">
        <v>0</v>
      </c>
    </row>
    <row r="926" spans="1:14" x14ac:dyDescent="0.25">
      <c r="A926">
        <v>558.48001499999998</v>
      </c>
      <c r="B926" s="1">
        <f>DATE(2011,11,10) + TIME(11,31,13)</f>
        <v>40857.480011574073</v>
      </c>
      <c r="C926">
        <v>80</v>
      </c>
      <c r="D926">
        <v>78.384765625</v>
      </c>
      <c r="E926">
        <v>50</v>
      </c>
      <c r="F926">
        <v>49.955467224000003</v>
      </c>
      <c r="G926">
        <v>1304.958374</v>
      </c>
      <c r="H926">
        <v>1293.684082</v>
      </c>
      <c r="I926">
        <v>1392.2993164</v>
      </c>
      <c r="J926">
        <v>1373.8850098</v>
      </c>
      <c r="K926">
        <v>0</v>
      </c>
      <c r="L926">
        <v>2200</v>
      </c>
      <c r="M926">
        <v>2200</v>
      </c>
      <c r="N926">
        <v>0</v>
      </c>
    </row>
    <row r="927" spans="1:14" x14ac:dyDescent="0.25">
      <c r="A927">
        <v>559.05534399999999</v>
      </c>
      <c r="B927" s="1">
        <f>DATE(2011,11,11) + TIME(1,19,41)</f>
        <v>40858.055335648147</v>
      </c>
      <c r="C927">
        <v>80</v>
      </c>
      <c r="D927">
        <v>78.305778502999999</v>
      </c>
      <c r="E927">
        <v>50</v>
      </c>
      <c r="F927">
        <v>49.956172942999999</v>
      </c>
      <c r="G927">
        <v>1304.9342041</v>
      </c>
      <c r="H927">
        <v>1293.6566161999999</v>
      </c>
      <c r="I927">
        <v>1392.2257079999999</v>
      </c>
      <c r="J927">
        <v>1373.8199463000001</v>
      </c>
      <c r="K927">
        <v>0</v>
      </c>
      <c r="L927">
        <v>2200</v>
      </c>
      <c r="M927">
        <v>2200</v>
      </c>
      <c r="N927">
        <v>0</v>
      </c>
    </row>
    <row r="928" spans="1:14" x14ac:dyDescent="0.25">
      <c r="A928">
        <v>559.66874199999995</v>
      </c>
      <c r="B928" s="1">
        <f>DATE(2011,11,11) + TIME(16,2,59)</f>
        <v>40858.668738425928</v>
      </c>
      <c r="C928">
        <v>80</v>
      </c>
      <c r="D928">
        <v>78.222969054999993</v>
      </c>
      <c r="E928">
        <v>50</v>
      </c>
      <c r="F928">
        <v>49.956691741999997</v>
      </c>
      <c r="G928">
        <v>1304.9086914</v>
      </c>
      <c r="H928">
        <v>1293.6274414</v>
      </c>
      <c r="I928">
        <v>1392.1522216999999</v>
      </c>
      <c r="J928">
        <v>1373.7548827999999</v>
      </c>
      <c r="K928">
        <v>0</v>
      </c>
      <c r="L928">
        <v>2200</v>
      </c>
      <c r="M928">
        <v>2200</v>
      </c>
      <c r="N928">
        <v>0</v>
      </c>
    </row>
    <row r="929" spans="1:14" x14ac:dyDescent="0.25">
      <c r="A929">
        <v>560.320066</v>
      </c>
      <c r="B929" s="1">
        <f>DATE(2011,11,12) + TIME(7,40,53)</f>
        <v>40859.320057870369</v>
      </c>
      <c r="C929">
        <v>80</v>
      </c>
      <c r="D929">
        <v>78.136207580999994</v>
      </c>
      <c r="E929">
        <v>50</v>
      </c>
      <c r="F929">
        <v>49.957077026</v>
      </c>
      <c r="G929">
        <v>1304.8813477000001</v>
      </c>
      <c r="H929">
        <v>1293.5963135</v>
      </c>
      <c r="I929">
        <v>1392.078125</v>
      </c>
      <c r="J929">
        <v>1373.6894531</v>
      </c>
      <c r="K929">
        <v>0</v>
      </c>
      <c r="L929">
        <v>2200</v>
      </c>
      <c r="M929">
        <v>2200</v>
      </c>
      <c r="N929">
        <v>0</v>
      </c>
    </row>
    <row r="930" spans="1:14" x14ac:dyDescent="0.25">
      <c r="A930">
        <v>560.97924</v>
      </c>
      <c r="B930" s="1">
        <f>DATE(2011,11,12) + TIME(23,30,6)</f>
        <v>40859.97923611111</v>
      </c>
      <c r="C930">
        <v>80</v>
      </c>
      <c r="D930">
        <v>78.047744750999996</v>
      </c>
      <c r="E930">
        <v>50</v>
      </c>
      <c r="F930">
        <v>49.957351684999999</v>
      </c>
      <c r="G930">
        <v>1304.8521728999999</v>
      </c>
      <c r="H930">
        <v>1293.5632324000001</v>
      </c>
      <c r="I930">
        <v>1392.0036620999999</v>
      </c>
      <c r="J930">
        <v>1373.6237793</v>
      </c>
      <c r="K930">
        <v>0</v>
      </c>
      <c r="L930">
        <v>2200</v>
      </c>
      <c r="M930">
        <v>2200</v>
      </c>
      <c r="N930">
        <v>0</v>
      </c>
    </row>
    <row r="931" spans="1:14" x14ac:dyDescent="0.25">
      <c r="A931">
        <v>561.65293999999994</v>
      </c>
      <c r="B931" s="1">
        <f>DATE(2011,11,13) + TIME(15,40,14)</f>
        <v>40860.652939814812</v>
      </c>
      <c r="C931">
        <v>80</v>
      </c>
      <c r="D931">
        <v>77.957725525000001</v>
      </c>
      <c r="E931">
        <v>50</v>
      </c>
      <c r="F931">
        <v>49.957553863999998</v>
      </c>
      <c r="G931">
        <v>1304.8226318</v>
      </c>
      <c r="H931">
        <v>1293.5296631000001</v>
      </c>
      <c r="I931">
        <v>1391.932251</v>
      </c>
      <c r="J931">
        <v>1373.5610352000001</v>
      </c>
      <c r="K931">
        <v>0</v>
      </c>
      <c r="L931">
        <v>2200</v>
      </c>
      <c r="M931">
        <v>2200</v>
      </c>
      <c r="N931">
        <v>0</v>
      </c>
    </row>
    <row r="932" spans="1:14" x14ac:dyDescent="0.25">
      <c r="A932">
        <v>562.34771899999998</v>
      </c>
      <c r="B932" s="1">
        <f>DATE(2011,11,14) + TIME(8,20,42)</f>
        <v>40861.347708333335</v>
      </c>
      <c r="C932">
        <v>80</v>
      </c>
      <c r="D932">
        <v>77.865913391000007</v>
      </c>
      <c r="E932">
        <v>50</v>
      </c>
      <c r="F932">
        <v>49.957714080999999</v>
      </c>
      <c r="G932">
        <v>1304.7924805</v>
      </c>
      <c r="H932">
        <v>1293.4951172000001</v>
      </c>
      <c r="I932">
        <v>1391.8631591999999</v>
      </c>
      <c r="J932">
        <v>1373.5003661999999</v>
      </c>
      <c r="K932">
        <v>0</v>
      </c>
      <c r="L932">
        <v>2200</v>
      </c>
      <c r="M932">
        <v>2200</v>
      </c>
      <c r="N932">
        <v>0</v>
      </c>
    </row>
    <row r="933" spans="1:14" x14ac:dyDescent="0.25">
      <c r="A933">
        <v>563.07052999999996</v>
      </c>
      <c r="B933" s="1">
        <f>DATE(2011,11,15) + TIME(1,41,33)</f>
        <v>40862.070520833331</v>
      </c>
      <c r="C933">
        <v>80</v>
      </c>
      <c r="D933">
        <v>77.771820067999997</v>
      </c>
      <c r="E933">
        <v>50</v>
      </c>
      <c r="F933">
        <v>49.957836151000002</v>
      </c>
      <c r="G933">
        <v>1304.7612305</v>
      </c>
      <c r="H933">
        <v>1293.4594727000001</v>
      </c>
      <c r="I933">
        <v>1391.7955322</v>
      </c>
      <c r="J933">
        <v>1373.440918</v>
      </c>
      <c r="K933">
        <v>0</v>
      </c>
      <c r="L933">
        <v>2200</v>
      </c>
      <c r="M933">
        <v>2200</v>
      </c>
      <c r="N933">
        <v>0</v>
      </c>
    </row>
    <row r="934" spans="1:14" x14ac:dyDescent="0.25">
      <c r="A934">
        <v>563.82917299999997</v>
      </c>
      <c r="B934" s="1">
        <f>DATE(2011,11,15) + TIME(19,54,0)</f>
        <v>40862.82916666667</v>
      </c>
      <c r="C934">
        <v>80</v>
      </c>
      <c r="D934">
        <v>77.674774170000006</v>
      </c>
      <c r="E934">
        <v>50</v>
      </c>
      <c r="F934">
        <v>49.957935333000002</v>
      </c>
      <c r="G934">
        <v>1304.7287598</v>
      </c>
      <c r="H934">
        <v>1293.4221190999999</v>
      </c>
      <c r="I934">
        <v>1391.7286377</v>
      </c>
      <c r="J934">
        <v>1373.3823242000001</v>
      </c>
      <c r="K934">
        <v>0</v>
      </c>
      <c r="L934">
        <v>2200</v>
      </c>
      <c r="M934">
        <v>2200</v>
      </c>
      <c r="N934">
        <v>0</v>
      </c>
    </row>
    <row r="935" spans="1:14" x14ac:dyDescent="0.25">
      <c r="A935">
        <v>564.62293999999997</v>
      </c>
      <c r="B935" s="1">
        <f>DATE(2011,11,16) + TIME(14,57,2)</f>
        <v>40863.622939814813</v>
      </c>
      <c r="C935">
        <v>80</v>
      </c>
      <c r="D935">
        <v>77.574630737000007</v>
      </c>
      <c r="E935">
        <v>50</v>
      </c>
      <c r="F935">
        <v>49.958015441999997</v>
      </c>
      <c r="G935">
        <v>1304.6944579999999</v>
      </c>
      <c r="H935">
        <v>1293.3826904</v>
      </c>
      <c r="I935">
        <v>1391.6617432</v>
      </c>
      <c r="J935">
        <v>1373.3238524999999</v>
      </c>
      <c r="K935">
        <v>0</v>
      </c>
      <c r="L935">
        <v>2200</v>
      </c>
      <c r="M935">
        <v>2200</v>
      </c>
      <c r="N935">
        <v>0</v>
      </c>
    </row>
    <row r="936" spans="1:14" x14ac:dyDescent="0.25">
      <c r="A936">
        <v>565.44211900000005</v>
      </c>
      <c r="B936" s="1">
        <f>DATE(2011,11,17) + TIME(10,36,39)</f>
        <v>40864.442118055558</v>
      </c>
      <c r="C936">
        <v>80</v>
      </c>
      <c r="D936">
        <v>77.471961974999999</v>
      </c>
      <c r="E936">
        <v>50</v>
      </c>
      <c r="F936">
        <v>49.958084106000001</v>
      </c>
      <c r="G936">
        <v>1304.6583252</v>
      </c>
      <c r="H936">
        <v>1293.3414307</v>
      </c>
      <c r="I936">
        <v>1391.5952147999999</v>
      </c>
      <c r="J936">
        <v>1373.2657471</v>
      </c>
      <c r="K936">
        <v>0</v>
      </c>
      <c r="L936">
        <v>2200</v>
      </c>
      <c r="M936">
        <v>2200</v>
      </c>
      <c r="N936">
        <v>0</v>
      </c>
    </row>
    <row r="937" spans="1:14" x14ac:dyDescent="0.25">
      <c r="A937">
        <v>566.29447200000004</v>
      </c>
      <c r="B937" s="1">
        <f>DATE(2011,11,18) + TIME(7,4,2)</f>
        <v>40865.29446759259</v>
      </c>
      <c r="C937">
        <v>80</v>
      </c>
      <c r="D937">
        <v>77.366531371999997</v>
      </c>
      <c r="E937">
        <v>50</v>
      </c>
      <c r="F937">
        <v>49.958141327</v>
      </c>
      <c r="G937">
        <v>1304.6209716999999</v>
      </c>
      <c r="H937">
        <v>1293.2983397999999</v>
      </c>
      <c r="I937">
        <v>1391.5299072</v>
      </c>
      <c r="J937">
        <v>1373.2086182</v>
      </c>
      <c r="K937">
        <v>0</v>
      </c>
      <c r="L937">
        <v>2200</v>
      </c>
      <c r="M937">
        <v>2200</v>
      </c>
      <c r="N937">
        <v>0</v>
      </c>
    </row>
    <row r="938" spans="1:14" x14ac:dyDescent="0.25">
      <c r="A938">
        <v>567.18417699999998</v>
      </c>
      <c r="B938" s="1">
        <f>DATE(2011,11,19) + TIME(4,25,12)</f>
        <v>40866.184166666666</v>
      </c>
      <c r="C938">
        <v>80</v>
      </c>
      <c r="D938">
        <v>77.258056640999996</v>
      </c>
      <c r="E938">
        <v>50</v>
      </c>
      <c r="F938">
        <v>49.958194732999999</v>
      </c>
      <c r="G938">
        <v>1304.5819091999999</v>
      </c>
      <c r="H938">
        <v>1293.2532959</v>
      </c>
      <c r="I938">
        <v>1391.4650879000001</v>
      </c>
      <c r="J938">
        <v>1373.1522216999999</v>
      </c>
      <c r="K938">
        <v>0</v>
      </c>
      <c r="L938">
        <v>2200</v>
      </c>
      <c r="M938">
        <v>2200</v>
      </c>
      <c r="N938">
        <v>0</v>
      </c>
    </row>
    <row r="939" spans="1:14" x14ac:dyDescent="0.25">
      <c r="A939">
        <v>568.09100899999999</v>
      </c>
      <c r="B939" s="1">
        <f>DATE(2011,11,20) + TIME(2,11,3)</f>
        <v>40867.091006944444</v>
      </c>
      <c r="C939">
        <v>80</v>
      </c>
      <c r="D939">
        <v>77.147697449000006</v>
      </c>
      <c r="E939">
        <v>50</v>
      </c>
      <c r="F939">
        <v>49.958240508999999</v>
      </c>
      <c r="G939">
        <v>1304.5407714999999</v>
      </c>
      <c r="H939">
        <v>1293.2059326000001</v>
      </c>
      <c r="I939">
        <v>1391.4005127</v>
      </c>
      <c r="J939">
        <v>1373.0960693</v>
      </c>
      <c r="K939">
        <v>0</v>
      </c>
      <c r="L939">
        <v>2200</v>
      </c>
      <c r="M939">
        <v>2200</v>
      </c>
      <c r="N939">
        <v>0</v>
      </c>
    </row>
    <row r="940" spans="1:14" x14ac:dyDescent="0.25">
      <c r="A940">
        <v>569.024541</v>
      </c>
      <c r="B940" s="1">
        <f>DATE(2011,11,21) + TIME(0,35,20)</f>
        <v>40868.024537037039</v>
      </c>
      <c r="C940">
        <v>80</v>
      </c>
      <c r="D940">
        <v>77.035461425999998</v>
      </c>
      <c r="E940">
        <v>50</v>
      </c>
      <c r="F940">
        <v>49.958282470999997</v>
      </c>
      <c r="G940">
        <v>1304.4986572</v>
      </c>
      <c r="H940">
        <v>1293.1571045000001</v>
      </c>
      <c r="I940">
        <v>1391.3377685999999</v>
      </c>
      <c r="J940">
        <v>1373.0415039</v>
      </c>
      <c r="K940">
        <v>0</v>
      </c>
      <c r="L940">
        <v>2200</v>
      </c>
      <c r="M940">
        <v>2200</v>
      </c>
      <c r="N940">
        <v>0</v>
      </c>
    </row>
    <row r="941" spans="1:14" x14ac:dyDescent="0.25">
      <c r="A941">
        <v>569.99471000000005</v>
      </c>
      <c r="B941" s="1">
        <f>DATE(2011,11,21) + TIME(23,52,22)</f>
        <v>40868.994699074072</v>
      </c>
      <c r="C941">
        <v>80</v>
      </c>
      <c r="D941">
        <v>76.920814514</v>
      </c>
      <c r="E941">
        <v>50</v>
      </c>
      <c r="F941">
        <v>49.958320618000002</v>
      </c>
      <c r="G941">
        <v>1304.4549560999999</v>
      </c>
      <c r="H941">
        <v>1293.1064452999999</v>
      </c>
      <c r="I941">
        <v>1391.2762451000001</v>
      </c>
      <c r="J941">
        <v>1372.9879149999999</v>
      </c>
      <c r="K941">
        <v>0</v>
      </c>
      <c r="L941">
        <v>2200</v>
      </c>
      <c r="M941">
        <v>2200</v>
      </c>
      <c r="N941">
        <v>0</v>
      </c>
    </row>
    <row r="942" spans="1:14" x14ac:dyDescent="0.25">
      <c r="A942">
        <v>571.01275999999996</v>
      </c>
      <c r="B942" s="1">
        <f>DATE(2011,11,23) + TIME(0,18,22)</f>
        <v>40870.012754629628</v>
      </c>
      <c r="C942">
        <v>80</v>
      </c>
      <c r="D942">
        <v>76.802917480000005</v>
      </c>
      <c r="E942">
        <v>50</v>
      </c>
      <c r="F942">
        <v>49.958362579000003</v>
      </c>
      <c r="G942">
        <v>1304.4091797000001</v>
      </c>
      <c r="H942">
        <v>1293.0532227000001</v>
      </c>
      <c r="I942">
        <v>1391.2149658000001</v>
      </c>
      <c r="J942">
        <v>1372.9348144999999</v>
      </c>
      <c r="K942">
        <v>0</v>
      </c>
      <c r="L942">
        <v>2200</v>
      </c>
      <c r="M942">
        <v>2200</v>
      </c>
      <c r="N942">
        <v>0</v>
      </c>
    </row>
    <row r="943" spans="1:14" x14ac:dyDescent="0.25">
      <c r="A943">
        <v>572.09109899999999</v>
      </c>
      <c r="B943" s="1">
        <f>DATE(2011,11,24) + TIME(2,11,10)</f>
        <v>40871.091087962966</v>
      </c>
      <c r="C943">
        <v>80</v>
      </c>
      <c r="D943">
        <v>76.680740356000001</v>
      </c>
      <c r="E943">
        <v>50</v>
      </c>
      <c r="F943">
        <v>49.958404541</v>
      </c>
      <c r="G943">
        <v>1304.3608397999999</v>
      </c>
      <c r="H943">
        <v>1292.9967041</v>
      </c>
      <c r="I943">
        <v>1391.1535644999999</v>
      </c>
      <c r="J943">
        <v>1372.8815918</v>
      </c>
      <c r="K943">
        <v>0</v>
      </c>
      <c r="L943">
        <v>2200</v>
      </c>
      <c r="M943">
        <v>2200</v>
      </c>
      <c r="N943">
        <v>0</v>
      </c>
    </row>
    <row r="944" spans="1:14" x14ac:dyDescent="0.25">
      <c r="A944">
        <v>573.20067100000006</v>
      </c>
      <c r="B944" s="1">
        <f>DATE(2011,11,25) + TIME(4,48,57)</f>
        <v>40872.200659722221</v>
      </c>
      <c r="C944">
        <v>80</v>
      </c>
      <c r="D944">
        <v>76.555290221999996</v>
      </c>
      <c r="E944">
        <v>50</v>
      </c>
      <c r="F944">
        <v>49.958446502999998</v>
      </c>
      <c r="G944">
        <v>1304.309082</v>
      </c>
      <c r="H944">
        <v>1292.9362793</v>
      </c>
      <c r="I944">
        <v>1391.0914307</v>
      </c>
      <c r="J944">
        <v>1372.8277588000001</v>
      </c>
      <c r="K944">
        <v>0</v>
      </c>
      <c r="L944">
        <v>2200</v>
      </c>
      <c r="M944">
        <v>2200</v>
      </c>
      <c r="N944">
        <v>0</v>
      </c>
    </row>
    <row r="945" spans="1:14" x14ac:dyDescent="0.25">
      <c r="A945">
        <v>574.33783700000004</v>
      </c>
      <c r="B945" s="1">
        <f>DATE(2011,11,26) + TIME(8,6,29)</f>
        <v>40873.337835648148</v>
      </c>
      <c r="C945">
        <v>80</v>
      </c>
      <c r="D945">
        <v>76.427528381000002</v>
      </c>
      <c r="E945">
        <v>50</v>
      </c>
      <c r="F945">
        <v>49.958488463999998</v>
      </c>
      <c r="G945">
        <v>1304.255249</v>
      </c>
      <c r="H945">
        <v>1292.8732910000001</v>
      </c>
      <c r="I945">
        <v>1391.0301514</v>
      </c>
      <c r="J945">
        <v>1372.7747803</v>
      </c>
      <c r="K945">
        <v>0</v>
      </c>
      <c r="L945">
        <v>2200</v>
      </c>
      <c r="M945">
        <v>2200</v>
      </c>
      <c r="N945">
        <v>0</v>
      </c>
    </row>
    <row r="946" spans="1:14" x14ac:dyDescent="0.25">
      <c r="A946">
        <v>575.51288499999998</v>
      </c>
      <c r="B946" s="1">
        <f>DATE(2011,11,27) + TIME(12,18,33)</f>
        <v>40874.512881944444</v>
      </c>
      <c r="C946">
        <v>80</v>
      </c>
      <c r="D946">
        <v>76.297485351999995</v>
      </c>
      <c r="E946">
        <v>50</v>
      </c>
      <c r="F946">
        <v>49.958530426000003</v>
      </c>
      <c r="G946">
        <v>1304.1993408000001</v>
      </c>
      <c r="H946">
        <v>1292.8076172000001</v>
      </c>
      <c r="I946">
        <v>1390.9702147999999</v>
      </c>
      <c r="J946">
        <v>1372.7230225000001</v>
      </c>
      <c r="K946">
        <v>0</v>
      </c>
      <c r="L946">
        <v>2200</v>
      </c>
      <c r="M946">
        <v>2200</v>
      </c>
      <c r="N946">
        <v>0</v>
      </c>
    </row>
    <row r="947" spans="1:14" x14ac:dyDescent="0.25">
      <c r="A947">
        <v>576.71794499999999</v>
      </c>
      <c r="B947" s="1">
        <f>DATE(2011,11,28) + TIME(17,13,50)</f>
        <v>40875.717939814815</v>
      </c>
      <c r="C947">
        <v>80</v>
      </c>
      <c r="D947">
        <v>76.165496825999995</v>
      </c>
      <c r="E947">
        <v>50</v>
      </c>
      <c r="F947">
        <v>49.958572388</v>
      </c>
      <c r="G947">
        <v>1304.1409911999999</v>
      </c>
      <c r="H947">
        <v>1292.7387695</v>
      </c>
      <c r="I947">
        <v>1390.9108887</v>
      </c>
      <c r="J947">
        <v>1372.6717529</v>
      </c>
      <c r="K947">
        <v>0</v>
      </c>
      <c r="L947">
        <v>2200</v>
      </c>
      <c r="M947">
        <v>2200</v>
      </c>
      <c r="N947">
        <v>0</v>
      </c>
    </row>
    <row r="948" spans="1:14" x14ac:dyDescent="0.25">
      <c r="A948">
        <v>577.94977500000005</v>
      </c>
      <c r="B948" s="1">
        <f>DATE(2011,11,29) + TIME(22,47,40)</f>
        <v>40876.94976851852</v>
      </c>
      <c r="C948">
        <v>80</v>
      </c>
      <c r="D948">
        <v>76.032020568999997</v>
      </c>
      <c r="E948">
        <v>50</v>
      </c>
      <c r="F948">
        <v>49.958618164000001</v>
      </c>
      <c r="G948">
        <v>1304.0804443</v>
      </c>
      <c r="H948">
        <v>1292.6669922000001</v>
      </c>
      <c r="I948">
        <v>1390.8526611</v>
      </c>
      <c r="J948">
        <v>1372.6213379000001</v>
      </c>
      <c r="K948">
        <v>0</v>
      </c>
      <c r="L948">
        <v>2200</v>
      </c>
      <c r="M948">
        <v>2200</v>
      </c>
      <c r="N948">
        <v>0</v>
      </c>
    </row>
    <row r="949" spans="1:14" x14ac:dyDescent="0.25">
      <c r="A949">
        <v>579</v>
      </c>
      <c r="B949" s="1">
        <f>DATE(2011,12,1) + TIME(0,0,0)</f>
        <v>40878</v>
      </c>
      <c r="C949">
        <v>80</v>
      </c>
      <c r="D949">
        <v>75.907928467000005</v>
      </c>
      <c r="E949">
        <v>50</v>
      </c>
      <c r="F949">
        <v>49.958652495999999</v>
      </c>
      <c r="G949">
        <v>1304.0172118999999</v>
      </c>
      <c r="H949">
        <v>1292.5931396000001</v>
      </c>
      <c r="I949">
        <v>1390.7952881000001</v>
      </c>
      <c r="J949">
        <v>1372.5718993999999</v>
      </c>
      <c r="K949">
        <v>0</v>
      </c>
      <c r="L949">
        <v>2200</v>
      </c>
      <c r="M949">
        <v>2200</v>
      </c>
      <c r="N949">
        <v>0</v>
      </c>
    </row>
    <row r="950" spans="1:14" x14ac:dyDescent="0.25">
      <c r="A950">
        <v>580.27098599999999</v>
      </c>
      <c r="B950" s="1">
        <f>DATE(2011,12,2) + TIME(6,30,13)</f>
        <v>40879.270983796298</v>
      </c>
      <c r="C950">
        <v>80</v>
      </c>
      <c r="D950">
        <v>75.779472350999995</v>
      </c>
      <c r="E950">
        <v>50</v>
      </c>
      <c r="F950">
        <v>49.958702086999999</v>
      </c>
      <c r="G950">
        <v>1303.9631348</v>
      </c>
      <c r="H950">
        <v>1292.5268555</v>
      </c>
      <c r="I950">
        <v>1390.7486572</v>
      </c>
      <c r="J950">
        <v>1372.5316161999999</v>
      </c>
      <c r="K950">
        <v>0</v>
      </c>
      <c r="L950">
        <v>2200</v>
      </c>
      <c r="M950">
        <v>2200</v>
      </c>
      <c r="N950">
        <v>0</v>
      </c>
    </row>
    <row r="951" spans="1:14" x14ac:dyDescent="0.25">
      <c r="A951">
        <v>581.64986799999997</v>
      </c>
      <c r="B951" s="1">
        <f>DATE(2011,12,3) + TIME(15,35,48)</f>
        <v>40880.649861111109</v>
      </c>
      <c r="C951">
        <v>80</v>
      </c>
      <c r="D951">
        <v>75.643180846999996</v>
      </c>
      <c r="E951">
        <v>50</v>
      </c>
      <c r="F951">
        <v>49.958755492999998</v>
      </c>
      <c r="G951">
        <v>1303.8969727000001</v>
      </c>
      <c r="H951">
        <v>1292.4476318</v>
      </c>
      <c r="I951">
        <v>1390.6939697</v>
      </c>
      <c r="J951">
        <v>1372.4844971</v>
      </c>
      <c r="K951">
        <v>0</v>
      </c>
      <c r="L951">
        <v>2200</v>
      </c>
      <c r="M951">
        <v>2200</v>
      </c>
      <c r="N951">
        <v>0</v>
      </c>
    </row>
    <row r="952" spans="1:14" x14ac:dyDescent="0.25">
      <c r="A952">
        <v>583.09203500000001</v>
      </c>
      <c r="B952" s="1">
        <f>DATE(2011,12,5) + TIME(2,12,31)</f>
        <v>40882.09202546296</v>
      </c>
      <c r="C952">
        <v>80</v>
      </c>
      <c r="D952">
        <v>75.500083923000005</v>
      </c>
      <c r="E952">
        <v>50</v>
      </c>
      <c r="F952">
        <v>49.958808898999997</v>
      </c>
      <c r="G952">
        <v>1303.8238524999999</v>
      </c>
      <c r="H952">
        <v>1292.3601074000001</v>
      </c>
      <c r="I952">
        <v>1390.6369629000001</v>
      </c>
      <c r="J952">
        <v>1372.4354248</v>
      </c>
      <c r="K952">
        <v>0</v>
      </c>
      <c r="L952">
        <v>2200</v>
      </c>
      <c r="M952">
        <v>2200</v>
      </c>
      <c r="N952">
        <v>0</v>
      </c>
    </row>
    <row r="953" spans="1:14" x14ac:dyDescent="0.25">
      <c r="A953">
        <v>584.54175199999997</v>
      </c>
      <c r="B953" s="1">
        <f>DATE(2011,12,6) + TIME(13,0,7)</f>
        <v>40883.541747685187</v>
      </c>
      <c r="C953">
        <v>80</v>
      </c>
      <c r="D953">
        <v>75.353851317999997</v>
      </c>
      <c r="E953">
        <v>50</v>
      </c>
      <c r="F953">
        <v>49.958862304999997</v>
      </c>
      <c r="G953">
        <v>1303.7460937999999</v>
      </c>
      <c r="H953">
        <v>1292.2667236</v>
      </c>
      <c r="I953">
        <v>1390.5797118999999</v>
      </c>
      <c r="J953">
        <v>1372.3859863</v>
      </c>
      <c r="K953">
        <v>0</v>
      </c>
      <c r="L953">
        <v>2200</v>
      </c>
      <c r="M953">
        <v>2200</v>
      </c>
      <c r="N953">
        <v>0</v>
      </c>
    </row>
    <row r="954" spans="1:14" x14ac:dyDescent="0.25">
      <c r="A954">
        <v>586.01363400000002</v>
      </c>
      <c r="B954" s="1">
        <f>DATE(2011,12,8) + TIME(0,19,37)</f>
        <v>40885.013622685183</v>
      </c>
      <c r="C954">
        <v>80</v>
      </c>
      <c r="D954">
        <v>75.206672667999996</v>
      </c>
      <c r="E954">
        <v>50</v>
      </c>
      <c r="F954">
        <v>49.958919524999999</v>
      </c>
      <c r="G954">
        <v>1303.6663818</v>
      </c>
      <c r="H954">
        <v>1292.1702881000001</v>
      </c>
      <c r="I954">
        <v>1390.5244141000001</v>
      </c>
      <c r="J954">
        <v>1372.3383789</v>
      </c>
      <c r="K954">
        <v>0</v>
      </c>
      <c r="L954">
        <v>2200</v>
      </c>
      <c r="M954">
        <v>2200</v>
      </c>
      <c r="N954">
        <v>0</v>
      </c>
    </row>
    <row r="955" spans="1:14" x14ac:dyDescent="0.25">
      <c r="A955">
        <v>587.52264400000001</v>
      </c>
      <c r="B955" s="1">
        <f>DATE(2011,12,9) + TIME(12,32,36)</f>
        <v>40886.522638888891</v>
      </c>
      <c r="C955">
        <v>80</v>
      </c>
      <c r="D955">
        <v>75.058570861999996</v>
      </c>
      <c r="E955">
        <v>50</v>
      </c>
      <c r="F955">
        <v>49.958972930999998</v>
      </c>
      <c r="G955">
        <v>1303.5841064000001</v>
      </c>
      <c r="H955">
        <v>1292.0701904</v>
      </c>
      <c r="I955">
        <v>1390.4704589999999</v>
      </c>
      <c r="J955">
        <v>1372.2918701000001</v>
      </c>
      <c r="K955">
        <v>0</v>
      </c>
      <c r="L955">
        <v>2200</v>
      </c>
      <c r="M955">
        <v>2200</v>
      </c>
      <c r="N955">
        <v>0</v>
      </c>
    </row>
    <row r="956" spans="1:14" x14ac:dyDescent="0.25">
      <c r="A956">
        <v>589.08458099999996</v>
      </c>
      <c r="B956" s="1">
        <f>DATE(2011,12,11) + TIME(2,1,47)</f>
        <v>40888.08457175926</v>
      </c>
      <c r="C956">
        <v>80</v>
      </c>
      <c r="D956">
        <v>74.908615112000007</v>
      </c>
      <c r="E956">
        <v>50</v>
      </c>
      <c r="F956">
        <v>49.959033966</v>
      </c>
      <c r="G956">
        <v>1303.4982910000001</v>
      </c>
      <c r="H956">
        <v>1291.9652100000001</v>
      </c>
      <c r="I956">
        <v>1390.4172363</v>
      </c>
      <c r="J956">
        <v>1372.2460937999999</v>
      </c>
      <c r="K956">
        <v>0</v>
      </c>
      <c r="L956">
        <v>2200</v>
      </c>
      <c r="M956">
        <v>2200</v>
      </c>
      <c r="N956">
        <v>0</v>
      </c>
    </row>
    <row r="957" spans="1:14" x14ac:dyDescent="0.25">
      <c r="A957">
        <v>590.71718199999998</v>
      </c>
      <c r="B957" s="1">
        <f>DATE(2011,12,12) + TIME(17,12,44)</f>
        <v>40889.717175925929</v>
      </c>
      <c r="C957">
        <v>80</v>
      </c>
      <c r="D957">
        <v>74.755554199000002</v>
      </c>
      <c r="E957">
        <v>50</v>
      </c>
      <c r="F957">
        <v>49.959098816000001</v>
      </c>
      <c r="G957">
        <v>1303.4078368999999</v>
      </c>
      <c r="H957">
        <v>1291.8540039</v>
      </c>
      <c r="I957">
        <v>1390.3641356999999</v>
      </c>
      <c r="J957">
        <v>1372.2003173999999</v>
      </c>
      <c r="K957">
        <v>0</v>
      </c>
      <c r="L957">
        <v>2200</v>
      </c>
      <c r="M957">
        <v>2200</v>
      </c>
      <c r="N957">
        <v>0</v>
      </c>
    </row>
    <row r="958" spans="1:14" x14ac:dyDescent="0.25">
      <c r="A958">
        <v>592.44142999999997</v>
      </c>
      <c r="B958" s="1">
        <f>DATE(2011,12,14) + TIME(10,35,39)</f>
        <v>40891.441423611112</v>
      </c>
      <c r="C958">
        <v>80</v>
      </c>
      <c r="D958">
        <v>74.597923279</v>
      </c>
      <c r="E958">
        <v>50</v>
      </c>
      <c r="F958">
        <v>49.959163666000002</v>
      </c>
      <c r="G958">
        <v>1303.3114014</v>
      </c>
      <c r="H958">
        <v>1291.7352295000001</v>
      </c>
      <c r="I958">
        <v>1390.3107910000001</v>
      </c>
      <c r="J958">
        <v>1372.1544189000001</v>
      </c>
      <c r="K958">
        <v>0</v>
      </c>
      <c r="L958">
        <v>2200</v>
      </c>
      <c r="M958">
        <v>2200</v>
      </c>
      <c r="N958">
        <v>0</v>
      </c>
    </row>
    <row r="959" spans="1:14" x14ac:dyDescent="0.25">
      <c r="A959">
        <v>594.18868299999997</v>
      </c>
      <c r="B959" s="1">
        <f>DATE(2011,12,16) + TIME(4,31,42)</f>
        <v>40893.188680555555</v>
      </c>
      <c r="C959">
        <v>80</v>
      </c>
      <c r="D959">
        <v>74.436912536999998</v>
      </c>
      <c r="E959">
        <v>50</v>
      </c>
      <c r="F959">
        <v>49.959232329999999</v>
      </c>
      <c r="G959">
        <v>1303.2075195</v>
      </c>
      <c r="H959">
        <v>1291.6069336</v>
      </c>
      <c r="I959">
        <v>1390.2564697</v>
      </c>
      <c r="J959">
        <v>1372.1076660000001</v>
      </c>
      <c r="K959">
        <v>0</v>
      </c>
      <c r="L959">
        <v>2200</v>
      </c>
      <c r="M959">
        <v>2200</v>
      </c>
      <c r="N959">
        <v>0</v>
      </c>
    </row>
    <row r="960" spans="1:14" x14ac:dyDescent="0.25">
      <c r="A960">
        <v>595.95767000000001</v>
      </c>
      <c r="B960" s="1">
        <f>DATE(2011,12,17) + TIME(22,59,2)</f>
        <v>40894.957662037035</v>
      </c>
      <c r="C960">
        <v>80</v>
      </c>
      <c r="D960">
        <v>74.274932860999996</v>
      </c>
      <c r="E960">
        <v>50</v>
      </c>
      <c r="F960">
        <v>49.959300995</v>
      </c>
      <c r="G960">
        <v>1303.0998535000001</v>
      </c>
      <c r="H960">
        <v>1291.4730225000001</v>
      </c>
      <c r="I960">
        <v>1390.2034911999999</v>
      </c>
      <c r="J960">
        <v>1372.0620117000001</v>
      </c>
      <c r="K960">
        <v>0</v>
      </c>
      <c r="L960">
        <v>2200</v>
      </c>
      <c r="M960">
        <v>2200</v>
      </c>
      <c r="N960">
        <v>0</v>
      </c>
    </row>
    <row r="961" spans="1:14" x14ac:dyDescent="0.25">
      <c r="A961">
        <v>597.76712899999995</v>
      </c>
      <c r="B961" s="1">
        <f>DATE(2011,12,19) + TIME(18,24,39)</f>
        <v>40896.767118055555</v>
      </c>
      <c r="C961">
        <v>80</v>
      </c>
      <c r="D961">
        <v>74.112266540999997</v>
      </c>
      <c r="E961">
        <v>50</v>
      </c>
      <c r="F961">
        <v>49.959369658999996</v>
      </c>
      <c r="G961">
        <v>1302.9882812000001</v>
      </c>
      <c r="H961">
        <v>1291.3337402</v>
      </c>
      <c r="I961">
        <v>1390.1517334</v>
      </c>
      <c r="J961">
        <v>1372.0174560999999</v>
      </c>
      <c r="K961">
        <v>0</v>
      </c>
      <c r="L961">
        <v>2200</v>
      </c>
      <c r="M961">
        <v>2200</v>
      </c>
      <c r="N961">
        <v>0</v>
      </c>
    </row>
    <row r="962" spans="1:14" x14ac:dyDescent="0.25">
      <c r="A962">
        <v>599.636663</v>
      </c>
      <c r="B962" s="1">
        <f>DATE(2011,12,21) + TIME(15,16,47)</f>
        <v>40898.636655092596</v>
      </c>
      <c r="C962">
        <v>80</v>
      </c>
      <c r="D962">
        <v>73.947914123999993</v>
      </c>
      <c r="E962">
        <v>50</v>
      </c>
      <c r="F962">
        <v>49.959442138999997</v>
      </c>
      <c r="G962">
        <v>1302.8718262</v>
      </c>
      <c r="H962">
        <v>1291.1873779</v>
      </c>
      <c r="I962">
        <v>1390.1008300999999</v>
      </c>
      <c r="J962">
        <v>1371.9735106999999</v>
      </c>
      <c r="K962">
        <v>0</v>
      </c>
      <c r="L962">
        <v>2200</v>
      </c>
      <c r="M962">
        <v>2200</v>
      </c>
      <c r="N962">
        <v>0</v>
      </c>
    </row>
    <row r="963" spans="1:14" x14ac:dyDescent="0.25">
      <c r="A963">
        <v>601.57074699999998</v>
      </c>
      <c r="B963" s="1">
        <f>DATE(2011,12,23) + TIME(13,41,52)</f>
        <v>40900.570740740739</v>
      </c>
      <c r="C963">
        <v>80</v>
      </c>
      <c r="D963">
        <v>73.780876160000005</v>
      </c>
      <c r="E963">
        <v>50</v>
      </c>
      <c r="F963">
        <v>49.959518433</v>
      </c>
      <c r="G963">
        <v>1302.7487793</v>
      </c>
      <c r="H963">
        <v>1291.0322266000001</v>
      </c>
      <c r="I963">
        <v>1390.0500488</v>
      </c>
      <c r="J963">
        <v>1371.9296875</v>
      </c>
      <c r="K963">
        <v>0</v>
      </c>
      <c r="L963">
        <v>2200</v>
      </c>
      <c r="M963">
        <v>2200</v>
      </c>
      <c r="N963">
        <v>0</v>
      </c>
    </row>
    <row r="964" spans="1:14" x14ac:dyDescent="0.25">
      <c r="A964">
        <v>603.56229499999995</v>
      </c>
      <c r="B964" s="1">
        <f>DATE(2011,12,25) + TIME(13,29,42)</f>
        <v>40902.562291666669</v>
      </c>
      <c r="C964">
        <v>80</v>
      </c>
      <c r="D964">
        <v>73.610931395999998</v>
      </c>
      <c r="E964">
        <v>50</v>
      </c>
      <c r="F964">
        <v>49.959594727000002</v>
      </c>
      <c r="G964">
        <v>1302.6186522999999</v>
      </c>
      <c r="H964">
        <v>1290.8674315999999</v>
      </c>
      <c r="I964">
        <v>1389.9992675999999</v>
      </c>
      <c r="J964">
        <v>1371.8859863</v>
      </c>
      <c r="K964">
        <v>0</v>
      </c>
      <c r="L964">
        <v>2200</v>
      </c>
      <c r="M964">
        <v>2200</v>
      </c>
      <c r="N964">
        <v>0</v>
      </c>
    </row>
    <row r="965" spans="1:14" x14ac:dyDescent="0.25">
      <c r="A965">
        <v>605.57185000000004</v>
      </c>
      <c r="B965" s="1">
        <f>DATE(2011,12,27) + TIME(13,43,27)</f>
        <v>40904.571840277778</v>
      </c>
      <c r="C965">
        <v>80</v>
      </c>
      <c r="D965">
        <v>73.439285278</v>
      </c>
      <c r="E965">
        <v>50</v>
      </c>
      <c r="F965">
        <v>49.959674835000001</v>
      </c>
      <c r="G965">
        <v>1302.4815673999999</v>
      </c>
      <c r="H965">
        <v>1290.6931152</v>
      </c>
      <c r="I965">
        <v>1389.9487305</v>
      </c>
      <c r="J965">
        <v>1371.8424072</v>
      </c>
      <c r="K965">
        <v>0</v>
      </c>
      <c r="L965">
        <v>2200</v>
      </c>
      <c r="M965">
        <v>2200</v>
      </c>
      <c r="N965">
        <v>0</v>
      </c>
    </row>
    <row r="966" spans="1:14" x14ac:dyDescent="0.25">
      <c r="A966">
        <v>607.61145299999998</v>
      </c>
      <c r="B966" s="1">
        <f>DATE(2011,12,29) + TIME(14,40,29)</f>
        <v>40906.611446759256</v>
      </c>
      <c r="C966">
        <v>80</v>
      </c>
      <c r="D966">
        <v>73.267173767000003</v>
      </c>
      <c r="E966">
        <v>50</v>
      </c>
      <c r="F966">
        <v>49.959754943999997</v>
      </c>
      <c r="G966">
        <v>1302.3395995999999</v>
      </c>
      <c r="H966">
        <v>1290.5115966999999</v>
      </c>
      <c r="I966">
        <v>1389.8995361</v>
      </c>
      <c r="J966">
        <v>1371.8000488</v>
      </c>
      <c r="K966">
        <v>0</v>
      </c>
      <c r="L966">
        <v>2200</v>
      </c>
      <c r="M966">
        <v>2200</v>
      </c>
      <c r="N966">
        <v>0</v>
      </c>
    </row>
    <row r="967" spans="1:14" x14ac:dyDescent="0.25">
      <c r="A967">
        <v>609.67762300000004</v>
      </c>
      <c r="B967" s="1">
        <f>DATE(2011,12,31) + TIME(16,15,46)</f>
        <v>40908.677615740744</v>
      </c>
      <c r="C967">
        <v>80</v>
      </c>
      <c r="D967">
        <v>73.094627380000006</v>
      </c>
      <c r="E967">
        <v>50</v>
      </c>
      <c r="F967">
        <v>49.959835052000003</v>
      </c>
      <c r="G967">
        <v>1302.1922606999999</v>
      </c>
      <c r="H967">
        <v>1290.3222656</v>
      </c>
      <c r="I967">
        <v>1389.8513184000001</v>
      </c>
      <c r="J967">
        <v>1371.7583007999999</v>
      </c>
      <c r="K967">
        <v>0</v>
      </c>
      <c r="L967">
        <v>2200</v>
      </c>
      <c r="M967">
        <v>2200</v>
      </c>
      <c r="N967">
        <v>0</v>
      </c>
    </row>
    <row r="968" spans="1:14" x14ac:dyDescent="0.25">
      <c r="A968">
        <v>610</v>
      </c>
      <c r="B968" s="1">
        <f>DATE(2012,1,1) + TIME(0,0,0)</f>
        <v>40909</v>
      </c>
      <c r="C968">
        <v>80</v>
      </c>
      <c r="D968">
        <v>73.030891417999996</v>
      </c>
      <c r="E968">
        <v>50</v>
      </c>
      <c r="F968">
        <v>49.959838867000002</v>
      </c>
      <c r="G968">
        <v>1302.0465088000001</v>
      </c>
      <c r="H968">
        <v>1290.151001</v>
      </c>
      <c r="I968">
        <v>1389.8029785000001</v>
      </c>
      <c r="J968">
        <v>1371.7165527</v>
      </c>
      <c r="K968">
        <v>0</v>
      </c>
      <c r="L968">
        <v>2200</v>
      </c>
      <c r="M968">
        <v>2200</v>
      </c>
      <c r="N968">
        <v>0</v>
      </c>
    </row>
    <row r="969" spans="1:14" x14ac:dyDescent="0.25">
      <c r="A969">
        <v>612.09485099999995</v>
      </c>
      <c r="B969" s="1">
        <f>DATE(2012,1,3) + TIME(2,16,35)</f>
        <v>40911.094849537039</v>
      </c>
      <c r="C969">
        <v>80</v>
      </c>
      <c r="D969">
        <v>72.883399963000002</v>
      </c>
      <c r="E969">
        <v>50</v>
      </c>
      <c r="F969">
        <v>49.959926605</v>
      </c>
      <c r="G969">
        <v>1302.0109863</v>
      </c>
      <c r="H969">
        <v>1290.0855713000001</v>
      </c>
      <c r="I969">
        <v>1389.7967529</v>
      </c>
      <c r="J969">
        <v>1371.7111815999999</v>
      </c>
      <c r="K969">
        <v>0</v>
      </c>
      <c r="L969">
        <v>2200</v>
      </c>
      <c r="M969">
        <v>2200</v>
      </c>
      <c r="N969">
        <v>0</v>
      </c>
    </row>
    <row r="970" spans="1:14" x14ac:dyDescent="0.25">
      <c r="A970">
        <v>614.22813399999995</v>
      </c>
      <c r="B970" s="1">
        <f>DATE(2012,1,5) + TIME(5,28,30)</f>
        <v>40913.228125000001</v>
      </c>
      <c r="C970">
        <v>80</v>
      </c>
      <c r="D970">
        <v>72.717636107999994</v>
      </c>
      <c r="E970">
        <v>50</v>
      </c>
      <c r="F970">
        <v>49.960010529000002</v>
      </c>
      <c r="G970">
        <v>1301.8544922000001</v>
      </c>
      <c r="H970">
        <v>1289.8843993999999</v>
      </c>
      <c r="I970">
        <v>1389.7506103999999</v>
      </c>
      <c r="J970">
        <v>1371.6712646000001</v>
      </c>
      <c r="K970">
        <v>0</v>
      </c>
      <c r="L970">
        <v>2200</v>
      </c>
      <c r="M970">
        <v>2200</v>
      </c>
      <c r="N970">
        <v>0</v>
      </c>
    </row>
    <row r="971" spans="1:14" x14ac:dyDescent="0.25">
      <c r="A971">
        <v>616.39839099999995</v>
      </c>
      <c r="B971" s="1">
        <f>DATE(2012,1,7) + TIME(9,33,40)</f>
        <v>40915.398379629631</v>
      </c>
      <c r="C971">
        <v>80</v>
      </c>
      <c r="D971">
        <v>72.545036315999994</v>
      </c>
      <c r="E971">
        <v>50</v>
      </c>
      <c r="F971">
        <v>49.960094452</v>
      </c>
      <c r="G971">
        <v>1301.6893310999999</v>
      </c>
      <c r="H971">
        <v>1289.6697998</v>
      </c>
      <c r="I971">
        <v>1389.7050781</v>
      </c>
      <c r="J971">
        <v>1371.6318358999999</v>
      </c>
      <c r="K971">
        <v>0</v>
      </c>
      <c r="L971">
        <v>2200</v>
      </c>
      <c r="M971">
        <v>2200</v>
      </c>
      <c r="N971">
        <v>0</v>
      </c>
    </row>
    <row r="972" spans="1:14" x14ac:dyDescent="0.25">
      <c r="A972">
        <v>618.59128299999998</v>
      </c>
      <c r="B972" s="1">
        <f>DATE(2012,1,9) + TIME(14,11,26)</f>
        <v>40917.591273148151</v>
      </c>
      <c r="C972">
        <v>80</v>
      </c>
      <c r="D972">
        <v>72.369461060000006</v>
      </c>
      <c r="E972">
        <v>50</v>
      </c>
      <c r="F972">
        <v>49.960182189999998</v>
      </c>
      <c r="G972">
        <v>1301.5167236</v>
      </c>
      <c r="H972">
        <v>1289.4444579999999</v>
      </c>
      <c r="I972">
        <v>1389.6600341999999</v>
      </c>
      <c r="J972">
        <v>1371.5930175999999</v>
      </c>
      <c r="K972">
        <v>0</v>
      </c>
      <c r="L972">
        <v>2200</v>
      </c>
      <c r="M972">
        <v>2200</v>
      </c>
      <c r="N972">
        <v>0</v>
      </c>
    </row>
    <row r="973" spans="1:14" x14ac:dyDescent="0.25">
      <c r="A973">
        <v>620.80388300000004</v>
      </c>
      <c r="B973" s="1">
        <f>DATE(2012,1,11) + TIME(19,17,35)</f>
        <v>40919.803877314815</v>
      </c>
      <c r="C973">
        <v>80</v>
      </c>
      <c r="D973">
        <v>72.192474364999995</v>
      </c>
      <c r="E973">
        <v>50</v>
      </c>
      <c r="F973">
        <v>49.960266113000003</v>
      </c>
      <c r="G973">
        <v>1301.3381348</v>
      </c>
      <c r="H973">
        <v>1289.2098389</v>
      </c>
      <c r="I973">
        <v>1389.6159668</v>
      </c>
      <c r="J973">
        <v>1371.5548096</v>
      </c>
      <c r="K973">
        <v>0</v>
      </c>
      <c r="L973">
        <v>2200</v>
      </c>
      <c r="M973">
        <v>2200</v>
      </c>
      <c r="N973">
        <v>0</v>
      </c>
    </row>
    <row r="974" spans="1:14" x14ac:dyDescent="0.25">
      <c r="A974">
        <v>623.040753</v>
      </c>
      <c r="B974" s="1">
        <f>DATE(2012,1,14) + TIME(0,58,41)</f>
        <v>40922.040752314817</v>
      </c>
      <c r="C974">
        <v>80</v>
      </c>
      <c r="D974">
        <v>72.014373778999996</v>
      </c>
      <c r="E974">
        <v>50</v>
      </c>
      <c r="F974">
        <v>49.960353851000001</v>
      </c>
      <c r="G974">
        <v>1301.1535644999999</v>
      </c>
      <c r="H974">
        <v>1288.9664307</v>
      </c>
      <c r="I974">
        <v>1389.5727539</v>
      </c>
      <c r="J974">
        <v>1371.5173339999999</v>
      </c>
      <c r="K974">
        <v>0</v>
      </c>
      <c r="L974">
        <v>2200</v>
      </c>
      <c r="M974">
        <v>2200</v>
      </c>
      <c r="N974">
        <v>0</v>
      </c>
    </row>
    <row r="975" spans="1:14" x14ac:dyDescent="0.25">
      <c r="A975">
        <v>625.30629599999997</v>
      </c>
      <c r="B975" s="1">
        <f>DATE(2012,1,16) + TIME(7,21,3)</f>
        <v>40924.306284722225</v>
      </c>
      <c r="C975">
        <v>80</v>
      </c>
      <c r="D975">
        <v>71.834808350000003</v>
      </c>
      <c r="E975">
        <v>50</v>
      </c>
      <c r="F975">
        <v>49.960441588999998</v>
      </c>
      <c r="G975">
        <v>1300.9627685999999</v>
      </c>
      <c r="H975">
        <v>1288.7137451000001</v>
      </c>
      <c r="I975">
        <v>1389.5302733999999</v>
      </c>
      <c r="J975">
        <v>1371.4805908000001</v>
      </c>
      <c r="K975">
        <v>0</v>
      </c>
      <c r="L975">
        <v>2200</v>
      </c>
      <c r="M975">
        <v>2200</v>
      </c>
      <c r="N975">
        <v>0</v>
      </c>
    </row>
    <row r="976" spans="1:14" x14ac:dyDescent="0.25">
      <c r="A976">
        <v>627.60150399999998</v>
      </c>
      <c r="B976" s="1">
        <f>DATE(2012,1,18) + TIME(14,26,9)</f>
        <v>40926.601493055554</v>
      </c>
      <c r="C976">
        <v>80</v>
      </c>
      <c r="D976">
        <v>71.653297424000002</v>
      </c>
      <c r="E976">
        <v>50</v>
      </c>
      <c r="F976">
        <v>49.960529327000003</v>
      </c>
      <c r="G976">
        <v>1300.7653809000001</v>
      </c>
      <c r="H976">
        <v>1288.4512939000001</v>
      </c>
      <c r="I976">
        <v>1389.4885254000001</v>
      </c>
      <c r="J976">
        <v>1371.4443358999999</v>
      </c>
      <c r="K976">
        <v>0</v>
      </c>
      <c r="L976">
        <v>2200</v>
      </c>
      <c r="M976">
        <v>2200</v>
      </c>
      <c r="N976">
        <v>0</v>
      </c>
    </row>
    <row r="977" spans="1:14" x14ac:dyDescent="0.25">
      <c r="A977">
        <v>629.92396499999995</v>
      </c>
      <c r="B977" s="1">
        <f>DATE(2012,1,20) + TIME(22,10,30)</f>
        <v>40928.923958333333</v>
      </c>
      <c r="C977">
        <v>80</v>
      </c>
      <c r="D977">
        <v>71.469497681000007</v>
      </c>
      <c r="E977">
        <v>50</v>
      </c>
      <c r="F977">
        <v>49.960617065000001</v>
      </c>
      <c r="G977">
        <v>1300.5609131000001</v>
      </c>
      <c r="H977">
        <v>1288.1784668</v>
      </c>
      <c r="I977">
        <v>1389.4472656</v>
      </c>
      <c r="J977">
        <v>1371.4085693</v>
      </c>
      <c r="K977">
        <v>0</v>
      </c>
      <c r="L977">
        <v>2200</v>
      </c>
      <c r="M977">
        <v>2200</v>
      </c>
      <c r="N977">
        <v>0</v>
      </c>
    </row>
    <row r="978" spans="1:14" x14ac:dyDescent="0.25">
      <c r="A978">
        <v>632.27812500000005</v>
      </c>
      <c r="B978" s="1">
        <f>DATE(2012,1,23) + TIME(6,40,29)</f>
        <v>40931.278113425928</v>
      </c>
      <c r="C978">
        <v>80</v>
      </c>
      <c r="D978">
        <v>71.283035278</v>
      </c>
      <c r="E978">
        <v>50</v>
      </c>
      <c r="F978">
        <v>49.960708617999998</v>
      </c>
      <c r="G978">
        <v>1300.3496094</v>
      </c>
      <c r="H978">
        <v>1287.8953856999999</v>
      </c>
      <c r="I978">
        <v>1389.4067382999999</v>
      </c>
      <c r="J978">
        <v>1371.3732910000001</v>
      </c>
      <c r="K978">
        <v>0</v>
      </c>
      <c r="L978">
        <v>2200</v>
      </c>
      <c r="M978">
        <v>2200</v>
      </c>
      <c r="N978">
        <v>0</v>
      </c>
    </row>
    <row r="979" spans="1:14" x14ac:dyDescent="0.25">
      <c r="A979">
        <v>634.66660200000001</v>
      </c>
      <c r="B979" s="1">
        <f>DATE(2012,1,25) + TIME(15,59,54)</f>
        <v>40933.666597222225</v>
      </c>
      <c r="C979">
        <v>80</v>
      </c>
      <c r="D979">
        <v>71.093307495000005</v>
      </c>
      <c r="E979">
        <v>50</v>
      </c>
      <c r="F979">
        <v>49.960800171000002</v>
      </c>
      <c r="G979">
        <v>1300.1308594</v>
      </c>
      <c r="H979">
        <v>1287.6013184000001</v>
      </c>
      <c r="I979">
        <v>1389.3665771000001</v>
      </c>
      <c r="J979">
        <v>1371.338501</v>
      </c>
      <c r="K979">
        <v>0</v>
      </c>
      <c r="L979">
        <v>2200</v>
      </c>
      <c r="M979">
        <v>2200</v>
      </c>
      <c r="N979">
        <v>0</v>
      </c>
    </row>
    <row r="980" spans="1:14" x14ac:dyDescent="0.25">
      <c r="A980">
        <v>637.074749</v>
      </c>
      <c r="B980" s="1">
        <f>DATE(2012,1,28) + TIME(1,47,38)</f>
        <v>40936.074745370373</v>
      </c>
      <c r="C980">
        <v>80</v>
      </c>
      <c r="D980">
        <v>70.900077820000007</v>
      </c>
      <c r="E980">
        <v>50</v>
      </c>
      <c r="F980">
        <v>49.960891724</v>
      </c>
      <c r="G980">
        <v>1299.9045410000001</v>
      </c>
      <c r="H980">
        <v>1287.2957764</v>
      </c>
      <c r="I980">
        <v>1389.3269043</v>
      </c>
      <c r="J980">
        <v>1371.3039550999999</v>
      </c>
      <c r="K980">
        <v>0</v>
      </c>
      <c r="L980">
        <v>2200</v>
      </c>
      <c r="M980">
        <v>2200</v>
      </c>
      <c r="N980">
        <v>0</v>
      </c>
    </row>
    <row r="981" spans="1:14" x14ac:dyDescent="0.25">
      <c r="A981">
        <v>639.50756699999999</v>
      </c>
      <c r="B981" s="1">
        <f>DATE(2012,1,30) + TIME(12,10,53)</f>
        <v>40938.507557870369</v>
      </c>
      <c r="C981">
        <v>80</v>
      </c>
      <c r="D981">
        <v>70.703361510999997</v>
      </c>
      <c r="E981">
        <v>50</v>
      </c>
      <c r="F981">
        <v>49.960983276</v>
      </c>
      <c r="G981">
        <v>1299.6715088000001</v>
      </c>
      <c r="H981">
        <v>1286.9801024999999</v>
      </c>
      <c r="I981">
        <v>1389.2878418</v>
      </c>
      <c r="J981">
        <v>1371.2700195</v>
      </c>
      <c r="K981">
        <v>0</v>
      </c>
      <c r="L981">
        <v>2200</v>
      </c>
      <c r="M981">
        <v>2200</v>
      </c>
      <c r="N981">
        <v>0</v>
      </c>
    </row>
    <row r="982" spans="1:14" x14ac:dyDescent="0.25">
      <c r="A982">
        <v>641</v>
      </c>
      <c r="B982" s="1">
        <f>DATE(2012,2,1) + TIME(0,0,0)</f>
        <v>40940</v>
      </c>
      <c r="C982">
        <v>80</v>
      </c>
      <c r="D982">
        <v>70.532653808999996</v>
      </c>
      <c r="E982">
        <v>50</v>
      </c>
      <c r="F982">
        <v>49.961036682</v>
      </c>
      <c r="G982">
        <v>1299.4355469</v>
      </c>
      <c r="H982">
        <v>1286.6656493999999</v>
      </c>
      <c r="I982">
        <v>1389.2486572</v>
      </c>
      <c r="J982">
        <v>1371.2358397999999</v>
      </c>
      <c r="K982">
        <v>0</v>
      </c>
      <c r="L982">
        <v>2200</v>
      </c>
      <c r="M982">
        <v>2200</v>
      </c>
      <c r="N982">
        <v>0</v>
      </c>
    </row>
    <row r="983" spans="1:14" x14ac:dyDescent="0.25">
      <c r="A983">
        <v>643.46227999999996</v>
      </c>
      <c r="B983" s="1">
        <f>DATE(2012,2,3) + TIME(11,5,40)</f>
        <v>40942.462268518517</v>
      </c>
      <c r="C983">
        <v>80</v>
      </c>
      <c r="D983">
        <v>70.364860535000005</v>
      </c>
      <c r="E983">
        <v>50</v>
      </c>
      <c r="F983">
        <v>49.961132050000003</v>
      </c>
      <c r="G983">
        <v>1299.2728271000001</v>
      </c>
      <c r="H983">
        <v>1286.4327393000001</v>
      </c>
      <c r="I983">
        <v>1389.2261963000001</v>
      </c>
      <c r="J983">
        <v>1371.2161865</v>
      </c>
      <c r="K983">
        <v>0</v>
      </c>
      <c r="L983">
        <v>2200</v>
      </c>
      <c r="M983">
        <v>2200</v>
      </c>
      <c r="N983">
        <v>0</v>
      </c>
    </row>
    <row r="984" spans="1:14" x14ac:dyDescent="0.25">
      <c r="A984">
        <v>645.96576400000004</v>
      </c>
      <c r="B984" s="1">
        <f>DATE(2012,2,5) + TIME(23,10,42)</f>
        <v>40944.965763888889</v>
      </c>
      <c r="C984">
        <v>80</v>
      </c>
      <c r="D984">
        <v>70.166580199999999</v>
      </c>
      <c r="E984">
        <v>50</v>
      </c>
      <c r="F984">
        <v>49.961227417000003</v>
      </c>
      <c r="G984">
        <v>1299.0288086</v>
      </c>
      <c r="H984">
        <v>1286.1021728999999</v>
      </c>
      <c r="I984">
        <v>1389.1884766000001</v>
      </c>
      <c r="J984">
        <v>1371.1833495999999</v>
      </c>
      <c r="K984">
        <v>0</v>
      </c>
      <c r="L984">
        <v>2200</v>
      </c>
      <c r="M984">
        <v>2200</v>
      </c>
      <c r="N984">
        <v>0</v>
      </c>
    </row>
    <row r="985" spans="1:14" x14ac:dyDescent="0.25">
      <c r="A985">
        <v>648.50016000000005</v>
      </c>
      <c r="B985" s="1">
        <f>DATE(2012,2,8) + TIME(12,0,13)</f>
        <v>40947.500150462962</v>
      </c>
      <c r="C985">
        <v>80</v>
      </c>
      <c r="D985">
        <v>69.955200195000003</v>
      </c>
      <c r="E985">
        <v>50</v>
      </c>
      <c r="F985">
        <v>49.961322783999996</v>
      </c>
      <c r="G985">
        <v>1298.7714844</v>
      </c>
      <c r="H985">
        <v>1285.75</v>
      </c>
      <c r="I985">
        <v>1389.151001</v>
      </c>
      <c r="J985">
        <v>1371.1507568</v>
      </c>
      <c r="K985">
        <v>0</v>
      </c>
      <c r="L985">
        <v>2200</v>
      </c>
      <c r="M985">
        <v>2200</v>
      </c>
      <c r="N985">
        <v>0</v>
      </c>
    </row>
    <row r="986" spans="1:14" x14ac:dyDescent="0.25">
      <c r="A986">
        <v>651.07045200000005</v>
      </c>
      <c r="B986" s="1">
        <f>DATE(2012,2,11) + TIME(1,41,27)</f>
        <v>40950.070451388892</v>
      </c>
      <c r="C986">
        <v>80</v>
      </c>
      <c r="D986">
        <v>69.735038756999998</v>
      </c>
      <c r="E986">
        <v>50</v>
      </c>
      <c r="F986">
        <v>49.961418152</v>
      </c>
      <c r="G986">
        <v>1298.5050048999999</v>
      </c>
      <c r="H986">
        <v>1285.3831786999999</v>
      </c>
      <c r="I986">
        <v>1389.1138916</v>
      </c>
      <c r="J986">
        <v>1371.1182861</v>
      </c>
      <c r="K986">
        <v>0</v>
      </c>
      <c r="L986">
        <v>2200</v>
      </c>
      <c r="M986">
        <v>2200</v>
      </c>
      <c r="N986">
        <v>0</v>
      </c>
    </row>
    <row r="987" spans="1:14" x14ac:dyDescent="0.25">
      <c r="A987">
        <v>653.67755599999998</v>
      </c>
      <c r="B987" s="1">
        <f>DATE(2012,2,13) + TIME(16,15,40)</f>
        <v>40952.677546296298</v>
      </c>
      <c r="C987">
        <v>80</v>
      </c>
      <c r="D987">
        <v>69.506813049000002</v>
      </c>
      <c r="E987">
        <v>50</v>
      </c>
      <c r="F987">
        <v>49.961513519</v>
      </c>
      <c r="G987">
        <v>1298.2298584</v>
      </c>
      <c r="H987">
        <v>1285.0030518000001</v>
      </c>
      <c r="I987">
        <v>1389.0769043</v>
      </c>
      <c r="J987">
        <v>1371.0860596</v>
      </c>
      <c r="K987">
        <v>0</v>
      </c>
      <c r="L987">
        <v>2200</v>
      </c>
      <c r="M987">
        <v>2200</v>
      </c>
      <c r="N987">
        <v>0</v>
      </c>
    </row>
    <row r="988" spans="1:14" x14ac:dyDescent="0.25">
      <c r="A988">
        <v>656.30959099999995</v>
      </c>
      <c r="B988" s="1">
        <f>DATE(2012,2,16) + TIME(7,25,48)</f>
        <v>40955.309583333335</v>
      </c>
      <c r="C988">
        <v>80</v>
      </c>
      <c r="D988">
        <v>69.270309448000006</v>
      </c>
      <c r="E988">
        <v>50</v>
      </c>
      <c r="F988">
        <v>49.961608886999997</v>
      </c>
      <c r="G988">
        <v>1297.9461670000001</v>
      </c>
      <c r="H988">
        <v>1284.6096190999999</v>
      </c>
      <c r="I988">
        <v>1389.0401611</v>
      </c>
      <c r="J988">
        <v>1371.0539550999999</v>
      </c>
      <c r="K988">
        <v>0</v>
      </c>
      <c r="L988">
        <v>2200</v>
      </c>
      <c r="M988">
        <v>2200</v>
      </c>
      <c r="N988">
        <v>0</v>
      </c>
    </row>
    <row r="989" spans="1:14" x14ac:dyDescent="0.25">
      <c r="A989">
        <v>658.96635700000002</v>
      </c>
      <c r="B989" s="1">
        <f>DATE(2012,2,18) + TIME(23,11,33)</f>
        <v>40957.966354166667</v>
      </c>
      <c r="C989">
        <v>80</v>
      </c>
      <c r="D989">
        <v>69.025482178000004</v>
      </c>
      <c r="E989">
        <v>50</v>
      </c>
      <c r="F989">
        <v>49.961708068999997</v>
      </c>
      <c r="G989">
        <v>1297.6551514</v>
      </c>
      <c r="H989">
        <v>1284.2044678</v>
      </c>
      <c r="I989">
        <v>1389.0037841999999</v>
      </c>
      <c r="J989">
        <v>1371.0220947</v>
      </c>
      <c r="K989">
        <v>0</v>
      </c>
      <c r="L989">
        <v>2200</v>
      </c>
      <c r="M989">
        <v>2200</v>
      </c>
      <c r="N989">
        <v>0</v>
      </c>
    </row>
    <row r="990" spans="1:14" x14ac:dyDescent="0.25">
      <c r="A990">
        <v>661.65308300000004</v>
      </c>
      <c r="B990" s="1">
        <f>DATE(2012,2,21) + TIME(15,40,26)</f>
        <v>40960.653078703705</v>
      </c>
      <c r="C990">
        <v>80</v>
      </c>
      <c r="D990">
        <v>68.771682738999999</v>
      </c>
      <c r="E990">
        <v>50</v>
      </c>
      <c r="F990">
        <v>49.961803435999997</v>
      </c>
      <c r="G990">
        <v>1297.3569336</v>
      </c>
      <c r="H990">
        <v>1283.7878418</v>
      </c>
      <c r="I990">
        <v>1388.9675293</v>
      </c>
      <c r="J990">
        <v>1370.9903564000001</v>
      </c>
      <c r="K990">
        <v>0</v>
      </c>
      <c r="L990">
        <v>2200</v>
      </c>
      <c r="M990">
        <v>2200</v>
      </c>
      <c r="N990">
        <v>0</v>
      </c>
    </row>
    <row r="991" spans="1:14" x14ac:dyDescent="0.25">
      <c r="A991">
        <v>664.37489700000003</v>
      </c>
      <c r="B991" s="1">
        <f>DATE(2012,2,24) + TIME(8,59,51)</f>
        <v>40963.374895833331</v>
      </c>
      <c r="C991">
        <v>80</v>
      </c>
      <c r="D991">
        <v>68.507820128999995</v>
      </c>
      <c r="E991">
        <v>50</v>
      </c>
      <c r="F991">
        <v>49.961902618000003</v>
      </c>
      <c r="G991">
        <v>1297.0510254000001</v>
      </c>
      <c r="H991">
        <v>1283.3588867000001</v>
      </c>
      <c r="I991">
        <v>1388.9316406</v>
      </c>
      <c r="J991">
        <v>1370.9588623</v>
      </c>
      <c r="K991">
        <v>0</v>
      </c>
      <c r="L991">
        <v>2200</v>
      </c>
      <c r="M991">
        <v>2200</v>
      </c>
      <c r="N991">
        <v>0</v>
      </c>
    </row>
    <row r="992" spans="1:14" x14ac:dyDescent="0.25">
      <c r="A992">
        <v>667.13691500000004</v>
      </c>
      <c r="B992" s="1">
        <f>DATE(2012,2,27) + TIME(3,17,9)</f>
        <v>40966.13690972222</v>
      </c>
      <c r="C992">
        <v>80</v>
      </c>
      <c r="D992">
        <v>68.232643127000003</v>
      </c>
      <c r="E992">
        <v>50</v>
      </c>
      <c r="F992">
        <v>49.962001801</v>
      </c>
      <c r="G992">
        <v>1296.7370605000001</v>
      </c>
      <c r="H992">
        <v>1282.9171143000001</v>
      </c>
      <c r="I992">
        <v>1388.8957519999999</v>
      </c>
      <c r="J992">
        <v>1370.9273682</v>
      </c>
      <c r="K992">
        <v>0</v>
      </c>
      <c r="L992">
        <v>2200</v>
      </c>
      <c r="M992">
        <v>2200</v>
      </c>
      <c r="N992">
        <v>0</v>
      </c>
    </row>
    <row r="993" spans="1:14" x14ac:dyDescent="0.25">
      <c r="A993">
        <v>668.56845799999996</v>
      </c>
      <c r="B993" s="1">
        <f>DATE(2012,2,28) + TIME(13,38,34)</f>
        <v>40967.568449074075</v>
      </c>
      <c r="C993">
        <v>80</v>
      </c>
      <c r="D993">
        <v>67.998153686999999</v>
      </c>
      <c r="E993">
        <v>50</v>
      </c>
      <c r="F993">
        <v>49.962051391999999</v>
      </c>
      <c r="G993">
        <v>1296.4224853999999</v>
      </c>
      <c r="H993">
        <v>1282.4855957</v>
      </c>
      <c r="I993">
        <v>1388.8590088000001</v>
      </c>
      <c r="J993">
        <v>1370.8951416</v>
      </c>
      <c r="K993">
        <v>0</v>
      </c>
      <c r="L993">
        <v>2200</v>
      </c>
      <c r="M993">
        <v>2200</v>
      </c>
      <c r="N993">
        <v>0</v>
      </c>
    </row>
    <row r="994" spans="1:14" x14ac:dyDescent="0.25">
      <c r="A994">
        <v>670</v>
      </c>
      <c r="B994" s="1">
        <f>DATE(2012,3,1) + TIME(0,0,0)</f>
        <v>40969</v>
      </c>
      <c r="C994">
        <v>80</v>
      </c>
      <c r="D994">
        <v>67.812705993999998</v>
      </c>
      <c r="E994">
        <v>50</v>
      </c>
      <c r="F994">
        <v>49.962100982999999</v>
      </c>
      <c r="G994">
        <v>1296.2366943</v>
      </c>
      <c r="H994">
        <v>1282.2117920000001</v>
      </c>
      <c r="I994">
        <v>1388.8406981999999</v>
      </c>
      <c r="J994">
        <v>1370.8789062000001</v>
      </c>
      <c r="K994">
        <v>0</v>
      </c>
      <c r="L994">
        <v>2200</v>
      </c>
      <c r="M994">
        <v>2200</v>
      </c>
      <c r="N994">
        <v>0</v>
      </c>
    </row>
    <row r="995" spans="1:14" x14ac:dyDescent="0.25">
      <c r="A995">
        <v>671.90443200000004</v>
      </c>
      <c r="B995" s="1">
        <f>DATE(2012,3,2) + TIME(21,42,22)</f>
        <v>40970.904421296298</v>
      </c>
      <c r="C995">
        <v>80</v>
      </c>
      <c r="D995">
        <v>67.626800536999994</v>
      </c>
      <c r="E995">
        <v>50</v>
      </c>
      <c r="F995">
        <v>49.962169647000003</v>
      </c>
      <c r="G995">
        <v>1296.0576172000001</v>
      </c>
      <c r="H995">
        <v>1281.9493408000001</v>
      </c>
      <c r="I995">
        <v>1388.8227539</v>
      </c>
      <c r="J995">
        <v>1370.8630370999999</v>
      </c>
      <c r="K995">
        <v>0</v>
      </c>
      <c r="L995">
        <v>2200</v>
      </c>
      <c r="M995">
        <v>2200</v>
      </c>
      <c r="N995">
        <v>0</v>
      </c>
    </row>
    <row r="996" spans="1:14" x14ac:dyDescent="0.25">
      <c r="A996">
        <v>674.66464099999996</v>
      </c>
      <c r="B996" s="1">
        <f>DATE(2012,3,5) + TIME(15,57,5)</f>
        <v>40973.664641203701</v>
      </c>
      <c r="C996">
        <v>80</v>
      </c>
      <c r="D996">
        <v>67.399612426999994</v>
      </c>
      <c r="E996">
        <v>50</v>
      </c>
      <c r="F996">
        <v>49.962268829000003</v>
      </c>
      <c r="G996">
        <v>1295.8306885</v>
      </c>
      <c r="H996">
        <v>1281.6231689000001</v>
      </c>
      <c r="I996">
        <v>1388.7988281</v>
      </c>
      <c r="J996">
        <v>1370.8421631000001</v>
      </c>
      <c r="K996">
        <v>0</v>
      </c>
      <c r="L996">
        <v>2200</v>
      </c>
      <c r="M996">
        <v>2200</v>
      </c>
      <c r="N996">
        <v>0</v>
      </c>
    </row>
    <row r="997" spans="1:14" x14ac:dyDescent="0.25">
      <c r="A997">
        <v>677.48308199999997</v>
      </c>
      <c r="B997" s="1">
        <f>DATE(2012,3,8) + TIME(11,35,38)</f>
        <v>40976.483078703706</v>
      </c>
      <c r="C997">
        <v>80</v>
      </c>
      <c r="D997">
        <v>67.102752686000002</v>
      </c>
      <c r="E997">
        <v>50</v>
      </c>
      <c r="F997">
        <v>49.962368011000002</v>
      </c>
      <c r="G997">
        <v>1295.5112305</v>
      </c>
      <c r="H997">
        <v>1281.1739502</v>
      </c>
      <c r="I997">
        <v>1388.7640381000001</v>
      </c>
      <c r="J997">
        <v>1370.8115233999999</v>
      </c>
      <c r="K997">
        <v>0</v>
      </c>
      <c r="L997">
        <v>2200</v>
      </c>
      <c r="M997">
        <v>2200</v>
      </c>
      <c r="N997">
        <v>0</v>
      </c>
    </row>
    <row r="998" spans="1:14" x14ac:dyDescent="0.25">
      <c r="A998">
        <v>680.37314600000002</v>
      </c>
      <c r="B998" s="1">
        <f>DATE(2012,3,11) + TIME(8,57,19)</f>
        <v>40979.373136574075</v>
      </c>
      <c r="C998">
        <v>80</v>
      </c>
      <c r="D998">
        <v>66.775444031000006</v>
      </c>
      <c r="E998">
        <v>50</v>
      </c>
      <c r="F998">
        <v>49.962471008000001</v>
      </c>
      <c r="G998">
        <v>1295.1726074000001</v>
      </c>
      <c r="H998">
        <v>1280.6905518000001</v>
      </c>
      <c r="I998">
        <v>1388.7288818</v>
      </c>
      <c r="J998">
        <v>1370.7805175999999</v>
      </c>
      <c r="K998">
        <v>0</v>
      </c>
      <c r="L998">
        <v>2200</v>
      </c>
      <c r="M998">
        <v>2200</v>
      </c>
      <c r="N998">
        <v>0</v>
      </c>
    </row>
    <row r="999" spans="1:14" x14ac:dyDescent="0.25">
      <c r="A999">
        <v>683.32724700000006</v>
      </c>
      <c r="B999" s="1">
        <f>DATE(2012,3,14) + TIME(7,51,14)</f>
        <v>40982.327245370368</v>
      </c>
      <c r="C999">
        <v>80</v>
      </c>
      <c r="D999">
        <v>66.425895690999994</v>
      </c>
      <c r="E999">
        <v>50</v>
      </c>
      <c r="F999">
        <v>49.962574005</v>
      </c>
      <c r="G999">
        <v>1294.8204346</v>
      </c>
      <c r="H999">
        <v>1280.1846923999999</v>
      </c>
      <c r="I999">
        <v>1388.6931152</v>
      </c>
      <c r="J999">
        <v>1370.7490233999999</v>
      </c>
      <c r="K999">
        <v>0</v>
      </c>
      <c r="L999">
        <v>2200</v>
      </c>
      <c r="M999">
        <v>2200</v>
      </c>
      <c r="N999">
        <v>0</v>
      </c>
    </row>
    <row r="1000" spans="1:14" x14ac:dyDescent="0.25">
      <c r="A1000">
        <v>686.33019300000001</v>
      </c>
      <c r="B1000" s="1">
        <f>DATE(2012,3,17) + TIME(7,55,28)</f>
        <v>40985.330185185187</v>
      </c>
      <c r="C1000">
        <v>80</v>
      </c>
      <c r="D1000">
        <v>66.056159973000007</v>
      </c>
      <c r="E1000">
        <v>50</v>
      </c>
      <c r="F1000">
        <v>49.962677002</v>
      </c>
      <c r="G1000">
        <v>1294.4571533000001</v>
      </c>
      <c r="H1000">
        <v>1279.6607666</v>
      </c>
      <c r="I1000">
        <v>1388.6569824000001</v>
      </c>
      <c r="J1000">
        <v>1370.7170410000001</v>
      </c>
      <c r="K1000">
        <v>0</v>
      </c>
      <c r="L1000">
        <v>2200</v>
      </c>
      <c r="M1000">
        <v>2200</v>
      </c>
      <c r="N1000">
        <v>0</v>
      </c>
    </row>
    <row r="1001" spans="1:14" x14ac:dyDescent="0.25">
      <c r="A1001">
        <v>689.37379499999997</v>
      </c>
      <c r="B1001" s="1">
        <f>DATE(2012,3,20) + TIME(8,58,15)</f>
        <v>40988.373784722222</v>
      </c>
      <c r="C1001">
        <v>80</v>
      </c>
      <c r="D1001">
        <v>65.667366028000004</v>
      </c>
      <c r="E1001">
        <v>50</v>
      </c>
      <c r="F1001">
        <v>49.962779998999999</v>
      </c>
      <c r="G1001">
        <v>1294.0852050999999</v>
      </c>
      <c r="H1001">
        <v>1279.1219481999999</v>
      </c>
      <c r="I1001">
        <v>1388.6204834</v>
      </c>
      <c r="J1001">
        <v>1370.6846923999999</v>
      </c>
      <c r="K1001">
        <v>0</v>
      </c>
      <c r="L1001">
        <v>2200</v>
      </c>
      <c r="M1001">
        <v>2200</v>
      </c>
      <c r="N1001">
        <v>0</v>
      </c>
    </row>
    <row r="1002" spans="1:14" x14ac:dyDescent="0.25">
      <c r="A1002">
        <v>692.46936900000003</v>
      </c>
      <c r="B1002" s="1">
        <f>DATE(2012,3,23) + TIME(11,15,53)</f>
        <v>40991.469363425924</v>
      </c>
      <c r="C1002">
        <v>80</v>
      </c>
      <c r="D1002">
        <v>65.259513854999994</v>
      </c>
      <c r="E1002">
        <v>50</v>
      </c>
      <c r="F1002">
        <v>49.962882995999998</v>
      </c>
      <c r="G1002">
        <v>1293.7059326000001</v>
      </c>
      <c r="H1002">
        <v>1278.5703125</v>
      </c>
      <c r="I1002">
        <v>1388.5837402</v>
      </c>
      <c r="J1002">
        <v>1370.6520995999999</v>
      </c>
      <c r="K1002">
        <v>0</v>
      </c>
      <c r="L1002">
        <v>2200</v>
      </c>
      <c r="M1002">
        <v>2200</v>
      </c>
      <c r="N1002">
        <v>0</v>
      </c>
    </row>
    <row r="1003" spans="1:14" x14ac:dyDescent="0.25">
      <c r="A1003">
        <v>695.61230499999999</v>
      </c>
      <c r="B1003" s="1">
        <f>DATE(2012,3,26) + TIME(14,41,43)</f>
        <v>40994.612303240741</v>
      </c>
      <c r="C1003">
        <v>80</v>
      </c>
      <c r="D1003">
        <v>64.831565857000001</v>
      </c>
      <c r="E1003">
        <v>50</v>
      </c>
      <c r="F1003">
        <v>49.962989807</v>
      </c>
      <c r="G1003">
        <v>1293.3188477000001</v>
      </c>
      <c r="H1003">
        <v>1278.0048827999999</v>
      </c>
      <c r="I1003">
        <v>1388.5465088000001</v>
      </c>
      <c r="J1003">
        <v>1370.6190185999999</v>
      </c>
      <c r="K1003">
        <v>0</v>
      </c>
      <c r="L1003">
        <v>2200</v>
      </c>
      <c r="M1003">
        <v>2200</v>
      </c>
      <c r="N1003">
        <v>0</v>
      </c>
    </row>
    <row r="1004" spans="1:14" x14ac:dyDescent="0.25">
      <c r="A1004">
        <v>698.79851399999995</v>
      </c>
      <c r="B1004" s="1">
        <f>DATE(2012,3,29) + TIME(19,9,51)</f>
        <v>40997.798506944448</v>
      </c>
      <c r="C1004">
        <v>80</v>
      </c>
      <c r="D1004">
        <v>64.383613585999996</v>
      </c>
      <c r="E1004">
        <v>50</v>
      </c>
      <c r="F1004">
        <v>49.963096618999998</v>
      </c>
      <c r="G1004">
        <v>1292.9248047000001</v>
      </c>
      <c r="H1004">
        <v>1277.4268798999999</v>
      </c>
      <c r="I1004">
        <v>1388.5087891000001</v>
      </c>
      <c r="J1004">
        <v>1370.5854492000001</v>
      </c>
      <c r="K1004">
        <v>0</v>
      </c>
      <c r="L1004">
        <v>2200</v>
      </c>
      <c r="M1004">
        <v>2200</v>
      </c>
      <c r="N1004">
        <v>0</v>
      </c>
    </row>
    <row r="1005" spans="1:14" x14ac:dyDescent="0.25">
      <c r="A1005">
        <v>701</v>
      </c>
      <c r="B1005" s="1">
        <f>DATE(2012,4,1) + TIME(0,0,0)</f>
        <v>41000</v>
      </c>
      <c r="C1005">
        <v>80</v>
      </c>
      <c r="D1005">
        <v>63.95608902</v>
      </c>
      <c r="E1005">
        <v>50</v>
      </c>
      <c r="F1005">
        <v>49.963169098000002</v>
      </c>
      <c r="G1005">
        <v>1292.5289307</v>
      </c>
      <c r="H1005">
        <v>1276.8543701000001</v>
      </c>
      <c r="I1005">
        <v>1388.4703368999999</v>
      </c>
      <c r="J1005">
        <v>1370.5511475000001</v>
      </c>
      <c r="K1005">
        <v>0</v>
      </c>
      <c r="L1005">
        <v>2200</v>
      </c>
      <c r="M1005">
        <v>2200</v>
      </c>
      <c r="N1005">
        <v>0</v>
      </c>
    </row>
    <row r="1006" spans="1:14" x14ac:dyDescent="0.25">
      <c r="A1006">
        <v>704.237931</v>
      </c>
      <c r="B1006" s="1">
        <f>DATE(2012,4,4) + TIME(5,42,37)</f>
        <v>41003.237928240742</v>
      </c>
      <c r="C1006">
        <v>80</v>
      </c>
      <c r="D1006">
        <v>63.561309813999998</v>
      </c>
      <c r="E1006">
        <v>50</v>
      </c>
      <c r="F1006">
        <v>49.963275908999996</v>
      </c>
      <c r="G1006">
        <v>1292.2354736</v>
      </c>
      <c r="H1006">
        <v>1276.4016113</v>
      </c>
      <c r="I1006">
        <v>1388.4445800999999</v>
      </c>
      <c r="J1006">
        <v>1370.5280762</v>
      </c>
      <c r="K1006">
        <v>0</v>
      </c>
      <c r="L1006">
        <v>2200</v>
      </c>
      <c r="M1006">
        <v>2200</v>
      </c>
      <c r="N1006">
        <v>0</v>
      </c>
    </row>
    <row r="1007" spans="1:14" x14ac:dyDescent="0.25">
      <c r="A1007">
        <v>707.57466999999997</v>
      </c>
      <c r="B1007" s="1">
        <f>DATE(2012,4,7) + TIME(13,47,31)</f>
        <v>41006.574664351851</v>
      </c>
      <c r="C1007">
        <v>80</v>
      </c>
      <c r="D1007">
        <v>63.078449249000002</v>
      </c>
      <c r="E1007">
        <v>50</v>
      </c>
      <c r="F1007">
        <v>49.963386536000002</v>
      </c>
      <c r="G1007">
        <v>1291.8392334</v>
      </c>
      <c r="H1007">
        <v>1275.8194579999999</v>
      </c>
      <c r="I1007">
        <v>1388.4058838000001</v>
      </c>
      <c r="J1007">
        <v>1370.4936522999999</v>
      </c>
      <c r="K1007">
        <v>0</v>
      </c>
      <c r="L1007">
        <v>2200</v>
      </c>
      <c r="M1007">
        <v>2200</v>
      </c>
      <c r="N1007">
        <v>0</v>
      </c>
    </row>
    <row r="1008" spans="1:14" x14ac:dyDescent="0.25">
      <c r="A1008">
        <v>710.96229900000003</v>
      </c>
      <c r="B1008" s="1">
        <f>DATE(2012,4,10) + TIME(23,5,42)</f>
        <v>41009.962291666663</v>
      </c>
      <c r="C1008">
        <v>80</v>
      </c>
      <c r="D1008">
        <v>62.556163787999999</v>
      </c>
      <c r="E1008">
        <v>50</v>
      </c>
      <c r="F1008">
        <v>49.963497162000003</v>
      </c>
      <c r="G1008">
        <v>1291.4246826000001</v>
      </c>
      <c r="H1008">
        <v>1275.203125</v>
      </c>
      <c r="I1008">
        <v>1388.3662108999999</v>
      </c>
      <c r="J1008">
        <v>1370.4580077999999</v>
      </c>
      <c r="K1008">
        <v>0</v>
      </c>
      <c r="L1008">
        <v>2200</v>
      </c>
      <c r="M1008">
        <v>2200</v>
      </c>
      <c r="N1008">
        <v>0</v>
      </c>
    </row>
    <row r="1009" spans="1:14" x14ac:dyDescent="0.25">
      <c r="A1009">
        <v>714.40921900000001</v>
      </c>
      <c r="B1009" s="1">
        <f>DATE(2012,4,14) + TIME(9,49,16)</f>
        <v>41013.409212962964</v>
      </c>
      <c r="C1009">
        <v>80</v>
      </c>
      <c r="D1009">
        <v>62.009334564</v>
      </c>
      <c r="E1009">
        <v>50</v>
      </c>
      <c r="F1009">
        <v>49.963607787999997</v>
      </c>
      <c r="G1009">
        <v>1291.0031738</v>
      </c>
      <c r="H1009">
        <v>1274.5722656</v>
      </c>
      <c r="I1009">
        <v>1388.3259277</v>
      </c>
      <c r="J1009">
        <v>1370.421875</v>
      </c>
      <c r="K1009">
        <v>0</v>
      </c>
      <c r="L1009">
        <v>2200</v>
      </c>
      <c r="M1009">
        <v>2200</v>
      </c>
      <c r="N1009">
        <v>0</v>
      </c>
    </row>
    <row r="1010" spans="1:14" x14ac:dyDescent="0.25">
      <c r="A1010">
        <v>717.92393300000003</v>
      </c>
      <c r="B1010" s="1">
        <f>DATE(2012,4,17) + TIME(22,10,27)</f>
        <v>41016.92392361111</v>
      </c>
      <c r="C1010">
        <v>80</v>
      </c>
      <c r="D1010">
        <v>61.440155029000003</v>
      </c>
      <c r="E1010">
        <v>50</v>
      </c>
      <c r="F1010">
        <v>49.963722228999998</v>
      </c>
      <c r="G1010">
        <v>1290.5764160000001</v>
      </c>
      <c r="H1010">
        <v>1273.9302978999999</v>
      </c>
      <c r="I1010">
        <v>1388.2847899999999</v>
      </c>
      <c r="J1010">
        <v>1370.3848877</v>
      </c>
      <c r="K1010">
        <v>0</v>
      </c>
      <c r="L1010">
        <v>2200</v>
      </c>
      <c r="M1010">
        <v>2200</v>
      </c>
      <c r="N1010">
        <v>0</v>
      </c>
    </row>
    <row r="1011" spans="1:14" x14ac:dyDescent="0.25">
      <c r="A1011">
        <v>721.49576999999999</v>
      </c>
      <c r="B1011" s="1">
        <f>DATE(2012,4,21) + TIME(11,53,54)</f>
        <v>41020.495763888888</v>
      </c>
      <c r="C1011">
        <v>80</v>
      </c>
      <c r="D1011">
        <v>60.849384307999998</v>
      </c>
      <c r="E1011">
        <v>50</v>
      </c>
      <c r="F1011">
        <v>49.963832855</v>
      </c>
      <c r="G1011">
        <v>1290.1445312000001</v>
      </c>
      <c r="H1011">
        <v>1273.2779541</v>
      </c>
      <c r="I1011">
        <v>1388.2427978999999</v>
      </c>
      <c r="J1011">
        <v>1370.3470459</v>
      </c>
      <c r="K1011">
        <v>0</v>
      </c>
      <c r="L1011">
        <v>2200</v>
      </c>
      <c r="M1011">
        <v>2200</v>
      </c>
      <c r="N1011">
        <v>0</v>
      </c>
    </row>
    <row r="1012" spans="1:14" x14ac:dyDescent="0.25">
      <c r="A1012">
        <v>725.12708899999996</v>
      </c>
      <c r="B1012" s="1">
        <f>DATE(2012,4,25) + TIME(3,3,0)</f>
        <v>41024.127083333333</v>
      </c>
      <c r="C1012">
        <v>80</v>
      </c>
      <c r="D1012">
        <v>60.238853454999997</v>
      </c>
      <c r="E1012">
        <v>50</v>
      </c>
      <c r="F1012">
        <v>49.963947296000001</v>
      </c>
      <c r="G1012">
        <v>1289.7095947</v>
      </c>
      <c r="H1012">
        <v>1272.6176757999999</v>
      </c>
      <c r="I1012">
        <v>1388.2000731999999</v>
      </c>
      <c r="J1012">
        <v>1370.3084716999999</v>
      </c>
      <c r="K1012">
        <v>0</v>
      </c>
      <c r="L1012">
        <v>2200</v>
      </c>
      <c r="M1012">
        <v>2200</v>
      </c>
      <c r="N1012">
        <v>0</v>
      </c>
    </row>
    <row r="1013" spans="1:14" x14ac:dyDescent="0.25">
      <c r="A1013">
        <v>728.82833400000004</v>
      </c>
      <c r="B1013" s="1">
        <f>DATE(2012,4,28) + TIME(19,52,48)</f>
        <v>41027.828333333331</v>
      </c>
      <c r="C1013">
        <v>80</v>
      </c>
      <c r="D1013">
        <v>59.608123779000003</v>
      </c>
      <c r="E1013">
        <v>50</v>
      </c>
      <c r="F1013">
        <v>49.964061737000002</v>
      </c>
      <c r="G1013">
        <v>1289.2724608999999</v>
      </c>
      <c r="H1013">
        <v>1271.9506836</v>
      </c>
      <c r="I1013">
        <v>1388.1566161999999</v>
      </c>
      <c r="J1013">
        <v>1370.269043</v>
      </c>
      <c r="K1013">
        <v>0</v>
      </c>
      <c r="L1013">
        <v>2200</v>
      </c>
      <c r="M1013">
        <v>2200</v>
      </c>
      <c r="N1013">
        <v>0</v>
      </c>
    </row>
    <row r="1014" spans="1:14" x14ac:dyDescent="0.25">
      <c r="A1014">
        <v>731</v>
      </c>
      <c r="B1014" s="1">
        <f>DATE(2012,5,1) + TIME(0,0,0)</f>
        <v>41030</v>
      </c>
      <c r="C1014">
        <v>80</v>
      </c>
      <c r="D1014">
        <v>59.031272887999997</v>
      </c>
      <c r="E1014">
        <v>50</v>
      </c>
      <c r="F1014">
        <v>49.964126587000003</v>
      </c>
      <c r="G1014">
        <v>1288.8375243999999</v>
      </c>
      <c r="H1014">
        <v>1271.3051757999999</v>
      </c>
      <c r="I1014">
        <v>1388.1115723</v>
      </c>
      <c r="J1014">
        <v>1370.2281493999999</v>
      </c>
      <c r="K1014">
        <v>0</v>
      </c>
      <c r="L1014">
        <v>2200</v>
      </c>
      <c r="M1014">
        <v>2200</v>
      </c>
      <c r="N1014">
        <v>0</v>
      </c>
    </row>
    <row r="1015" spans="1:14" x14ac:dyDescent="0.25">
      <c r="A1015">
        <v>731.000001</v>
      </c>
      <c r="B1015" s="1">
        <f>DATE(2012,5,1) + TIME(0,0,0)</f>
        <v>41030</v>
      </c>
      <c r="C1015">
        <v>80</v>
      </c>
      <c r="D1015">
        <v>59.031425476000003</v>
      </c>
      <c r="E1015">
        <v>50</v>
      </c>
      <c r="F1015">
        <v>49.964027405000003</v>
      </c>
      <c r="G1015">
        <v>1307.9676514</v>
      </c>
      <c r="H1015">
        <v>1289.7740478999999</v>
      </c>
      <c r="I1015">
        <v>1369.4266356999999</v>
      </c>
      <c r="J1015">
        <v>1352.1629639</v>
      </c>
      <c r="K1015">
        <v>2200</v>
      </c>
      <c r="L1015">
        <v>0</v>
      </c>
      <c r="M1015">
        <v>0</v>
      </c>
      <c r="N1015">
        <v>2200</v>
      </c>
    </row>
    <row r="1016" spans="1:14" x14ac:dyDescent="0.25">
      <c r="A1016">
        <v>731.00000399999999</v>
      </c>
      <c r="B1016" s="1">
        <f>DATE(2012,5,1) + TIME(0,0,0)</f>
        <v>41030</v>
      </c>
      <c r="C1016">
        <v>80</v>
      </c>
      <c r="D1016">
        <v>59.031826019</v>
      </c>
      <c r="E1016">
        <v>50</v>
      </c>
      <c r="F1016">
        <v>49.963756560999997</v>
      </c>
      <c r="G1016">
        <v>1310.1569824000001</v>
      </c>
      <c r="H1016">
        <v>1292.2169189000001</v>
      </c>
      <c r="I1016">
        <v>1367.2888184000001</v>
      </c>
      <c r="J1016">
        <v>1350.0242920000001</v>
      </c>
      <c r="K1016">
        <v>2200</v>
      </c>
      <c r="L1016">
        <v>0</v>
      </c>
      <c r="M1016">
        <v>0</v>
      </c>
      <c r="N1016">
        <v>2200</v>
      </c>
    </row>
    <row r="1017" spans="1:14" x14ac:dyDescent="0.25">
      <c r="A1017">
        <v>731.00001299999997</v>
      </c>
      <c r="B1017" s="1">
        <f>DATE(2012,5,1) + TIME(0,0,1)</f>
        <v>41030.000011574077</v>
      </c>
      <c r="C1017">
        <v>80</v>
      </c>
      <c r="D1017">
        <v>59.032752991000002</v>
      </c>
      <c r="E1017">
        <v>50</v>
      </c>
      <c r="F1017">
        <v>49.963153839</v>
      </c>
      <c r="G1017">
        <v>1315.0539550999999</v>
      </c>
      <c r="H1017">
        <v>1297.4698486</v>
      </c>
      <c r="I1017">
        <v>1362.4927978999999</v>
      </c>
      <c r="J1017">
        <v>1345.2270507999999</v>
      </c>
      <c r="K1017">
        <v>2200</v>
      </c>
      <c r="L1017">
        <v>0</v>
      </c>
      <c r="M1017">
        <v>0</v>
      </c>
      <c r="N1017">
        <v>2200</v>
      </c>
    </row>
    <row r="1018" spans="1:14" x14ac:dyDescent="0.25">
      <c r="A1018">
        <v>731.00004000000001</v>
      </c>
      <c r="B1018" s="1">
        <f>DATE(2012,5,1) + TIME(0,0,3)</f>
        <v>41030.000034722223</v>
      </c>
      <c r="C1018">
        <v>80</v>
      </c>
      <c r="D1018">
        <v>59.034561156999999</v>
      </c>
      <c r="E1018">
        <v>50</v>
      </c>
      <c r="F1018">
        <v>49.962139129999997</v>
      </c>
      <c r="G1018">
        <v>1323.2387695</v>
      </c>
      <c r="H1018">
        <v>1305.8236084</v>
      </c>
      <c r="I1018">
        <v>1354.4768065999999</v>
      </c>
      <c r="J1018">
        <v>1337.2122803</v>
      </c>
      <c r="K1018">
        <v>2200</v>
      </c>
      <c r="L1018">
        <v>0</v>
      </c>
      <c r="M1018">
        <v>0</v>
      </c>
      <c r="N1018">
        <v>2200</v>
      </c>
    </row>
    <row r="1019" spans="1:14" x14ac:dyDescent="0.25">
      <c r="A1019">
        <v>731.00012100000004</v>
      </c>
      <c r="B1019" s="1">
        <f>DATE(2012,5,1) + TIME(0,0,10)</f>
        <v>41030.000115740739</v>
      </c>
      <c r="C1019">
        <v>80</v>
      </c>
      <c r="D1019">
        <v>59.038024901999997</v>
      </c>
      <c r="E1019">
        <v>50</v>
      </c>
      <c r="F1019">
        <v>49.960895538000003</v>
      </c>
      <c r="G1019">
        <v>1333.3033447</v>
      </c>
      <c r="H1019">
        <v>1315.7867432</v>
      </c>
      <c r="I1019">
        <v>1344.6893310999999</v>
      </c>
      <c r="J1019">
        <v>1327.4312743999999</v>
      </c>
      <c r="K1019">
        <v>2200</v>
      </c>
      <c r="L1019">
        <v>0</v>
      </c>
      <c r="M1019">
        <v>0</v>
      </c>
      <c r="N1019">
        <v>2200</v>
      </c>
    </row>
    <row r="1020" spans="1:14" x14ac:dyDescent="0.25">
      <c r="A1020">
        <v>731.00036399999999</v>
      </c>
      <c r="B1020" s="1">
        <f>DATE(2012,5,1) + TIME(0,0,31)</f>
        <v>41030.000358796293</v>
      </c>
      <c r="C1020">
        <v>80</v>
      </c>
      <c r="D1020">
        <v>59.045909881999997</v>
      </c>
      <c r="E1020">
        <v>50</v>
      </c>
      <c r="F1020">
        <v>49.959594727000002</v>
      </c>
      <c r="G1020">
        <v>1343.8295897999999</v>
      </c>
      <c r="H1020">
        <v>1326.1568603999999</v>
      </c>
      <c r="I1020">
        <v>1334.6094971</v>
      </c>
      <c r="J1020">
        <v>1317.3635254000001</v>
      </c>
      <c r="K1020">
        <v>2200</v>
      </c>
      <c r="L1020">
        <v>0</v>
      </c>
      <c r="M1020">
        <v>0</v>
      </c>
      <c r="N1020">
        <v>2200</v>
      </c>
    </row>
    <row r="1021" spans="1:14" x14ac:dyDescent="0.25">
      <c r="A1021">
        <v>731.00109299999997</v>
      </c>
      <c r="B1021" s="1">
        <f>DATE(2012,5,1) + TIME(0,1,34)</f>
        <v>41030.001087962963</v>
      </c>
      <c r="C1021">
        <v>80</v>
      </c>
      <c r="D1021">
        <v>59.067050934000001</v>
      </c>
      <c r="E1021">
        <v>50</v>
      </c>
      <c r="F1021">
        <v>49.958213806000003</v>
      </c>
      <c r="G1021">
        <v>1354.6966553</v>
      </c>
      <c r="H1021">
        <v>1336.8631591999999</v>
      </c>
      <c r="I1021">
        <v>1324.5200195</v>
      </c>
      <c r="J1021">
        <v>1307.2869873</v>
      </c>
      <c r="K1021">
        <v>2200</v>
      </c>
      <c r="L1021">
        <v>0</v>
      </c>
      <c r="M1021">
        <v>0</v>
      </c>
      <c r="N1021">
        <v>2200</v>
      </c>
    </row>
    <row r="1022" spans="1:14" x14ac:dyDescent="0.25">
      <c r="A1022">
        <v>731.00328000000002</v>
      </c>
      <c r="B1022" s="1">
        <f>DATE(2012,5,1) + TIME(0,4,43)</f>
        <v>41030.003275462965</v>
      </c>
      <c r="C1022">
        <v>80</v>
      </c>
      <c r="D1022">
        <v>59.128181458</v>
      </c>
      <c r="E1022">
        <v>50</v>
      </c>
      <c r="F1022">
        <v>49.956600189</v>
      </c>
      <c r="G1022">
        <v>1366.1816406</v>
      </c>
      <c r="H1022">
        <v>1348.1821289</v>
      </c>
      <c r="I1022">
        <v>1314.2945557</v>
      </c>
      <c r="J1022">
        <v>1297.0426024999999</v>
      </c>
      <c r="K1022">
        <v>2200</v>
      </c>
      <c r="L1022">
        <v>0</v>
      </c>
      <c r="M1022">
        <v>0</v>
      </c>
      <c r="N1022">
        <v>2200</v>
      </c>
    </row>
    <row r="1023" spans="1:14" x14ac:dyDescent="0.25">
      <c r="A1023">
        <v>731.00984100000005</v>
      </c>
      <c r="B1023" s="1">
        <f>DATE(2012,5,1) + TIME(0,14,10)</f>
        <v>41030.009837962964</v>
      </c>
      <c r="C1023">
        <v>80</v>
      </c>
      <c r="D1023">
        <v>59.308616637999997</v>
      </c>
      <c r="E1023">
        <v>50</v>
      </c>
      <c r="F1023">
        <v>49.954353333</v>
      </c>
      <c r="G1023">
        <v>1377.5036620999999</v>
      </c>
      <c r="H1023">
        <v>1359.3933105000001</v>
      </c>
      <c r="I1023">
        <v>1304.260376</v>
      </c>
      <c r="J1023">
        <v>1286.9475098</v>
      </c>
      <c r="K1023">
        <v>2200</v>
      </c>
      <c r="L1023">
        <v>0</v>
      </c>
      <c r="M1023">
        <v>0</v>
      </c>
      <c r="N1023">
        <v>2200</v>
      </c>
    </row>
    <row r="1024" spans="1:14" x14ac:dyDescent="0.25">
      <c r="A1024">
        <v>731.02952400000004</v>
      </c>
      <c r="B1024" s="1">
        <f>DATE(2012,5,1) + TIME(0,42,30)</f>
        <v>41030.029513888891</v>
      </c>
      <c r="C1024">
        <v>80</v>
      </c>
      <c r="D1024">
        <v>59.835487366000002</v>
      </c>
      <c r="E1024">
        <v>50</v>
      </c>
      <c r="F1024">
        <v>49.950443268000001</v>
      </c>
      <c r="G1024">
        <v>1386.1722411999999</v>
      </c>
      <c r="H1024">
        <v>1368.1181641000001</v>
      </c>
      <c r="I1024">
        <v>1296.4022216999999</v>
      </c>
      <c r="J1024">
        <v>1279.0388184000001</v>
      </c>
      <c r="K1024">
        <v>2200</v>
      </c>
      <c r="L1024">
        <v>0</v>
      </c>
      <c r="M1024">
        <v>0</v>
      </c>
      <c r="N1024">
        <v>2200</v>
      </c>
    </row>
    <row r="1025" spans="1:14" x14ac:dyDescent="0.25">
      <c r="A1025">
        <v>731.05672600000003</v>
      </c>
      <c r="B1025" s="1">
        <f>DATE(2012,5,1) + TIME(1,21,41)</f>
        <v>41030.05672453704</v>
      </c>
      <c r="C1025">
        <v>80</v>
      </c>
      <c r="D1025">
        <v>60.537975310999997</v>
      </c>
      <c r="E1025">
        <v>50</v>
      </c>
      <c r="F1025">
        <v>49.946075438999998</v>
      </c>
      <c r="G1025">
        <v>1389.5329589999999</v>
      </c>
      <c r="H1025">
        <v>1371.6391602000001</v>
      </c>
      <c r="I1025">
        <v>1293.4381103999999</v>
      </c>
      <c r="J1025">
        <v>1276.0581055</v>
      </c>
      <c r="K1025">
        <v>2200</v>
      </c>
      <c r="L1025">
        <v>0</v>
      </c>
      <c r="M1025">
        <v>0</v>
      </c>
      <c r="N1025">
        <v>2200</v>
      </c>
    </row>
    <row r="1026" spans="1:14" x14ac:dyDescent="0.25">
      <c r="A1026">
        <v>731.084521</v>
      </c>
      <c r="B1026" s="1">
        <f>DATE(2012,5,1) + TIME(2,1,42)</f>
        <v>41030.084513888891</v>
      </c>
      <c r="C1026">
        <v>80</v>
      </c>
      <c r="D1026">
        <v>61.230606078999998</v>
      </c>
      <c r="E1026">
        <v>50</v>
      </c>
      <c r="F1026">
        <v>49.941909789999997</v>
      </c>
      <c r="G1026">
        <v>1390.6126709</v>
      </c>
      <c r="H1026">
        <v>1372.8851318</v>
      </c>
      <c r="I1026">
        <v>1292.5631103999999</v>
      </c>
      <c r="J1026">
        <v>1275.1781006000001</v>
      </c>
      <c r="K1026">
        <v>2200</v>
      </c>
      <c r="L1026">
        <v>0</v>
      </c>
      <c r="M1026">
        <v>0</v>
      </c>
      <c r="N1026">
        <v>2200</v>
      </c>
    </row>
    <row r="1027" spans="1:14" x14ac:dyDescent="0.25">
      <c r="A1027">
        <v>731.11286700000005</v>
      </c>
      <c r="B1027" s="1">
        <f>DATE(2012,5,1) + TIME(2,42,31)</f>
        <v>41030.112858796296</v>
      </c>
      <c r="C1027">
        <v>80</v>
      </c>
      <c r="D1027">
        <v>61.911827086999999</v>
      </c>
      <c r="E1027">
        <v>50</v>
      </c>
      <c r="F1027">
        <v>49.937782288000001</v>
      </c>
      <c r="G1027">
        <v>1390.9074707</v>
      </c>
      <c r="H1027">
        <v>1373.3446045000001</v>
      </c>
      <c r="I1027">
        <v>1292.3309326000001</v>
      </c>
      <c r="J1027">
        <v>1274.9442139</v>
      </c>
      <c r="K1027">
        <v>2200</v>
      </c>
      <c r="L1027">
        <v>0</v>
      </c>
      <c r="M1027">
        <v>0</v>
      </c>
      <c r="N1027">
        <v>2200</v>
      </c>
    </row>
    <row r="1028" spans="1:14" x14ac:dyDescent="0.25">
      <c r="A1028">
        <v>731.14177199999995</v>
      </c>
      <c r="B1028" s="1">
        <f>DATE(2012,5,1) + TIME(3,24,9)</f>
        <v>41030.141770833332</v>
      </c>
      <c r="C1028">
        <v>80</v>
      </c>
      <c r="D1028">
        <v>62.581218718999999</v>
      </c>
      <c r="E1028">
        <v>50</v>
      </c>
      <c r="F1028">
        <v>49.933639526</v>
      </c>
      <c r="G1028">
        <v>1390.901001</v>
      </c>
      <c r="H1028">
        <v>1373.4981689000001</v>
      </c>
      <c r="I1028">
        <v>1292.2938231999999</v>
      </c>
      <c r="J1028">
        <v>1274.90625</v>
      </c>
      <c r="K1028">
        <v>2200</v>
      </c>
      <c r="L1028">
        <v>0</v>
      </c>
      <c r="M1028">
        <v>0</v>
      </c>
      <c r="N1028">
        <v>2200</v>
      </c>
    </row>
    <row r="1029" spans="1:14" x14ac:dyDescent="0.25">
      <c r="A1029">
        <v>731.17125499999997</v>
      </c>
      <c r="B1029" s="1">
        <f>DATE(2012,5,1) + TIME(4,6,36)</f>
        <v>41030.171249999999</v>
      </c>
      <c r="C1029">
        <v>80</v>
      </c>
      <c r="D1029">
        <v>63.238719940000003</v>
      </c>
      <c r="E1029">
        <v>50</v>
      </c>
      <c r="F1029">
        <v>49.929458617999998</v>
      </c>
      <c r="G1029">
        <v>1390.7713623</v>
      </c>
      <c r="H1029">
        <v>1373.5230713000001</v>
      </c>
      <c r="I1029">
        <v>1292.3074951000001</v>
      </c>
      <c r="J1029">
        <v>1274.9194336</v>
      </c>
      <c r="K1029">
        <v>2200</v>
      </c>
      <c r="L1029">
        <v>0</v>
      </c>
      <c r="M1029">
        <v>0</v>
      </c>
      <c r="N1029">
        <v>2200</v>
      </c>
    </row>
    <row r="1030" spans="1:14" x14ac:dyDescent="0.25">
      <c r="A1030">
        <v>731.20134499999995</v>
      </c>
      <c r="B1030" s="1">
        <f>DATE(2012,5,1) + TIME(4,49,56)</f>
        <v>41030.201342592591</v>
      </c>
      <c r="C1030">
        <v>80</v>
      </c>
      <c r="D1030">
        <v>63.884372710999997</v>
      </c>
      <c r="E1030">
        <v>50</v>
      </c>
      <c r="F1030">
        <v>49.925231934000003</v>
      </c>
      <c r="G1030">
        <v>1390.5905762</v>
      </c>
      <c r="H1030">
        <v>1373.4912108999999</v>
      </c>
      <c r="I1030">
        <v>1292.328125</v>
      </c>
      <c r="J1030">
        <v>1274.9395752</v>
      </c>
      <c r="K1030">
        <v>2200</v>
      </c>
      <c r="L1030">
        <v>0</v>
      </c>
      <c r="M1030">
        <v>0</v>
      </c>
      <c r="N1030">
        <v>2200</v>
      </c>
    </row>
    <row r="1031" spans="1:14" x14ac:dyDescent="0.25">
      <c r="A1031">
        <v>731.23207300000001</v>
      </c>
      <c r="B1031" s="1">
        <f>DATE(2012,5,1) + TIME(5,34,11)</f>
        <v>41030.232071759259</v>
      </c>
      <c r="C1031">
        <v>80</v>
      </c>
      <c r="D1031">
        <v>64.518226623999993</v>
      </c>
      <c r="E1031">
        <v>50</v>
      </c>
      <c r="F1031">
        <v>49.920955657999997</v>
      </c>
      <c r="G1031">
        <v>1390.3894043</v>
      </c>
      <c r="H1031">
        <v>1373.4335937999999</v>
      </c>
      <c r="I1031">
        <v>1292.3443603999999</v>
      </c>
      <c r="J1031">
        <v>1274.9555664</v>
      </c>
      <c r="K1031">
        <v>2200</v>
      </c>
      <c r="L1031">
        <v>0</v>
      </c>
      <c r="M1031">
        <v>0</v>
      </c>
      <c r="N1031">
        <v>2200</v>
      </c>
    </row>
    <row r="1032" spans="1:14" x14ac:dyDescent="0.25">
      <c r="A1032">
        <v>731.26347099999998</v>
      </c>
      <c r="B1032" s="1">
        <f>DATE(2012,5,1) + TIME(6,19,23)</f>
        <v>41030.263460648152</v>
      </c>
      <c r="C1032">
        <v>80</v>
      </c>
      <c r="D1032">
        <v>65.140380859000004</v>
      </c>
      <c r="E1032">
        <v>50</v>
      </c>
      <c r="F1032">
        <v>49.916625977000002</v>
      </c>
      <c r="G1032">
        <v>1390.1818848</v>
      </c>
      <c r="H1032">
        <v>1373.3643798999999</v>
      </c>
      <c r="I1032">
        <v>1292.3552245999999</v>
      </c>
      <c r="J1032">
        <v>1274.9660644999999</v>
      </c>
      <c r="K1032">
        <v>2200</v>
      </c>
      <c r="L1032">
        <v>0</v>
      </c>
      <c r="M1032">
        <v>0</v>
      </c>
      <c r="N1032">
        <v>2200</v>
      </c>
    </row>
    <row r="1033" spans="1:14" x14ac:dyDescent="0.25">
      <c r="A1033">
        <v>731.29557199999999</v>
      </c>
      <c r="B1033" s="1">
        <f>DATE(2012,5,1) + TIME(7,5,37)</f>
        <v>41030.295567129629</v>
      </c>
      <c r="C1033">
        <v>80</v>
      </c>
      <c r="D1033">
        <v>65.750885010000005</v>
      </c>
      <c r="E1033">
        <v>50</v>
      </c>
      <c r="F1033">
        <v>49.912242888999998</v>
      </c>
      <c r="G1033">
        <v>1389.9746094</v>
      </c>
      <c r="H1033">
        <v>1373.2902832</v>
      </c>
      <c r="I1033">
        <v>1292.3619385</v>
      </c>
      <c r="J1033">
        <v>1274.9722899999999</v>
      </c>
      <c r="K1033">
        <v>2200</v>
      </c>
      <c r="L1033">
        <v>0</v>
      </c>
      <c r="M1033">
        <v>0</v>
      </c>
      <c r="N1033">
        <v>2200</v>
      </c>
    </row>
    <row r="1034" spans="1:14" x14ac:dyDescent="0.25">
      <c r="A1034">
        <v>731.32841599999995</v>
      </c>
      <c r="B1034" s="1">
        <f>DATE(2012,5,1) + TIME(7,52,55)</f>
        <v>41030.328414351854</v>
      </c>
      <c r="C1034">
        <v>80</v>
      </c>
      <c r="D1034">
        <v>66.349708557</v>
      </c>
      <c r="E1034">
        <v>50</v>
      </c>
      <c r="F1034">
        <v>49.907798767000003</v>
      </c>
      <c r="G1034">
        <v>1389.7707519999999</v>
      </c>
      <c r="H1034">
        <v>1373.2148437999999</v>
      </c>
      <c r="I1034">
        <v>1292.3658447</v>
      </c>
      <c r="J1034">
        <v>1274.9758300999999</v>
      </c>
      <c r="K1034">
        <v>2200</v>
      </c>
      <c r="L1034">
        <v>0</v>
      </c>
      <c r="M1034">
        <v>0</v>
      </c>
      <c r="N1034">
        <v>2200</v>
      </c>
    </row>
    <row r="1035" spans="1:14" x14ac:dyDescent="0.25">
      <c r="A1035">
        <v>731.36204799999996</v>
      </c>
      <c r="B1035" s="1">
        <f>DATE(2012,5,1) + TIME(8,41,20)</f>
        <v>41030.362037037034</v>
      </c>
      <c r="C1035">
        <v>80</v>
      </c>
      <c r="D1035">
        <v>66.936935425000001</v>
      </c>
      <c r="E1035">
        <v>50</v>
      </c>
      <c r="F1035">
        <v>49.903293609999999</v>
      </c>
      <c r="G1035">
        <v>1389.5717772999999</v>
      </c>
      <c r="H1035">
        <v>1373.1395264</v>
      </c>
      <c r="I1035">
        <v>1292.3680420000001</v>
      </c>
      <c r="J1035">
        <v>1274.9776611</v>
      </c>
      <c r="K1035">
        <v>2200</v>
      </c>
      <c r="L1035">
        <v>0</v>
      </c>
      <c r="M1035">
        <v>0</v>
      </c>
      <c r="N1035">
        <v>2200</v>
      </c>
    </row>
    <row r="1036" spans="1:14" x14ac:dyDescent="0.25">
      <c r="A1036">
        <v>731.39651200000003</v>
      </c>
      <c r="B1036" s="1">
        <f>DATE(2012,5,1) + TIME(9,30,58)</f>
        <v>41030.396504629629</v>
      </c>
      <c r="C1036">
        <v>80</v>
      </c>
      <c r="D1036">
        <v>67.512580872000001</v>
      </c>
      <c r="E1036">
        <v>50</v>
      </c>
      <c r="F1036">
        <v>49.898715973000002</v>
      </c>
      <c r="G1036">
        <v>1389.3782959</v>
      </c>
      <c r="H1036">
        <v>1373.0653076000001</v>
      </c>
      <c r="I1036">
        <v>1292.3691406</v>
      </c>
      <c r="J1036">
        <v>1274.9785156</v>
      </c>
      <c r="K1036">
        <v>2200</v>
      </c>
      <c r="L1036">
        <v>0</v>
      </c>
      <c r="M1036">
        <v>0</v>
      </c>
      <c r="N1036">
        <v>2200</v>
      </c>
    </row>
    <row r="1037" spans="1:14" x14ac:dyDescent="0.25">
      <c r="A1037">
        <v>731.43185600000004</v>
      </c>
      <c r="B1037" s="1">
        <f>DATE(2012,5,1) + TIME(10,21,52)</f>
        <v>41030.431851851848</v>
      </c>
      <c r="C1037">
        <v>80</v>
      </c>
      <c r="D1037">
        <v>68.076667786000002</v>
      </c>
      <c r="E1037">
        <v>50</v>
      </c>
      <c r="F1037">
        <v>49.894069672000001</v>
      </c>
      <c r="G1037">
        <v>1389.1905518000001</v>
      </c>
      <c r="H1037">
        <v>1372.9925536999999</v>
      </c>
      <c r="I1037">
        <v>1292.369751</v>
      </c>
      <c r="J1037">
        <v>1274.9786377</v>
      </c>
      <c r="K1037">
        <v>2200</v>
      </c>
      <c r="L1037">
        <v>0</v>
      </c>
      <c r="M1037">
        <v>0</v>
      </c>
      <c r="N1037">
        <v>2200</v>
      </c>
    </row>
    <row r="1038" spans="1:14" x14ac:dyDescent="0.25">
      <c r="A1038">
        <v>731.46813499999996</v>
      </c>
      <c r="B1038" s="1">
        <f>DATE(2012,5,1) + TIME(11,14,6)</f>
        <v>41030.468124999999</v>
      </c>
      <c r="C1038">
        <v>80</v>
      </c>
      <c r="D1038">
        <v>68.629196167000003</v>
      </c>
      <c r="E1038">
        <v>50</v>
      </c>
      <c r="F1038">
        <v>49.889347076</v>
      </c>
      <c r="G1038">
        <v>1389.0084228999999</v>
      </c>
      <c r="H1038">
        <v>1372.9212646000001</v>
      </c>
      <c r="I1038">
        <v>1292.3699951000001</v>
      </c>
      <c r="J1038">
        <v>1274.9785156</v>
      </c>
      <c r="K1038">
        <v>2200</v>
      </c>
      <c r="L1038">
        <v>0</v>
      </c>
      <c r="M1038">
        <v>0</v>
      </c>
      <c r="N1038">
        <v>2200</v>
      </c>
    </row>
    <row r="1039" spans="1:14" x14ac:dyDescent="0.25">
      <c r="A1039">
        <v>731.505403</v>
      </c>
      <c r="B1039" s="1">
        <f>DATE(2012,5,1) + TIME(12,7,46)</f>
        <v>41030.505393518521</v>
      </c>
      <c r="C1039">
        <v>80</v>
      </c>
      <c r="D1039">
        <v>69.170158385999997</v>
      </c>
      <c r="E1039">
        <v>50</v>
      </c>
      <c r="F1039">
        <v>49.884540557999998</v>
      </c>
      <c r="G1039">
        <v>1388.8319091999999</v>
      </c>
      <c r="H1039">
        <v>1372.8515625</v>
      </c>
      <c r="I1039">
        <v>1292.3699951000001</v>
      </c>
      <c r="J1039">
        <v>1274.9781493999999</v>
      </c>
      <c r="K1039">
        <v>2200</v>
      </c>
      <c r="L1039">
        <v>0</v>
      </c>
      <c r="M1039">
        <v>0</v>
      </c>
      <c r="N1039">
        <v>2200</v>
      </c>
    </row>
    <row r="1040" spans="1:14" x14ac:dyDescent="0.25">
      <c r="A1040">
        <v>731.543723</v>
      </c>
      <c r="B1040" s="1">
        <f>DATE(2012,5,1) + TIME(13,2,57)</f>
        <v>41030.543715277781</v>
      </c>
      <c r="C1040">
        <v>80</v>
      </c>
      <c r="D1040">
        <v>69.699523925999998</v>
      </c>
      <c r="E1040">
        <v>50</v>
      </c>
      <c r="F1040">
        <v>49.879646301000001</v>
      </c>
      <c r="G1040">
        <v>1388.6607666</v>
      </c>
      <c r="H1040">
        <v>1372.7834473</v>
      </c>
      <c r="I1040">
        <v>1292.3698730000001</v>
      </c>
      <c r="J1040">
        <v>1274.9775391000001</v>
      </c>
      <c r="K1040">
        <v>2200</v>
      </c>
      <c r="L1040">
        <v>0</v>
      </c>
      <c r="M1040">
        <v>0</v>
      </c>
      <c r="N1040">
        <v>2200</v>
      </c>
    </row>
    <row r="1041" spans="1:14" x14ac:dyDescent="0.25">
      <c r="A1041">
        <v>731.58316200000002</v>
      </c>
      <c r="B1041" s="1">
        <f>DATE(2012,5,1) + TIME(13,59,45)</f>
        <v>41030.58315972222</v>
      </c>
      <c r="C1041">
        <v>80</v>
      </c>
      <c r="D1041">
        <v>70.217102050999998</v>
      </c>
      <c r="E1041">
        <v>50</v>
      </c>
      <c r="F1041">
        <v>49.874660491999997</v>
      </c>
      <c r="G1041">
        <v>1388.494751</v>
      </c>
      <c r="H1041">
        <v>1372.7167969</v>
      </c>
      <c r="I1041">
        <v>1292.369751</v>
      </c>
      <c r="J1041">
        <v>1274.9769286999999</v>
      </c>
      <c r="K1041">
        <v>2200</v>
      </c>
      <c r="L1041">
        <v>0</v>
      </c>
      <c r="M1041">
        <v>0</v>
      </c>
      <c r="N1041">
        <v>2200</v>
      </c>
    </row>
    <row r="1042" spans="1:14" x14ac:dyDescent="0.25">
      <c r="A1042">
        <v>731.62379299999998</v>
      </c>
      <c r="B1042" s="1">
        <f>DATE(2012,5,1) + TIME(14,58,15)</f>
        <v>41030.623784722222</v>
      </c>
      <c r="C1042">
        <v>80</v>
      </c>
      <c r="D1042">
        <v>70.722801208000007</v>
      </c>
      <c r="E1042">
        <v>50</v>
      </c>
      <c r="F1042">
        <v>49.869571686</v>
      </c>
      <c r="G1042">
        <v>1388.3336182</v>
      </c>
      <c r="H1042">
        <v>1372.6514893000001</v>
      </c>
      <c r="I1042">
        <v>1292.3693848</v>
      </c>
      <c r="J1042">
        <v>1274.9761963000001</v>
      </c>
      <c r="K1042">
        <v>2200</v>
      </c>
      <c r="L1042">
        <v>0</v>
      </c>
      <c r="M1042">
        <v>0</v>
      </c>
      <c r="N1042">
        <v>2200</v>
      </c>
    </row>
    <row r="1043" spans="1:14" x14ac:dyDescent="0.25">
      <c r="A1043">
        <v>731.66570300000001</v>
      </c>
      <c r="B1043" s="1">
        <f>DATE(2012,5,1) + TIME(15,58,36)</f>
        <v>41030.665694444448</v>
      </c>
      <c r="C1043">
        <v>80</v>
      </c>
      <c r="D1043">
        <v>71.216842650999993</v>
      </c>
      <c r="E1043">
        <v>50</v>
      </c>
      <c r="F1043">
        <v>49.864372252999999</v>
      </c>
      <c r="G1043">
        <v>1388.177124</v>
      </c>
      <c r="H1043">
        <v>1372.5872803</v>
      </c>
      <c r="I1043">
        <v>1292.3690185999999</v>
      </c>
      <c r="J1043">
        <v>1274.9753418</v>
      </c>
      <c r="K1043">
        <v>2200</v>
      </c>
      <c r="L1043">
        <v>0</v>
      </c>
      <c r="M1043">
        <v>0</v>
      </c>
      <c r="N1043">
        <v>2200</v>
      </c>
    </row>
    <row r="1044" spans="1:14" x14ac:dyDescent="0.25">
      <c r="A1044">
        <v>731.70898599999998</v>
      </c>
      <c r="B1044" s="1">
        <f>DATE(2012,5,1) + TIME(17,0,56)</f>
        <v>41030.708981481483</v>
      </c>
      <c r="C1044">
        <v>80</v>
      </c>
      <c r="D1044">
        <v>71.699234008999994</v>
      </c>
      <c r="E1044">
        <v>50</v>
      </c>
      <c r="F1044">
        <v>49.85905838</v>
      </c>
      <c r="G1044">
        <v>1388.0249022999999</v>
      </c>
      <c r="H1044">
        <v>1372.5242920000001</v>
      </c>
      <c r="I1044">
        <v>1292.3686522999999</v>
      </c>
      <c r="J1044">
        <v>1274.9744873</v>
      </c>
      <c r="K1044">
        <v>2200</v>
      </c>
      <c r="L1044">
        <v>0</v>
      </c>
      <c r="M1044">
        <v>0</v>
      </c>
      <c r="N1044">
        <v>2200</v>
      </c>
    </row>
    <row r="1045" spans="1:14" x14ac:dyDescent="0.25">
      <c r="A1045">
        <v>731.75372800000002</v>
      </c>
      <c r="B1045" s="1">
        <f>DATE(2012,5,1) + TIME(18,5,22)</f>
        <v>41030.75372685185</v>
      </c>
      <c r="C1045">
        <v>80</v>
      </c>
      <c r="D1045">
        <v>72.169761657999999</v>
      </c>
      <c r="E1045">
        <v>50</v>
      </c>
      <c r="F1045">
        <v>49.853622436999999</v>
      </c>
      <c r="G1045">
        <v>1387.8769531</v>
      </c>
      <c r="H1045">
        <v>1372.4622803</v>
      </c>
      <c r="I1045">
        <v>1292.3681641000001</v>
      </c>
      <c r="J1045">
        <v>1274.9735106999999</v>
      </c>
      <c r="K1045">
        <v>2200</v>
      </c>
      <c r="L1045">
        <v>0</v>
      </c>
      <c r="M1045">
        <v>0</v>
      </c>
      <c r="N1045">
        <v>2200</v>
      </c>
    </row>
    <row r="1046" spans="1:14" x14ac:dyDescent="0.25">
      <c r="A1046">
        <v>731.80003499999998</v>
      </c>
      <c r="B1046" s="1">
        <f>DATE(2012,5,1) + TIME(19,12,3)</f>
        <v>41030.800034722219</v>
      </c>
      <c r="C1046">
        <v>80</v>
      </c>
      <c r="D1046">
        <v>72.628334045000003</v>
      </c>
      <c r="E1046">
        <v>50</v>
      </c>
      <c r="F1046">
        <v>49.848049164000003</v>
      </c>
      <c r="G1046">
        <v>1387.7329102000001</v>
      </c>
      <c r="H1046">
        <v>1372.4011230000001</v>
      </c>
      <c r="I1046">
        <v>1292.3676757999999</v>
      </c>
      <c r="J1046">
        <v>1274.9725341999999</v>
      </c>
      <c r="K1046">
        <v>2200</v>
      </c>
      <c r="L1046">
        <v>0</v>
      </c>
      <c r="M1046">
        <v>0</v>
      </c>
      <c r="N1046">
        <v>2200</v>
      </c>
    </row>
    <row r="1047" spans="1:14" x14ac:dyDescent="0.25">
      <c r="A1047">
        <v>731.848026</v>
      </c>
      <c r="B1047" s="1">
        <f>DATE(2012,5,1) + TIME(20,21,9)</f>
        <v>41030.848020833335</v>
      </c>
      <c r="C1047">
        <v>80</v>
      </c>
      <c r="D1047">
        <v>73.074859618999994</v>
      </c>
      <c r="E1047">
        <v>50</v>
      </c>
      <c r="F1047">
        <v>49.842330933</v>
      </c>
      <c r="G1047">
        <v>1387.5925293</v>
      </c>
      <c r="H1047">
        <v>1372.3405762</v>
      </c>
      <c r="I1047">
        <v>1292.3670654</v>
      </c>
      <c r="J1047">
        <v>1274.9714355000001</v>
      </c>
      <c r="K1047">
        <v>2200</v>
      </c>
      <c r="L1047">
        <v>0</v>
      </c>
      <c r="M1047">
        <v>0</v>
      </c>
      <c r="N1047">
        <v>2200</v>
      </c>
    </row>
    <row r="1048" spans="1:14" x14ac:dyDescent="0.25">
      <c r="A1048">
        <v>731.897831</v>
      </c>
      <c r="B1048" s="1">
        <f>DATE(2012,5,1) + TIME(21,32,52)</f>
        <v>41030.897824074076</v>
      </c>
      <c r="C1048">
        <v>80</v>
      </c>
      <c r="D1048">
        <v>73.509231567</v>
      </c>
      <c r="E1048">
        <v>50</v>
      </c>
      <c r="F1048">
        <v>49.836456298999998</v>
      </c>
      <c r="G1048">
        <v>1387.4556885</v>
      </c>
      <c r="H1048">
        <v>1372.2807617000001</v>
      </c>
      <c r="I1048">
        <v>1292.3664550999999</v>
      </c>
      <c r="J1048">
        <v>1274.9703368999999</v>
      </c>
      <c r="K1048">
        <v>2200</v>
      </c>
      <c r="L1048">
        <v>0</v>
      </c>
      <c r="M1048">
        <v>0</v>
      </c>
      <c r="N1048">
        <v>2200</v>
      </c>
    </row>
    <row r="1049" spans="1:14" x14ac:dyDescent="0.25">
      <c r="A1049">
        <v>731.94959800000004</v>
      </c>
      <c r="B1049" s="1">
        <f>DATE(2012,5,1) + TIME(22,47,25)</f>
        <v>41030.949594907404</v>
      </c>
      <c r="C1049">
        <v>80</v>
      </c>
      <c r="D1049">
        <v>73.931343079000001</v>
      </c>
      <c r="E1049">
        <v>50</v>
      </c>
      <c r="F1049">
        <v>49.830417633000003</v>
      </c>
      <c r="G1049">
        <v>1387.3221435999999</v>
      </c>
      <c r="H1049">
        <v>1372.2214355000001</v>
      </c>
      <c r="I1049">
        <v>1292.3658447</v>
      </c>
      <c r="J1049">
        <v>1274.9692382999999</v>
      </c>
      <c r="K1049">
        <v>2200</v>
      </c>
      <c r="L1049">
        <v>0</v>
      </c>
      <c r="M1049">
        <v>0</v>
      </c>
      <c r="N1049">
        <v>2200</v>
      </c>
    </row>
    <row r="1050" spans="1:14" x14ac:dyDescent="0.25">
      <c r="A1050">
        <v>732.00349100000005</v>
      </c>
      <c r="B1050" s="1">
        <f>DATE(2012,5,2) + TIME(0,5,1)</f>
        <v>41031.003483796296</v>
      </c>
      <c r="C1050">
        <v>80</v>
      </c>
      <c r="D1050">
        <v>74.341056824000006</v>
      </c>
      <c r="E1050">
        <v>50</v>
      </c>
      <c r="F1050">
        <v>49.824192046999997</v>
      </c>
      <c r="G1050">
        <v>1387.1916504000001</v>
      </c>
      <c r="H1050">
        <v>1372.1624756000001</v>
      </c>
      <c r="I1050">
        <v>1292.3651123</v>
      </c>
      <c r="J1050">
        <v>1274.9678954999999</v>
      </c>
      <c r="K1050">
        <v>2200</v>
      </c>
      <c r="L1050">
        <v>0</v>
      </c>
      <c r="M1050">
        <v>0</v>
      </c>
      <c r="N1050">
        <v>2200</v>
      </c>
    </row>
    <row r="1051" spans="1:14" x14ac:dyDescent="0.25">
      <c r="A1051">
        <v>732.05969400000004</v>
      </c>
      <c r="B1051" s="1">
        <f>DATE(2012,5,2) + TIME(1,25,57)</f>
        <v>41031.059687499997</v>
      </c>
      <c r="C1051">
        <v>80</v>
      </c>
      <c r="D1051">
        <v>74.738243103000002</v>
      </c>
      <c r="E1051">
        <v>50</v>
      </c>
      <c r="F1051">
        <v>49.817768096999998</v>
      </c>
      <c r="G1051">
        <v>1387.0639647999999</v>
      </c>
      <c r="H1051">
        <v>1372.1037598</v>
      </c>
      <c r="I1051">
        <v>1292.3642577999999</v>
      </c>
      <c r="J1051">
        <v>1274.9666748</v>
      </c>
      <c r="K1051">
        <v>2200</v>
      </c>
      <c r="L1051">
        <v>0</v>
      </c>
      <c r="M1051">
        <v>0</v>
      </c>
      <c r="N1051">
        <v>2200</v>
      </c>
    </row>
    <row r="1052" spans="1:14" x14ac:dyDescent="0.25">
      <c r="A1052">
        <v>732.11841800000002</v>
      </c>
      <c r="B1052" s="1">
        <f>DATE(2012,5,2) + TIME(2,50,31)</f>
        <v>41031.118414351855</v>
      </c>
      <c r="C1052">
        <v>80</v>
      </c>
      <c r="D1052">
        <v>75.122657775999997</v>
      </c>
      <c r="E1052">
        <v>50</v>
      </c>
      <c r="F1052">
        <v>49.811126709</v>
      </c>
      <c r="G1052">
        <v>1386.9389647999999</v>
      </c>
      <c r="H1052">
        <v>1372.0451660000001</v>
      </c>
      <c r="I1052">
        <v>1292.3635254000001</v>
      </c>
      <c r="J1052">
        <v>1274.965332</v>
      </c>
      <c r="K1052">
        <v>2200</v>
      </c>
      <c r="L1052">
        <v>0</v>
      </c>
      <c r="M1052">
        <v>0</v>
      </c>
      <c r="N1052">
        <v>2200</v>
      </c>
    </row>
    <row r="1053" spans="1:14" x14ac:dyDescent="0.25">
      <c r="A1053">
        <v>732.17989899999998</v>
      </c>
      <c r="B1053" s="1">
        <f>DATE(2012,5,2) + TIME(4,19,3)</f>
        <v>41031.179895833331</v>
      </c>
      <c r="C1053">
        <v>80</v>
      </c>
      <c r="D1053">
        <v>75.494041443</v>
      </c>
      <c r="E1053">
        <v>50</v>
      </c>
      <c r="F1053">
        <v>49.804244994999998</v>
      </c>
      <c r="G1053">
        <v>1386.8162841999999</v>
      </c>
      <c r="H1053">
        <v>1371.9864502</v>
      </c>
      <c r="I1053">
        <v>1292.3626709</v>
      </c>
      <c r="J1053">
        <v>1274.9638672000001</v>
      </c>
      <c r="K1053">
        <v>2200</v>
      </c>
      <c r="L1053">
        <v>0</v>
      </c>
      <c r="M1053">
        <v>0</v>
      </c>
      <c r="N1053">
        <v>2200</v>
      </c>
    </row>
    <row r="1054" spans="1:14" x14ac:dyDescent="0.25">
      <c r="A1054">
        <v>732.24445600000001</v>
      </c>
      <c r="B1054" s="1">
        <f>DATE(2012,5,2) + TIME(5,52,0)</f>
        <v>41031.244444444441</v>
      </c>
      <c r="C1054">
        <v>80</v>
      </c>
      <c r="D1054">
        <v>75.852645874000004</v>
      </c>
      <c r="E1054">
        <v>50</v>
      </c>
      <c r="F1054">
        <v>49.797103882000002</v>
      </c>
      <c r="G1054">
        <v>1386.6958007999999</v>
      </c>
      <c r="H1054">
        <v>1371.9274902</v>
      </c>
      <c r="I1054">
        <v>1292.3616943</v>
      </c>
      <c r="J1054">
        <v>1274.9622803</v>
      </c>
      <c r="K1054">
        <v>2200</v>
      </c>
      <c r="L1054">
        <v>0</v>
      </c>
      <c r="M1054">
        <v>0</v>
      </c>
      <c r="N1054">
        <v>2200</v>
      </c>
    </row>
    <row r="1055" spans="1:14" x14ac:dyDescent="0.25">
      <c r="A1055">
        <v>732.312365</v>
      </c>
      <c r="B1055" s="1">
        <f>DATE(2012,5,2) + TIME(7,29,48)</f>
        <v>41031.312361111108</v>
      </c>
      <c r="C1055">
        <v>80</v>
      </c>
      <c r="D1055">
        <v>76.198051453000005</v>
      </c>
      <c r="E1055">
        <v>50</v>
      </c>
      <c r="F1055">
        <v>49.789669037000003</v>
      </c>
      <c r="G1055">
        <v>1386.5772704999999</v>
      </c>
      <c r="H1055">
        <v>1371.8682861</v>
      </c>
      <c r="I1055">
        <v>1292.3607178</v>
      </c>
      <c r="J1055">
        <v>1274.9606934000001</v>
      </c>
      <c r="K1055">
        <v>2200</v>
      </c>
      <c r="L1055">
        <v>0</v>
      </c>
      <c r="M1055">
        <v>0</v>
      </c>
      <c r="N1055">
        <v>2200</v>
      </c>
    </row>
    <row r="1056" spans="1:14" x14ac:dyDescent="0.25">
      <c r="A1056">
        <v>732.38399000000004</v>
      </c>
      <c r="B1056" s="1">
        <f>DATE(2012,5,2) + TIME(9,12,56)</f>
        <v>41031.383981481478</v>
      </c>
      <c r="C1056">
        <v>80</v>
      </c>
      <c r="D1056">
        <v>76.530067443999997</v>
      </c>
      <c r="E1056">
        <v>50</v>
      </c>
      <c r="F1056">
        <v>49.781917571999998</v>
      </c>
      <c r="G1056">
        <v>1386.4604492000001</v>
      </c>
      <c r="H1056">
        <v>1371.8084716999999</v>
      </c>
      <c r="I1056">
        <v>1292.3596190999999</v>
      </c>
      <c r="J1056">
        <v>1274.9589844</v>
      </c>
      <c r="K1056">
        <v>2200</v>
      </c>
      <c r="L1056">
        <v>0</v>
      </c>
      <c r="M1056">
        <v>0</v>
      </c>
      <c r="N1056">
        <v>2200</v>
      </c>
    </row>
    <row r="1057" spans="1:14" x14ac:dyDescent="0.25">
      <c r="A1057">
        <v>732.45975499999997</v>
      </c>
      <c r="B1057" s="1">
        <f>DATE(2012,5,2) + TIME(11,2,2)</f>
        <v>41031.459745370368</v>
      </c>
      <c r="C1057">
        <v>80</v>
      </c>
      <c r="D1057">
        <v>76.848472595000004</v>
      </c>
      <c r="E1057">
        <v>50</v>
      </c>
      <c r="F1057">
        <v>49.773811340000002</v>
      </c>
      <c r="G1057">
        <v>1386.3450928</v>
      </c>
      <c r="H1057">
        <v>1371.7480469</v>
      </c>
      <c r="I1057">
        <v>1292.3585204999999</v>
      </c>
      <c r="J1057">
        <v>1274.9572754000001</v>
      </c>
      <c r="K1057">
        <v>2200</v>
      </c>
      <c r="L1057">
        <v>0</v>
      </c>
      <c r="M1057">
        <v>0</v>
      </c>
      <c r="N1057">
        <v>2200</v>
      </c>
    </row>
    <row r="1058" spans="1:14" x14ac:dyDescent="0.25">
      <c r="A1058">
        <v>732.54015900000002</v>
      </c>
      <c r="B1058" s="1">
        <f>DATE(2012,5,2) + TIME(12,57,49)</f>
        <v>41031.540150462963</v>
      </c>
      <c r="C1058">
        <v>80</v>
      </c>
      <c r="D1058">
        <v>77.153068542</v>
      </c>
      <c r="E1058">
        <v>50</v>
      </c>
      <c r="F1058">
        <v>49.76530838</v>
      </c>
      <c r="G1058">
        <v>1386.230957</v>
      </c>
      <c r="H1058">
        <v>1371.6866454999999</v>
      </c>
      <c r="I1058">
        <v>1292.3574219</v>
      </c>
      <c r="J1058">
        <v>1274.9554443</v>
      </c>
      <c r="K1058">
        <v>2200</v>
      </c>
      <c r="L1058">
        <v>0</v>
      </c>
      <c r="M1058">
        <v>0</v>
      </c>
      <c r="N1058">
        <v>2200</v>
      </c>
    </row>
    <row r="1059" spans="1:14" x14ac:dyDescent="0.25">
      <c r="A1059">
        <v>732.62578299999996</v>
      </c>
      <c r="B1059" s="1">
        <f>DATE(2012,5,2) + TIME(15,1,7)</f>
        <v>41031.625775462962</v>
      </c>
      <c r="C1059">
        <v>80</v>
      </c>
      <c r="D1059">
        <v>77.443565368999998</v>
      </c>
      <c r="E1059">
        <v>50</v>
      </c>
      <c r="F1059">
        <v>49.756362914999997</v>
      </c>
      <c r="G1059">
        <v>1386.1179199000001</v>
      </c>
      <c r="H1059">
        <v>1371.6242675999999</v>
      </c>
      <c r="I1059">
        <v>1292.3560791</v>
      </c>
      <c r="J1059">
        <v>1274.9533690999999</v>
      </c>
      <c r="K1059">
        <v>2200</v>
      </c>
      <c r="L1059">
        <v>0</v>
      </c>
      <c r="M1059">
        <v>0</v>
      </c>
      <c r="N1059">
        <v>2200</v>
      </c>
    </row>
    <row r="1060" spans="1:14" x14ac:dyDescent="0.25">
      <c r="A1060">
        <v>732.71734200000003</v>
      </c>
      <c r="B1060" s="1">
        <f>DATE(2012,5,2) + TIME(17,12,58)</f>
        <v>41031.71733796296</v>
      </c>
      <c r="C1060">
        <v>80</v>
      </c>
      <c r="D1060">
        <v>77.719749450999998</v>
      </c>
      <c r="E1060">
        <v>50</v>
      </c>
      <c r="F1060">
        <v>49.746913910000004</v>
      </c>
      <c r="G1060">
        <v>1386.0053711</v>
      </c>
      <c r="H1060">
        <v>1371.5605469</v>
      </c>
      <c r="I1060">
        <v>1292.3547363</v>
      </c>
      <c r="J1060">
        <v>1274.9512939000001</v>
      </c>
      <c r="K1060">
        <v>2200</v>
      </c>
      <c r="L1060">
        <v>0</v>
      </c>
      <c r="M1060">
        <v>0</v>
      </c>
      <c r="N1060">
        <v>2200</v>
      </c>
    </row>
    <row r="1061" spans="1:14" x14ac:dyDescent="0.25">
      <c r="A1061">
        <v>732.81570399999998</v>
      </c>
      <c r="B1061" s="1">
        <f>DATE(2012,5,2) + TIME(19,34,36)</f>
        <v>41031.815694444442</v>
      </c>
      <c r="C1061">
        <v>80</v>
      </c>
      <c r="D1061">
        <v>77.981369018999999</v>
      </c>
      <c r="E1061">
        <v>50</v>
      </c>
      <c r="F1061">
        <v>49.736888884999999</v>
      </c>
      <c r="G1061">
        <v>1385.8931885</v>
      </c>
      <c r="H1061">
        <v>1371.4951172000001</v>
      </c>
      <c r="I1061">
        <v>1292.3532714999999</v>
      </c>
      <c r="J1061">
        <v>1274.9490966999999</v>
      </c>
      <c r="K1061">
        <v>2200</v>
      </c>
      <c r="L1061">
        <v>0</v>
      </c>
      <c r="M1061">
        <v>0</v>
      </c>
      <c r="N1061">
        <v>2200</v>
      </c>
    </row>
    <row r="1062" spans="1:14" x14ac:dyDescent="0.25">
      <c r="A1062">
        <v>732.92192799999998</v>
      </c>
      <c r="B1062" s="1">
        <f>DATE(2012,5,2) + TIME(22,7,34)</f>
        <v>41031.9219212963</v>
      </c>
      <c r="C1062">
        <v>80</v>
      </c>
      <c r="D1062">
        <v>78.228164672999995</v>
      </c>
      <c r="E1062">
        <v>50</v>
      </c>
      <c r="F1062">
        <v>49.726211548000002</v>
      </c>
      <c r="G1062">
        <v>1385.7810059000001</v>
      </c>
      <c r="H1062">
        <v>1371.4279785000001</v>
      </c>
      <c r="I1062">
        <v>1292.3516846</v>
      </c>
      <c r="J1062">
        <v>1274.9466553</v>
      </c>
      <c r="K1062">
        <v>2200</v>
      </c>
      <c r="L1062">
        <v>0</v>
      </c>
      <c r="M1062">
        <v>0</v>
      </c>
      <c r="N1062">
        <v>2200</v>
      </c>
    </row>
    <row r="1063" spans="1:14" x14ac:dyDescent="0.25">
      <c r="A1063">
        <v>733.03733199999999</v>
      </c>
      <c r="B1063" s="1">
        <f>DATE(2012,5,3) + TIME(0,53,45)</f>
        <v>41032.037326388891</v>
      </c>
      <c r="C1063">
        <v>80</v>
      </c>
      <c r="D1063">
        <v>78.459823607999994</v>
      </c>
      <c r="E1063">
        <v>50</v>
      </c>
      <c r="F1063">
        <v>49.714767455999997</v>
      </c>
      <c r="G1063">
        <v>1385.6683350000001</v>
      </c>
      <c r="H1063">
        <v>1371.3583983999999</v>
      </c>
      <c r="I1063">
        <v>1292.3500977000001</v>
      </c>
      <c r="J1063">
        <v>1274.9440918</v>
      </c>
      <c r="K1063">
        <v>2200</v>
      </c>
      <c r="L1063">
        <v>0</v>
      </c>
      <c r="M1063">
        <v>0</v>
      </c>
      <c r="N1063">
        <v>2200</v>
      </c>
    </row>
    <row r="1064" spans="1:14" x14ac:dyDescent="0.25">
      <c r="A1064">
        <v>733.155081</v>
      </c>
      <c r="B1064" s="1">
        <f>DATE(2012,5,3) + TIME(3,43,18)</f>
        <v>41032.155069444445</v>
      </c>
      <c r="C1064">
        <v>80</v>
      </c>
      <c r="D1064">
        <v>78.663497925000001</v>
      </c>
      <c r="E1064">
        <v>50</v>
      </c>
      <c r="F1064">
        <v>49.703170776</v>
      </c>
      <c r="G1064">
        <v>1385.5605469</v>
      </c>
      <c r="H1064">
        <v>1371.2891846</v>
      </c>
      <c r="I1064">
        <v>1292.3481445</v>
      </c>
      <c r="J1064">
        <v>1274.9412841999999</v>
      </c>
      <c r="K1064">
        <v>2200</v>
      </c>
      <c r="L1064">
        <v>0</v>
      </c>
      <c r="M1064">
        <v>0</v>
      </c>
      <c r="N1064">
        <v>2200</v>
      </c>
    </row>
    <row r="1065" spans="1:14" x14ac:dyDescent="0.25">
      <c r="A1065">
        <v>733.27364499999999</v>
      </c>
      <c r="B1065" s="1">
        <f>DATE(2012,5,3) + TIME(6,34,2)</f>
        <v>41032.273634259262</v>
      </c>
      <c r="C1065">
        <v>80</v>
      </c>
      <c r="D1065">
        <v>78.840057372999993</v>
      </c>
      <c r="E1065">
        <v>50</v>
      </c>
      <c r="F1065">
        <v>49.691551208</v>
      </c>
      <c r="G1065">
        <v>1385.4586182</v>
      </c>
      <c r="H1065">
        <v>1371.2219238</v>
      </c>
      <c r="I1065">
        <v>1292.3460693</v>
      </c>
      <c r="J1065">
        <v>1274.9384766000001</v>
      </c>
      <c r="K1065">
        <v>2200</v>
      </c>
      <c r="L1065">
        <v>0</v>
      </c>
      <c r="M1065">
        <v>0</v>
      </c>
      <c r="N1065">
        <v>2200</v>
      </c>
    </row>
    <row r="1066" spans="1:14" x14ac:dyDescent="0.25">
      <c r="A1066">
        <v>733.39341100000001</v>
      </c>
      <c r="B1066" s="1">
        <f>DATE(2012,5,3) + TIME(9,26,30)</f>
        <v>41032.39340277778</v>
      </c>
      <c r="C1066">
        <v>80</v>
      </c>
      <c r="D1066">
        <v>78.993385314999998</v>
      </c>
      <c r="E1066">
        <v>50</v>
      </c>
      <c r="F1066">
        <v>49.679870604999998</v>
      </c>
      <c r="G1066">
        <v>1385.3620605000001</v>
      </c>
      <c r="H1066">
        <v>1371.1564940999999</v>
      </c>
      <c r="I1066">
        <v>1292.3441161999999</v>
      </c>
      <c r="J1066">
        <v>1274.9355469</v>
      </c>
      <c r="K1066">
        <v>2200</v>
      </c>
      <c r="L1066">
        <v>0</v>
      </c>
      <c r="M1066">
        <v>0</v>
      </c>
      <c r="N1066">
        <v>2200</v>
      </c>
    </row>
    <row r="1067" spans="1:14" x14ac:dyDescent="0.25">
      <c r="A1067">
        <v>733.51435300000003</v>
      </c>
      <c r="B1067" s="1">
        <f>DATE(2012,5,3) + TIME(12,20,40)</f>
        <v>41032.514351851853</v>
      </c>
      <c r="C1067">
        <v>80</v>
      </c>
      <c r="D1067">
        <v>79.126335143999995</v>
      </c>
      <c r="E1067">
        <v>50</v>
      </c>
      <c r="F1067">
        <v>49.668136597</v>
      </c>
      <c r="G1067">
        <v>1385.2701416</v>
      </c>
      <c r="H1067">
        <v>1371.0928954999999</v>
      </c>
      <c r="I1067">
        <v>1292.3420410000001</v>
      </c>
      <c r="J1067">
        <v>1274.9327393000001</v>
      </c>
      <c r="K1067">
        <v>2200</v>
      </c>
      <c r="L1067">
        <v>0</v>
      </c>
      <c r="M1067">
        <v>0</v>
      </c>
      <c r="N1067">
        <v>2200</v>
      </c>
    </row>
    <row r="1068" spans="1:14" x14ac:dyDescent="0.25">
      <c r="A1068">
        <v>733.63658999999996</v>
      </c>
      <c r="B1068" s="1">
        <f>DATE(2012,5,3) + TIME(15,16,41)</f>
        <v>41032.63658564815</v>
      </c>
      <c r="C1068">
        <v>80</v>
      </c>
      <c r="D1068">
        <v>79.241546631000006</v>
      </c>
      <c r="E1068">
        <v>50</v>
      </c>
      <c r="F1068">
        <v>49.656333922999998</v>
      </c>
      <c r="G1068">
        <v>1385.1823730000001</v>
      </c>
      <c r="H1068">
        <v>1371.0310059000001</v>
      </c>
      <c r="I1068">
        <v>1292.3399658000001</v>
      </c>
      <c r="J1068">
        <v>1274.9298096</v>
      </c>
      <c r="K1068">
        <v>2200</v>
      </c>
      <c r="L1068">
        <v>0</v>
      </c>
      <c r="M1068">
        <v>0</v>
      </c>
      <c r="N1068">
        <v>2200</v>
      </c>
    </row>
    <row r="1069" spans="1:14" x14ac:dyDescent="0.25">
      <c r="A1069">
        <v>733.76039500000002</v>
      </c>
      <c r="B1069" s="1">
        <f>DATE(2012,5,3) + TIME(18,14,58)</f>
        <v>41032.760393518518</v>
      </c>
      <c r="C1069">
        <v>80</v>
      </c>
      <c r="D1069">
        <v>79.341430664000001</v>
      </c>
      <c r="E1069">
        <v>50</v>
      </c>
      <c r="F1069">
        <v>49.644443512000002</v>
      </c>
      <c r="G1069">
        <v>1385.0983887</v>
      </c>
      <c r="H1069">
        <v>1370.9705810999999</v>
      </c>
      <c r="I1069">
        <v>1292.3378906</v>
      </c>
      <c r="J1069">
        <v>1274.9268798999999</v>
      </c>
      <c r="K1069">
        <v>2200</v>
      </c>
      <c r="L1069">
        <v>0</v>
      </c>
      <c r="M1069">
        <v>0</v>
      </c>
      <c r="N1069">
        <v>2200</v>
      </c>
    </row>
    <row r="1070" spans="1:14" x14ac:dyDescent="0.25">
      <c r="A1070">
        <v>733.88603499999999</v>
      </c>
      <c r="B1070" s="1">
        <f>DATE(2012,5,3) + TIME(21,15,53)</f>
        <v>41032.886030092595</v>
      </c>
      <c r="C1070">
        <v>80</v>
      </c>
      <c r="D1070">
        <v>79.428024292000003</v>
      </c>
      <c r="E1070">
        <v>50</v>
      </c>
      <c r="F1070">
        <v>49.632438659999998</v>
      </c>
      <c r="G1070">
        <v>1385.0174560999999</v>
      </c>
      <c r="H1070">
        <v>1370.911499</v>
      </c>
      <c r="I1070">
        <v>1292.3358154</v>
      </c>
      <c r="J1070">
        <v>1274.9238281</v>
      </c>
      <c r="K1070">
        <v>2200</v>
      </c>
      <c r="L1070">
        <v>0</v>
      </c>
      <c r="M1070">
        <v>0</v>
      </c>
      <c r="N1070">
        <v>2200</v>
      </c>
    </row>
    <row r="1071" spans="1:14" x14ac:dyDescent="0.25">
      <c r="A1071">
        <v>734.013779</v>
      </c>
      <c r="B1071" s="1">
        <f>DATE(2012,5,4) + TIME(0,19,50)</f>
        <v>41033.013773148145</v>
      </c>
      <c r="C1071">
        <v>80</v>
      </c>
      <c r="D1071">
        <v>79.503074646000002</v>
      </c>
      <c r="E1071">
        <v>50</v>
      </c>
      <c r="F1071">
        <v>49.620296478</v>
      </c>
      <c r="G1071">
        <v>1384.9392089999999</v>
      </c>
      <c r="H1071">
        <v>1370.8535156</v>
      </c>
      <c r="I1071">
        <v>1292.3336182</v>
      </c>
      <c r="J1071">
        <v>1274.9207764</v>
      </c>
      <c r="K1071">
        <v>2200</v>
      </c>
      <c r="L1071">
        <v>0</v>
      </c>
      <c r="M1071">
        <v>0</v>
      </c>
      <c r="N1071">
        <v>2200</v>
      </c>
    </row>
    <row r="1072" spans="1:14" x14ac:dyDescent="0.25">
      <c r="A1072">
        <v>734.14394300000004</v>
      </c>
      <c r="B1072" s="1">
        <f>DATE(2012,5,4) + TIME(3,27,16)</f>
        <v>41033.143935185188</v>
      </c>
      <c r="C1072">
        <v>80</v>
      </c>
      <c r="D1072">
        <v>79.568092346</v>
      </c>
      <c r="E1072">
        <v>50</v>
      </c>
      <c r="F1072">
        <v>49.607994079999997</v>
      </c>
      <c r="G1072">
        <v>1384.8634033000001</v>
      </c>
      <c r="H1072">
        <v>1370.7963867000001</v>
      </c>
      <c r="I1072">
        <v>1292.3314209</v>
      </c>
      <c r="J1072">
        <v>1274.9177245999999</v>
      </c>
      <c r="K1072">
        <v>2200</v>
      </c>
      <c r="L1072">
        <v>0</v>
      </c>
      <c r="M1072">
        <v>0</v>
      </c>
      <c r="N1072">
        <v>2200</v>
      </c>
    </row>
    <row r="1073" spans="1:14" x14ac:dyDescent="0.25">
      <c r="A1073">
        <v>734.27679699999999</v>
      </c>
      <c r="B1073" s="1">
        <f>DATE(2012,5,4) + TIME(6,38,35)</f>
        <v>41033.27679398148</v>
      </c>
      <c r="C1073">
        <v>80</v>
      </c>
      <c r="D1073">
        <v>79.624351501000007</v>
      </c>
      <c r="E1073">
        <v>50</v>
      </c>
      <c r="F1073">
        <v>49.595504761000001</v>
      </c>
      <c r="G1073">
        <v>1384.7896728999999</v>
      </c>
      <c r="H1073">
        <v>1370.7402344</v>
      </c>
      <c r="I1073">
        <v>1292.3291016000001</v>
      </c>
      <c r="J1073">
        <v>1274.9145507999999</v>
      </c>
      <c r="K1073">
        <v>2200</v>
      </c>
      <c r="L1073">
        <v>0</v>
      </c>
      <c r="M1073">
        <v>0</v>
      </c>
      <c r="N1073">
        <v>2200</v>
      </c>
    </row>
    <row r="1074" spans="1:14" x14ac:dyDescent="0.25">
      <c r="A1074">
        <v>734.41263000000004</v>
      </c>
      <c r="B1074" s="1">
        <f>DATE(2012,5,4) + TIME(9,54,11)</f>
        <v>41033.412627314814</v>
      </c>
      <c r="C1074">
        <v>80</v>
      </c>
      <c r="D1074">
        <v>79.672973632999998</v>
      </c>
      <c r="E1074">
        <v>50</v>
      </c>
      <c r="F1074">
        <v>49.582805634000003</v>
      </c>
      <c r="G1074">
        <v>1384.7176514</v>
      </c>
      <c r="H1074">
        <v>1370.6846923999999</v>
      </c>
      <c r="I1074">
        <v>1292.3267822</v>
      </c>
      <c r="J1074">
        <v>1274.9112548999999</v>
      </c>
      <c r="K1074">
        <v>2200</v>
      </c>
      <c r="L1074">
        <v>0</v>
      </c>
      <c r="M1074">
        <v>0</v>
      </c>
      <c r="N1074">
        <v>2200</v>
      </c>
    </row>
    <row r="1075" spans="1:14" x14ac:dyDescent="0.25">
      <c r="A1075">
        <v>734.55176500000005</v>
      </c>
      <c r="B1075" s="1">
        <f>DATE(2012,5,4) + TIME(13,14,32)</f>
        <v>41033.551759259259</v>
      </c>
      <c r="C1075">
        <v>80</v>
      </c>
      <c r="D1075">
        <v>79.714927673000005</v>
      </c>
      <c r="E1075">
        <v>50</v>
      </c>
      <c r="F1075">
        <v>49.569873809999997</v>
      </c>
      <c r="G1075">
        <v>1384.6470947</v>
      </c>
      <c r="H1075">
        <v>1370.6298827999999</v>
      </c>
      <c r="I1075">
        <v>1292.3244629000001</v>
      </c>
      <c r="J1075">
        <v>1274.9079589999999</v>
      </c>
      <c r="K1075">
        <v>2200</v>
      </c>
      <c r="L1075">
        <v>0</v>
      </c>
      <c r="M1075">
        <v>0</v>
      </c>
      <c r="N1075">
        <v>2200</v>
      </c>
    </row>
    <row r="1076" spans="1:14" x14ac:dyDescent="0.25">
      <c r="A1076">
        <v>734.69455200000004</v>
      </c>
      <c r="B1076" s="1">
        <f>DATE(2012,5,4) + TIME(16,40,9)</f>
        <v>41033.694548611114</v>
      </c>
      <c r="C1076">
        <v>80</v>
      </c>
      <c r="D1076">
        <v>79.751060486</v>
      </c>
      <c r="E1076">
        <v>50</v>
      </c>
      <c r="F1076">
        <v>49.556678771999998</v>
      </c>
      <c r="G1076">
        <v>1384.5777588000001</v>
      </c>
      <c r="H1076">
        <v>1370.5754394999999</v>
      </c>
      <c r="I1076">
        <v>1292.3220214999999</v>
      </c>
      <c r="J1076">
        <v>1274.9046631000001</v>
      </c>
      <c r="K1076">
        <v>2200</v>
      </c>
      <c r="L1076">
        <v>0</v>
      </c>
      <c r="M1076">
        <v>0</v>
      </c>
      <c r="N1076">
        <v>2200</v>
      </c>
    </row>
    <row r="1077" spans="1:14" x14ac:dyDescent="0.25">
      <c r="A1077">
        <v>734.84136999999998</v>
      </c>
      <c r="B1077" s="1">
        <f>DATE(2012,5,4) + TIME(20,11,34)</f>
        <v>41033.841365740744</v>
      </c>
      <c r="C1077">
        <v>80</v>
      </c>
      <c r="D1077">
        <v>79.782119750999996</v>
      </c>
      <c r="E1077">
        <v>50</v>
      </c>
      <c r="F1077">
        <v>49.543193817000002</v>
      </c>
      <c r="G1077">
        <v>1384.5095214999999</v>
      </c>
      <c r="H1077">
        <v>1370.5213623</v>
      </c>
      <c r="I1077">
        <v>1292.3195800999999</v>
      </c>
      <c r="J1077">
        <v>1274.9011230000001</v>
      </c>
      <c r="K1077">
        <v>2200</v>
      </c>
      <c r="L1077">
        <v>0</v>
      </c>
      <c r="M1077">
        <v>0</v>
      </c>
      <c r="N1077">
        <v>2200</v>
      </c>
    </row>
    <row r="1078" spans="1:14" x14ac:dyDescent="0.25">
      <c r="A1078">
        <v>734.99263299999996</v>
      </c>
      <c r="B1078" s="1">
        <f>DATE(2012,5,4) + TIME(23,49,23)</f>
        <v>41033.992627314816</v>
      </c>
      <c r="C1078">
        <v>80</v>
      </c>
      <c r="D1078">
        <v>79.808746338000006</v>
      </c>
      <c r="E1078">
        <v>50</v>
      </c>
      <c r="F1078">
        <v>49.529380797999998</v>
      </c>
      <c r="G1078">
        <v>1384.4421387</v>
      </c>
      <c r="H1078">
        <v>1370.4675293</v>
      </c>
      <c r="I1078">
        <v>1292.3168945</v>
      </c>
      <c r="J1078">
        <v>1274.8975829999999</v>
      </c>
      <c r="K1078">
        <v>2200</v>
      </c>
      <c r="L1078">
        <v>0</v>
      </c>
      <c r="M1078">
        <v>0</v>
      </c>
      <c r="N1078">
        <v>2200</v>
      </c>
    </row>
    <row r="1079" spans="1:14" x14ac:dyDescent="0.25">
      <c r="A1079">
        <v>735.14879800000006</v>
      </c>
      <c r="B1079" s="1">
        <f>DATE(2012,5,5) + TIME(3,34,16)</f>
        <v>41034.148796296293</v>
      </c>
      <c r="C1079">
        <v>80</v>
      </c>
      <c r="D1079">
        <v>79.831512450999995</v>
      </c>
      <c r="E1079">
        <v>50</v>
      </c>
      <c r="F1079">
        <v>49.515205383000001</v>
      </c>
      <c r="G1079">
        <v>1384.3752440999999</v>
      </c>
      <c r="H1079">
        <v>1370.4139404</v>
      </c>
      <c r="I1079">
        <v>1292.3143310999999</v>
      </c>
      <c r="J1079">
        <v>1274.8937988</v>
      </c>
      <c r="K1079">
        <v>2200</v>
      </c>
      <c r="L1079">
        <v>0</v>
      </c>
      <c r="M1079">
        <v>0</v>
      </c>
      <c r="N1079">
        <v>2200</v>
      </c>
    </row>
    <row r="1080" spans="1:14" x14ac:dyDescent="0.25">
      <c r="A1080">
        <v>735.31037300000003</v>
      </c>
      <c r="B1080" s="1">
        <f>DATE(2012,5,5) + TIME(7,26,56)</f>
        <v>41034.310370370367</v>
      </c>
      <c r="C1080">
        <v>80</v>
      </c>
      <c r="D1080">
        <v>79.850921631000006</v>
      </c>
      <c r="E1080">
        <v>50</v>
      </c>
      <c r="F1080">
        <v>49.500633239999999</v>
      </c>
      <c r="G1080">
        <v>1384.3088379000001</v>
      </c>
      <c r="H1080">
        <v>1370.3603516000001</v>
      </c>
      <c r="I1080">
        <v>1292.3115233999999</v>
      </c>
      <c r="J1080">
        <v>1274.8900146000001</v>
      </c>
      <c r="K1080">
        <v>2200</v>
      </c>
      <c r="L1080">
        <v>0</v>
      </c>
      <c r="M1080">
        <v>0</v>
      </c>
      <c r="N1080">
        <v>2200</v>
      </c>
    </row>
    <row r="1081" spans="1:14" x14ac:dyDescent="0.25">
      <c r="A1081">
        <v>735.47792500000003</v>
      </c>
      <c r="B1081" s="1">
        <f>DATE(2012,5,5) + TIME(11,28,12)</f>
        <v>41034.477916666663</v>
      </c>
      <c r="C1081">
        <v>80</v>
      </c>
      <c r="D1081">
        <v>79.867416382000002</v>
      </c>
      <c r="E1081">
        <v>50</v>
      </c>
      <c r="F1081">
        <v>49.485618590999998</v>
      </c>
      <c r="G1081">
        <v>1384.2426757999999</v>
      </c>
      <c r="H1081">
        <v>1370.3066406</v>
      </c>
      <c r="I1081">
        <v>1292.3085937999999</v>
      </c>
      <c r="J1081">
        <v>1274.8859863</v>
      </c>
      <c r="K1081">
        <v>2200</v>
      </c>
      <c r="L1081">
        <v>0</v>
      </c>
      <c r="M1081">
        <v>0</v>
      </c>
      <c r="N1081">
        <v>2200</v>
      </c>
    </row>
    <row r="1082" spans="1:14" x14ac:dyDescent="0.25">
      <c r="A1082">
        <v>735.65214100000003</v>
      </c>
      <c r="B1082" s="1">
        <f>DATE(2012,5,5) + TIME(15,39,4)</f>
        <v>41034.652129629627</v>
      </c>
      <c r="C1082">
        <v>80</v>
      </c>
      <c r="D1082">
        <v>79.881378174000005</v>
      </c>
      <c r="E1082">
        <v>50</v>
      </c>
      <c r="F1082">
        <v>49.470108031999999</v>
      </c>
      <c r="G1082">
        <v>1384.1765137</v>
      </c>
      <c r="H1082">
        <v>1370.2528076000001</v>
      </c>
      <c r="I1082">
        <v>1292.3056641000001</v>
      </c>
      <c r="J1082">
        <v>1274.8819579999999</v>
      </c>
      <c r="K1082">
        <v>2200</v>
      </c>
      <c r="L1082">
        <v>0</v>
      </c>
      <c r="M1082">
        <v>0</v>
      </c>
      <c r="N1082">
        <v>2200</v>
      </c>
    </row>
    <row r="1083" spans="1:14" x14ac:dyDescent="0.25">
      <c r="A1083">
        <v>735.83378500000003</v>
      </c>
      <c r="B1083" s="1">
        <f>DATE(2012,5,5) + TIME(20,0,38)</f>
        <v>41034.833773148152</v>
      </c>
      <c r="C1083">
        <v>80</v>
      </c>
      <c r="D1083">
        <v>79.893157959000007</v>
      </c>
      <c r="E1083">
        <v>50</v>
      </c>
      <c r="F1083">
        <v>49.454048157000003</v>
      </c>
      <c r="G1083">
        <v>1384.1102295000001</v>
      </c>
      <c r="H1083">
        <v>1370.1986084</v>
      </c>
      <c r="I1083">
        <v>1292.3026123</v>
      </c>
      <c r="J1083">
        <v>1274.8776855000001</v>
      </c>
      <c r="K1083">
        <v>2200</v>
      </c>
      <c r="L1083">
        <v>0</v>
      </c>
      <c r="M1083">
        <v>0</v>
      </c>
      <c r="N1083">
        <v>2200</v>
      </c>
    </row>
    <row r="1084" spans="1:14" x14ac:dyDescent="0.25">
      <c r="A1084">
        <v>736.02362200000005</v>
      </c>
      <c r="B1084" s="1">
        <f>DATE(2012,5,6) + TIME(0,34,0)</f>
        <v>41035.023611111108</v>
      </c>
      <c r="C1084">
        <v>80</v>
      </c>
      <c r="D1084">
        <v>79.903045653999996</v>
      </c>
      <c r="E1084">
        <v>50</v>
      </c>
      <c r="F1084">
        <v>49.437381744</v>
      </c>
      <c r="G1084">
        <v>1384.043457</v>
      </c>
      <c r="H1084">
        <v>1370.1439209</v>
      </c>
      <c r="I1084">
        <v>1292.2993164</v>
      </c>
      <c r="J1084">
        <v>1274.8731689000001</v>
      </c>
      <c r="K1084">
        <v>2200</v>
      </c>
      <c r="L1084">
        <v>0</v>
      </c>
      <c r="M1084">
        <v>0</v>
      </c>
      <c r="N1084">
        <v>2200</v>
      </c>
    </row>
    <row r="1085" spans="1:14" x14ac:dyDescent="0.25">
      <c r="A1085">
        <v>736.22067900000002</v>
      </c>
      <c r="B1085" s="1">
        <f>DATE(2012,5,6) + TIME(5,17,46)</f>
        <v>41035.220671296294</v>
      </c>
      <c r="C1085">
        <v>80</v>
      </c>
      <c r="D1085">
        <v>79.911239624000004</v>
      </c>
      <c r="E1085">
        <v>50</v>
      </c>
      <c r="F1085">
        <v>49.420177459999998</v>
      </c>
      <c r="G1085">
        <v>1383.9761963000001</v>
      </c>
      <c r="H1085">
        <v>1370.0886230000001</v>
      </c>
      <c r="I1085">
        <v>1292.2958983999999</v>
      </c>
      <c r="J1085">
        <v>1274.8685303</v>
      </c>
      <c r="K1085">
        <v>2200</v>
      </c>
      <c r="L1085">
        <v>0</v>
      </c>
      <c r="M1085">
        <v>0</v>
      </c>
      <c r="N1085">
        <v>2200</v>
      </c>
    </row>
    <row r="1086" spans="1:14" x14ac:dyDescent="0.25">
      <c r="A1086">
        <v>736.42482700000005</v>
      </c>
      <c r="B1086" s="1">
        <f>DATE(2012,5,6) + TIME(10,11,45)</f>
        <v>41035.424826388888</v>
      </c>
      <c r="C1086">
        <v>80</v>
      </c>
      <c r="D1086">
        <v>79.917984008999994</v>
      </c>
      <c r="E1086">
        <v>50</v>
      </c>
      <c r="F1086">
        <v>49.402442932</v>
      </c>
      <c r="G1086">
        <v>1383.9089355000001</v>
      </c>
      <c r="H1086">
        <v>1370.0330810999999</v>
      </c>
      <c r="I1086">
        <v>1292.2923584</v>
      </c>
      <c r="J1086">
        <v>1274.8636475000001</v>
      </c>
      <c r="K1086">
        <v>2200</v>
      </c>
      <c r="L1086">
        <v>0</v>
      </c>
      <c r="M1086">
        <v>0</v>
      </c>
      <c r="N1086">
        <v>2200</v>
      </c>
    </row>
    <row r="1087" spans="1:14" x14ac:dyDescent="0.25">
      <c r="A1087">
        <v>736.63680699999998</v>
      </c>
      <c r="B1087" s="1">
        <f>DATE(2012,5,6) + TIME(15,17,0)</f>
        <v>41035.636805555558</v>
      </c>
      <c r="C1087">
        <v>80</v>
      </c>
      <c r="D1087">
        <v>79.923522949000002</v>
      </c>
      <c r="E1087">
        <v>50</v>
      </c>
      <c r="F1087">
        <v>49.384132385000001</v>
      </c>
      <c r="G1087">
        <v>1383.8414307</v>
      </c>
      <c r="H1087">
        <v>1369.9775391000001</v>
      </c>
      <c r="I1087">
        <v>1292.2886963000001</v>
      </c>
      <c r="J1087">
        <v>1274.8586425999999</v>
      </c>
      <c r="K1087">
        <v>2200</v>
      </c>
      <c r="L1087">
        <v>0</v>
      </c>
      <c r="M1087">
        <v>0</v>
      </c>
      <c r="N1087">
        <v>2200</v>
      </c>
    </row>
    <row r="1088" spans="1:14" x14ac:dyDescent="0.25">
      <c r="A1088">
        <v>736.85746099999994</v>
      </c>
      <c r="B1088" s="1">
        <f>DATE(2012,5,6) + TIME(20,34,44)</f>
        <v>41035.857453703706</v>
      </c>
      <c r="C1088">
        <v>80</v>
      </c>
      <c r="D1088">
        <v>79.928047179999993</v>
      </c>
      <c r="E1088">
        <v>50</v>
      </c>
      <c r="F1088">
        <v>49.365180969000001</v>
      </c>
      <c r="G1088">
        <v>1383.7738036999999</v>
      </c>
      <c r="H1088">
        <v>1369.9217529</v>
      </c>
      <c r="I1088">
        <v>1292.2847899999999</v>
      </c>
      <c r="J1088">
        <v>1274.8533935999999</v>
      </c>
      <c r="K1088">
        <v>2200</v>
      </c>
      <c r="L1088">
        <v>0</v>
      </c>
      <c r="M1088">
        <v>0</v>
      </c>
      <c r="N1088">
        <v>2200</v>
      </c>
    </row>
    <row r="1089" spans="1:14" x14ac:dyDescent="0.25">
      <c r="A1089">
        <v>737.08776999999998</v>
      </c>
      <c r="B1089" s="1">
        <f>DATE(2012,5,7) + TIME(2,6,23)</f>
        <v>41036.087766203702</v>
      </c>
      <c r="C1089">
        <v>80</v>
      </c>
      <c r="D1089">
        <v>79.931732178000004</v>
      </c>
      <c r="E1089">
        <v>50</v>
      </c>
      <c r="F1089">
        <v>49.345527648999997</v>
      </c>
      <c r="G1089">
        <v>1383.7055664</v>
      </c>
      <c r="H1089">
        <v>1369.8654785000001</v>
      </c>
      <c r="I1089">
        <v>1292.2807617000001</v>
      </c>
      <c r="J1089">
        <v>1274.8479004000001</v>
      </c>
      <c r="K1089">
        <v>2200</v>
      </c>
      <c r="L1089">
        <v>0</v>
      </c>
      <c r="M1089">
        <v>0</v>
      </c>
      <c r="N1089">
        <v>2200</v>
      </c>
    </row>
    <row r="1090" spans="1:14" x14ac:dyDescent="0.25">
      <c r="A1090">
        <v>737.32867799999997</v>
      </c>
      <c r="B1090" s="1">
        <f>DATE(2012,5,7) + TIME(7,53,17)</f>
        <v>41036.328668981485</v>
      </c>
      <c r="C1090">
        <v>80</v>
      </c>
      <c r="D1090">
        <v>79.934730529999996</v>
      </c>
      <c r="E1090">
        <v>50</v>
      </c>
      <c r="F1090">
        <v>49.325103759999998</v>
      </c>
      <c r="G1090">
        <v>1383.6368408000001</v>
      </c>
      <c r="H1090">
        <v>1369.8087158000001</v>
      </c>
      <c r="I1090">
        <v>1292.2766113</v>
      </c>
      <c r="J1090">
        <v>1274.8422852000001</v>
      </c>
      <c r="K1090">
        <v>2200</v>
      </c>
      <c r="L1090">
        <v>0</v>
      </c>
      <c r="M1090">
        <v>0</v>
      </c>
      <c r="N1090">
        <v>2200</v>
      </c>
    </row>
    <row r="1091" spans="1:14" x14ac:dyDescent="0.25">
      <c r="A1091">
        <v>737.57170499999995</v>
      </c>
      <c r="B1091" s="1">
        <f>DATE(2012,5,7) + TIME(13,43,15)</f>
        <v>41036.571701388886</v>
      </c>
      <c r="C1091">
        <v>80</v>
      </c>
      <c r="D1091">
        <v>79.937080382999994</v>
      </c>
      <c r="E1091">
        <v>50</v>
      </c>
      <c r="F1091">
        <v>49.304477691999999</v>
      </c>
      <c r="G1091">
        <v>1383.5672606999999</v>
      </c>
      <c r="H1091">
        <v>1369.7512207</v>
      </c>
      <c r="I1091">
        <v>1292.2722168</v>
      </c>
      <c r="J1091">
        <v>1274.8363036999999</v>
      </c>
      <c r="K1091">
        <v>2200</v>
      </c>
      <c r="L1091">
        <v>0</v>
      </c>
      <c r="M1091">
        <v>0</v>
      </c>
      <c r="N1091">
        <v>2200</v>
      </c>
    </row>
    <row r="1092" spans="1:14" x14ac:dyDescent="0.25">
      <c r="A1092">
        <v>737.81599600000004</v>
      </c>
      <c r="B1092" s="1">
        <f>DATE(2012,5,7) + TIME(19,35,2)</f>
        <v>41036.815995370373</v>
      </c>
      <c r="C1092">
        <v>80</v>
      </c>
      <c r="D1092">
        <v>79.938926696999999</v>
      </c>
      <c r="E1092">
        <v>50</v>
      </c>
      <c r="F1092">
        <v>49.283721923999998</v>
      </c>
      <c r="G1092">
        <v>1383.4993896000001</v>
      </c>
      <c r="H1092">
        <v>1369.6951904</v>
      </c>
      <c r="I1092">
        <v>1292.2677002</v>
      </c>
      <c r="J1092">
        <v>1274.8303223</v>
      </c>
      <c r="K1092">
        <v>2200</v>
      </c>
      <c r="L1092">
        <v>0</v>
      </c>
      <c r="M1092">
        <v>0</v>
      </c>
      <c r="N1092">
        <v>2200</v>
      </c>
    </row>
    <row r="1093" spans="1:14" x14ac:dyDescent="0.25">
      <c r="A1093">
        <v>738.06221900000003</v>
      </c>
      <c r="B1093" s="1">
        <f>DATE(2012,5,8) + TIME(1,29,35)</f>
        <v>41037.062210648146</v>
      </c>
      <c r="C1093">
        <v>80</v>
      </c>
      <c r="D1093">
        <v>79.940383910999998</v>
      </c>
      <c r="E1093">
        <v>50</v>
      </c>
      <c r="F1093">
        <v>49.262825012</v>
      </c>
      <c r="G1093">
        <v>1383.4332274999999</v>
      </c>
      <c r="H1093">
        <v>1369.640625</v>
      </c>
      <c r="I1093">
        <v>1292.2630615</v>
      </c>
      <c r="J1093">
        <v>1274.8242187999999</v>
      </c>
      <c r="K1093">
        <v>2200</v>
      </c>
      <c r="L1093">
        <v>0</v>
      </c>
      <c r="M1093">
        <v>0</v>
      </c>
      <c r="N1093">
        <v>2200</v>
      </c>
    </row>
    <row r="1094" spans="1:14" x14ac:dyDescent="0.25">
      <c r="A1094">
        <v>738.31104800000003</v>
      </c>
      <c r="B1094" s="1">
        <f>DATE(2012,5,8) + TIME(7,27,54)</f>
        <v>41037.311041666668</v>
      </c>
      <c r="C1094">
        <v>80</v>
      </c>
      <c r="D1094">
        <v>79.941543578999998</v>
      </c>
      <c r="E1094">
        <v>50</v>
      </c>
      <c r="F1094">
        <v>49.241748809999997</v>
      </c>
      <c r="G1094">
        <v>1383.3685303</v>
      </c>
      <c r="H1094">
        <v>1369.5872803</v>
      </c>
      <c r="I1094">
        <v>1292.2585449000001</v>
      </c>
      <c r="J1094">
        <v>1274.8181152</v>
      </c>
      <c r="K1094">
        <v>2200</v>
      </c>
      <c r="L1094">
        <v>0</v>
      </c>
      <c r="M1094">
        <v>0</v>
      </c>
      <c r="N1094">
        <v>2200</v>
      </c>
    </row>
    <row r="1095" spans="1:14" x14ac:dyDescent="0.25">
      <c r="A1095">
        <v>738.56300799999997</v>
      </c>
      <c r="B1095" s="1">
        <f>DATE(2012,5,8) + TIME(13,30,43)</f>
        <v>41037.562997685185</v>
      </c>
      <c r="C1095">
        <v>80</v>
      </c>
      <c r="D1095">
        <v>79.942466736</v>
      </c>
      <c r="E1095">
        <v>50</v>
      </c>
      <c r="F1095">
        <v>49.220474242999998</v>
      </c>
      <c r="G1095">
        <v>1383.3049315999999</v>
      </c>
      <c r="H1095">
        <v>1369.5350341999999</v>
      </c>
      <c r="I1095">
        <v>1292.2539062000001</v>
      </c>
      <c r="J1095">
        <v>1274.8120117000001</v>
      </c>
      <c r="K1095">
        <v>2200</v>
      </c>
      <c r="L1095">
        <v>0</v>
      </c>
      <c r="M1095">
        <v>0</v>
      </c>
      <c r="N1095">
        <v>2200</v>
      </c>
    </row>
    <row r="1096" spans="1:14" x14ac:dyDescent="0.25">
      <c r="A1096">
        <v>738.81871799999999</v>
      </c>
      <c r="B1096" s="1">
        <f>DATE(2012,5,8) + TIME(19,38,57)</f>
        <v>41037.818715277775</v>
      </c>
      <c r="C1096">
        <v>80</v>
      </c>
      <c r="D1096">
        <v>79.943206786999994</v>
      </c>
      <c r="E1096">
        <v>50</v>
      </c>
      <c r="F1096">
        <v>49.198966980000002</v>
      </c>
      <c r="G1096">
        <v>1383.2424315999999</v>
      </c>
      <c r="H1096">
        <v>1369.4836425999999</v>
      </c>
      <c r="I1096">
        <v>1292.2492675999999</v>
      </c>
      <c r="J1096">
        <v>1274.8056641000001</v>
      </c>
      <c r="K1096">
        <v>2200</v>
      </c>
      <c r="L1096">
        <v>0</v>
      </c>
      <c r="M1096">
        <v>0</v>
      </c>
      <c r="N1096">
        <v>2200</v>
      </c>
    </row>
    <row r="1097" spans="1:14" x14ac:dyDescent="0.25">
      <c r="A1097">
        <v>739.07880799999998</v>
      </c>
      <c r="B1097" s="1">
        <f>DATE(2012,5,9) + TIME(1,53,29)</f>
        <v>41038.07880787037</v>
      </c>
      <c r="C1097">
        <v>80</v>
      </c>
      <c r="D1097">
        <v>79.943801879999995</v>
      </c>
      <c r="E1097">
        <v>50</v>
      </c>
      <c r="F1097">
        <v>49.177185059000003</v>
      </c>
      <c r="G1097">
        <v>1383.1807861</v>
      </c>
      <c r="H1097">
        <v>1369.4329834</v>
      </c>
      <c r="I1097">
        <v>1292.2445068</v>
      </c>
      <c r="J1097">
        <v>1274.7993164</v>
      </c>
      <c r="K1097">
        <v>2200</v>
      </c>
      <c r="L1097">
        <v>0</v>
      </c>
      <c r="M1097">
        <v>0</v>
      </c>
      <c r="N1097">
        <v>2200</v>
      </c>
    </row>
    <row r="1098" spans="1:14" x14ac:dyDescent="0.25">
      <c r="A1098">
        <v>739.34393999999998</v>
      </c>
      <c r="B1098" s="1">
        <f>DATE(2012,5,9) + TIME(8,15,16)</f>
        <v>41038.343935185185</v>
      </c>
      <c r="C1098">
        <v>80</v>
      </c>
      <c r="D1098">
        <v>79.944290160999998</v>
      </c>
      <c r="E1098">
        <v>50</v>
      </c>
      <c r="F1098">
        <v>49.155094147</v>
      </c>
      <c r="G1098">
        <v>1383.1196289</v>
      </c>
      <c r="H1098">
        <v>1369.3828125</v>
      </c>
      <c r="I1098">
        <v>1292.2397461</v>
      </c>
      <c r="J1098">
        <v>1274.7928466999999</v>
      </c>
      <c r="K1098">
        <v>2200</v>
      </c>
      <c r="L1098">
        <v>0</v>
      </c>
      <c r="M1098">
        <v>0</v>
      </c>
      <c r="N1098">
        <v>2200</v>
      </c>
    </row>
    <row r="1099" spans="1:14" x14ac:dyDescent="0.25">
      <c r="A1099">
        <v>739.61481200000003</v>
      </c>
      <c r="B1099" s="1">
        <f>DATE(2012,5,9) + TIME(14,45,19)</f>
        <v>41038.614803240744</v>
      </c>
      <c r="C1099">
        <v>80</v>
      </c>
      <c r="D1099">
        <v>79.94468689</v>
      </c>
      <c r="E1099">
        <v>50</v>
      </c>
      <c r="F1099">
        <v>49.132644653</v>
      </c>
      <c r="G1099">
        <v>1383.0589600000001</v>
      </c>
      <c r="H1099">
        <v>1369.3331298999999</v>
      </c>
      <c r="I1099">
        <v>1292.2347411999999</v>
      </c>
      <c r="J1099">
        <v>1274.7862548999999</v>
      </c>
      <c r="K1099">
        <v>2200</v>
      </c>
      <c r="L1099">
        <v>0</v>
      </c>
      <c r="M1099">
        <v>0</v>
      </c>
      <c r="N1099">
        <v>2200</v>
      </c>
    </row>
    <row r="1100" spans="1:14" x14ac:dyDescent="0.25">
      <c r="A1100">
        <v>739.89217599999995</v>
      </c>
      <c r="B1100" s="1">
        <f>DATE(2012,5,9) + TIME(21,24,44)</f>
        <v>41038.892175925925</v>
      </c>
      <c r="C1100">
        <v>80</v>
      </c>
      <c r="D1100">
        <v>79.945014954000001</v>
      </c>
      <c r="E1100">
        <v>50</v>
      </c>
      <c r="F1100">
        <v>49.109786987</v>
      </c>
      <c r="G1100">
        <v>1382.9986572</v>
      </c>
      <c r="H1100">
        <v>1369.2836914</v>
      </c>
      <c r="I1100">
        <v>1292.2297363</v>
      </c>
      <c r="J1100">
        <v>1274.7794189000001</v>
      </c>
      <c r="K1100">
        <v>2200</v>
      </c>
      <c r="L1100">
        <v>0</v>
      </c>
      <c r="M1100">
        <v>0</v>
      </c>
      <c r="N1100">
        <v>2200</v>
      </c>
    </row>
    <row r="1101" spans="1:14" x14ac:dyDescent="0.25">
      <c r="A1101">
        <v>740.17684799999995</v>
      </c>
      <c r="B1101" s="1">
        <f>DATE(2012,5,10) + TIME(4,14,39)</f>
        <v>41039.176840277774</v>
      </c>
      <c r="C1101">
        <v>80</v>
      </c>
      <c r="D1101">
        <v>79.945281981999997</v>
      </c>
      <c r="E1101">
        <v>50</v>
      </c>
      <c r="F1101">
        <v>49.086467743</v>
      </c>
      <c r="G1101">
        <v>1382.9384766000001</v>
      </c>
      <c r="H1101">
        <v>1369.234375</v>
      </c>
      <c r="I1101">
        <v>1292.2246094</v>
      </c>
      <c r="J1101">
        <v>1274.7724608999999</v>
      </c>
      <c r="K1101">
        <v>2200</v>
      </c>
      <c r="L1101">
        <v>0</v>
      </c>
      <c r="M1101">
        <v>0</v>
      </c>
      <c r="N1101">
        <v>2200</v>
      </c>
    </row>
    <row r="1102" spans="1:14" x14ac:dyDescent="0.25">
      <c r="A1102">
        <v>740.46972300000004</v>
      </c>
      <c r="B1102" s="1">
        <f>DATE(2012,5,10) + TIME(11,16,24)</f>
        <v>41039.469722222224</v>
      </c>
      <c r="C1102">
        <v>80</v>
      </c>
      <c r="D1102">
        <v>79.945503235000004</v>
      </c>
      <c r="E1102">
        <v>50</v>
      </c>
      <c r="F1102">
        <v>49.062625885000003</v>
      </c>
      <c r="G1102">
        <v>1382.8782959</v>
      </c>
      <c r="H1102">
        <v>1369.1851807</v>
      </c>
      <c r="I1102">
        <v>1292.2192382999999</v>
      </c>
      <c r="J1102">
        <v>1274.7653809000001</v>
      </c>
      <c r="K1102">
        <v>2200</v>
      </c>
      <c r="L1102">
        <v>0</v>
      </c>
      <c r="M1102">
        <v>0</v>
      </c>
      <c r="N1102">
        <v>2200</v>
      </c>
    </row>
    <row r="1103" spans="1:14" x14ac:dyDescent="0.25">
      <c r="A1103">
        <v>740.77180499999997</v>
      </c>
      <c r="B1103" s="1">
        <f>DATE(2012,5,10) + TIME(18,31,23)</f>
        <v>41039.771793981483</v>
      </c>
      <c r="C1103">
        <v>80</v>
      </c>
      <c r="D1103">
        <v>79.945686339999995</v>
      </c>
      <c r="E1103">
        <v>50</v>
      </c>
      <c r="F1103">
        <v>49.038196564000003</v>
      </c>
      <c r="G1103">
        <v>1382.8178711</v>
      </c>
      <c r="H1103">
        <v>1369.1358643000001</v>
      </c>
      <c r="I1103">
        <v>1292.2137451000001</v>
      </c>
      <c r="J1103">
        <v>1274.7579346</v>
      </c>
      <c r="K1103">
        <v>2200</v>
      </c>
      <c r="L1103">
        <v>0</v>
      </c>
      <c r="M1103">
        <v>0</v>
      </c>
      <c r="N1103">
        <v>2200</v>
      </c>
    </row>
    <row r="1104" spans="1:14" x14ac:dyDescent="0.25">
      <c r="A1104">
        <v>741.08440800000005</v>
      </c>
      <c r="B1104" s="1">
        <f>DATE(2012,5,11) + TIME(2,1,32)</f>
        <v>41040.084398148145</v>
      </c>
      <c r="C1104">
        <v>80</v>
      </c>
      <c r="D1104">
        <v>79.945831299000005</v>
      </c>
      <c r="E1104">
        <v>50</v>
      </c>
      <c r="F1104">
        <v>49.013092041</v>
      </c>
      <c r="G1104">
        <v>1382.7570800999999</v>
      </c>
      <c r="H1104">
        <v>1369.0864257999999</v>
      </c>
      <c r="I1104">
        <v>1292.2081298999999</v>
      </c>
      <c r="J1104">
        <v>1274.7503661999999</v>
      </c>
      <c r="K1104">
        <v>2200</v>
      </c>
      <c r="L1104">
        <v>0</v>
      </c>
      <c r="M1104">
        <v>0</v>
      </c>
      <c r="N1104">
        <v>2200</v>
      </c>
    </row>
    <row r="1105" spans="1:14" x14ac:dyDescent="0.25">
      <c r="A1105">
        <v>741.40861199999995</v>
      </c>
      <c r="B1105" s="1">
        <f>DATE(2012,5,11) + TIME(9,48,24)</f>
        <v>41040.40861111111</v>
      </c>
      <c r="C1105">
        <v>80</v>
      </c>
      <c r="D1105">
        <v>79.945960998999993</v>
      </c>
      <c r="E1105">
        <v>50</v>
      </c>
      <c r="F1105">
        <v>48.987243651999997</v>
      </c>
      <c r="G1105">
        <v>1382.6958007999999</v>
      </c>
      <c r="H1105">
        <v>1369.036499</v>
      </c>
      <c r="I1105">
        <v>1292.2022704999999</v>
      </c>
      <c r="J1105">
        <v>1274.7425536999999</v>
      </c>
      <c r="K1105">
        <v>2200</v>
      </c>
      <c r="L1105">
        <v>0</v>
      </c>
      <c r="M1105">
        <v>0</v>
      </c>
      <c r="N1105">
        <v>2200</v>
      </c>
    </row>
    <row r="1106" spans="1:14" x14ac:dyDescent="0.25">
      <c r="A1106">
        <v>741.73993700000005</v>
      </c>
      <c r="B1106" s="1">
        <f>DATE(2012,5,11) + TIME(17,45,30)</f>
        <v>41040.739930555559</v>
      </c>
      <c r="C1106">
        <v>80</v>
      </c>
      <c r="D1106">
        <v>79.946060181000007</v>
      </c>
      <c r="E1106">
        <v>50</v>
      </c>
      <c r="F1106">
        <v>48.960895538000003</v>
      </c>
      <c r="G1106">
        <v>1382.6339111</v>
      </c>
      <c r="H1106">
        <v>1368.9860839999999</v>
      </c>
      <c r="I1106">
        <v>1292.1961670000001</v>
      </c>
      <c r="J1106">
        <v>1274.734375</v>
      </c>
      <c r="K1106">
        <v>2200</v>
      </c>
      <c r="L1106">
        <v>0</v>
      </c>
      <c r="M1106">
        <v>0</v>
      </c>
      <c r="N1106">
        <v>2200</v>
      </c>
    </row>
    <row r="1107" spans="1:14" x14ac:dyDescent="0.25">
      <c r="A1107">
        <v>742.07916999999998</v>
      </c>
      <c r="B1107" s="1">
        <f>DATE(2012,5,12) + TIME(1,54,0)</f>
        <v>41041.07916666667</v>
      </c>
      <c r="C1107">
        <v>80</v>
      </c>
      <c r="D1107">
        <v>79.946144103999998</v>
      </c>
      <c r="E1107">
        <v>50</v>
      </c>
      <c r="F1107">
        <v>48.934020996000001</v>
      </c>
      <c r="G1107">
        <v>1382.5721435999999</v>
      </c>
      <c r="H1107">
        <v>1368.9359131000001</v>
      </c>
      <c r="I1107">
        <v>1292.1899414</v>
      </c>
      <c r="J1107">
        <v>1274.7260742000001</v>
      </c>
      <c r="K1107">
        <v>2200</v>
      </c>
      <c r="L1107">
        <v>0</v>
      </c>
      <c r="M1107">
        <v>0</v>
      </c>
      <c r="N1107">
        <v>2200</v>
      </c>
    </row>
    <row r="1108" spans="1:14" x14ac:dyDescent="0.25">
      <c r="A1108">
        <v>742.42719799999998</v>
      </c>
      <c r="B1108" s="1">
        <f>DATE(2012,5,12) + TIME(10,15,9)</f>
        <v>41041.427187499998</v>
      </c>
      <c r="C1108">
        <v>80</v>
      </c>
      <c r="D1108">
        <v>79.946212768999999</v>
      </c>
      <c r="E1108">
        <v>50</v>
      </c>
      <c r="F1108">
        <v>48.906578064000001</v>
      </c>
      <c r="G1108">
        <v>1382.5106201000001</v>
      </c>
      <c r="H1108">
        <v>1368.8858643000001</v>
      </c>
      <c r="I1108">
        <v>1292.1834716999999</v>
      </c>
      <c r="J1108">
        <v>1274.7174072</v>
      </c>
      <c r="K1108">
        <v>2200</v>
      </c>
      <c r="L1108">
        <v>0</v>
      </c>
      <c r="M1108">
        <v>0</v>
      </c>
      <c r="N1108">
        <v>2200</v>
      </c>
    </row>
    <row r="1109" spans="1:14" x14ac:dyDescent="0.25">
      <c r="A1109">
        <v>742.78499499999998</v>
      </c>
      <c r="B1109" s="1">
        <f>DATE(2012,5,12) + TIME(18,50,23)</f>
        <v>41041.784988425927</v>
      </c>
      <c r="C1109">
        <v>80</v>
      </c>
      <c r="D1109">
        <v>79.946266174000002</v>
      </c>
      <c r="E1109">
        <v>50</v>
      </c>
      <c r="F1109">
        <v>48.878509520999998</v>
      </c>
      <c r="G1109">
        <v>1382.4488524999999</v>
      </c>
      <c r="H1109">
        <v>1368.8358154</v>
      </c>
      <c r="I1109">
        <v>1292.1768798999999</v>
      </c>
      <c r="J1109">
        <v>1274.7086182</v>
      </c>
      <c r="K1109">
        <v>2200</v>
      </c>
      <c r="L1109">
        <v>0</v>
      </c>
      <c r="M1109">
        <v>0</v>
      </c>
      <c r="N1109">
        <v>2200</v>
      </c>
    </row>
    <row r="1110" spans="1:14" x14ac:dyDescent="0.25">
      <c r="A1110">
        <v>743.15364399999999</v>
      </c>
      <c r="B1110" s="1">
        <f>DATE(2012,5,13) + TIME(3,41,14)</f>
        <v>41042.153634259259</v>
      </c>
      <c r="C1110">
        <v>80</v>
      </c>
      <c r="D1110">
        <v>79.946304321</v>
      </c>
      <c r="E1110">
        <v>50</v>
      </c>
      <c r="F1110">
        <v>48.849761962999999</v>
      </c>
      <c r="G1110">
        <v>1382.3870850000001</v>
      </c>
      <c r="H1110">
        <v>1368.7857666</v>
      </c>
      <c r="I1110">
        <v>1292.1700439000001</v>
      </c>
      <c r="J1110">
        <v>1274.6995850000001</v>
      </c>
      <c r="K1110">
        <v>2200</v>
      </c>
      <c r="L1110">
        <v>0</v>
      </c>
      <c r="M1110">
        <v>0</v>
      </c>
      <c r="N1110">
        <v>2200</v>
      </c>
    </row>
    <row r="1111" spans="1:14" x14ac:dyDescent="0.25">
      <c r="A1111">
        <v>743.53384800000003</v>
      </c>
      <c r="B1111" s="1">
        <f>DATE(2012,5,13) + TIME(12,48,44)</f>
        <v>41042.533842592595</v>
      </c>
      <c r="C1111">
        <v>80</v>
      </c>
      <c r="D1111">
        <v>79.946334839000002</v>
      </c>
      <c r="E1111">
        <v>50</v>
      </c>
      <c r="F1111">
        <v>48.820285796999997</v>
      </c>
      <c r="G1111">
        <v>1382.3249512</v>
      </c>
      <c r="H1111">
        <v>1368.7353516000001</v>
      </c>
      <c r="I1111">
        <v>1292.1630858999999</v>
      </c>
      <c r="J1111">
        <v>1274.6901855000001</v>
      </c>
      <c r="K1111">
        <v>2200</v>
      </c>
      <c r="L1111">
        <v>0</v>
      </c>
      <c r="M1111">
        <v>0</v>
      </c>
      <c r="N1111">
        <v>2200</v>
      </c>
    </row>
    <row r="1112" spans="1:14" x14ac:dyDescent="0.25">
      <c r="A1112">
        <v>743.91770399999996</v>
      </c>
      <c r="B1112" s="1">
        <f>DATE(2012,5,13) + TIME(22,1,29)</f>
        <v>41042.917696759258</v>
      </c>
      <c r="C1112">
        <v>80</v>
      </c>
      <c r="D1112">
        <v>79.946357727000006</v>
      </c>
      <c r="E1112">
        <v>50</v>
      </c>
      <c r="F1112">
        <v>48.790508269999997</v>
      </c>
      <c r="G1112">
        <v>1382.2623291</v>
      </c>
      <c r="H1112">
        <v>1368.6848144999999</v>
      </c>
      <c r="I1112">
        <v>1292.1557617000001</v>
      </c>
      <c r="J1112">
        <v>1274.6805420000001</v>
      </c>
      <c r="K1112">
        <v>2200</v>
      </c>
      <c r="L1112">
        <v>0</v>
      </c>
      <c r="M1112">
        <v>0</v>
      </c>
      <c r="N1112">
        <v>2200</v>
      </c>
    </row>
    <row r="1113" spans="1:14" x14ac:dyDescent="0.25">
      <c r="A1113">
        <v>744.30579999999998</v>
      </c>
      <c r="B1113" s="1">
        <f>DATE(2012,5,14) + TIME(7,20,21)</f>
        <v>41043.305798611109</v>
      </c>
      <c r="C1113">
        <v>80</v>
      </c>
      <c r="D1113">
        <v>79.946372986</v>
      </c>
      <c r="E1113">
        <v>50</v>
      </c>
      <c r="F1113">
        <v>48.760448455999999</v>
      </c>
      <c r="G1113">
        <v>1382.2008057</v>
      </c>
      <c r="H1113">
        <v>1368.6350098</v>
      </c>
      <c r="I1113">
        <v>1292.1483154</v>
      </c>
      <c r="J1113">
        <v>1274.6707764</v>
      </c>
      <c r="K1113">
        <v>2200</v>
      </c>
      <c r="L1113">
        <v>0</v>
      </c>
      <c r="M1113">
        <v>0</v>
      </c>
      <c r="N1113">
        <v>2200</v>
      </c>
    </row>
    <row r="1114" spans="1:14" x14ac:dyDescent="0.25">
      <c r="A1114">
        <v>744.69814299999996</v>
      </c>
      <c r="B1114" s="1">
        <f>DATE(2012,5,14) + TIME(16,45,19)</f>
        <v>41043.698136574072</v>
      </c>
      <c r="C1114">
        <v>80</v>
      </c>
      <c r="D1114">
        <v>79.946380614999995</v>
      </c>
      <c r="E1114">
        <v>50</v>
      </c>
      <c r="F1114">
        <v>48.730133057000003</v>
      </c>
      <c r="G1114">
        <v>1382.1398925999999</v>
      </c>
      <c r="H1114">
        <v>1368.5858154</v>
      </c>
      <c r="I1114">
        <v>1292.1408690999999</v>
      </c>
      <c r="J1114">
        <v>1274.6608887</v>
      </c>
      <c r="K1114">
        <v>2200</v>
      </c>
      <c r="L1114">
        <v>0</v>
      </c>
      <c r="M1114">
        <v>0</v>
      </c>
      <c r="N1114">
        <v>2200</v>
      </c>
    </row>
    <row r="1115" spans="1:14" x14ac:dyDescent="0.25">
      <c r="A1115">
        <v>745.09578499999998</v>
      </c>
      <c r="B1115" s="1">
        <f>DATE(2012,5,15) + TIME(2,17,55)</f>
        <v>41044.095775462964</v>
      </c>
      <c r="C1115">
        <v>80</v>
      </c>
      <c r="D1115">
        <v>79.946380614999995</v>
      </c>
      <c r="E1115">
        <v>50</v>
      </c>
      <c r="F1115">
        <v>48.699527740000001</v>
      </c>
      <c r="G1115">
        <v>1382.0798339999999</v>
      </c>
      <c r="H1115">
        <v>1368.5373535000001</v>
      </c>
      <c r="I1115">
        <v>1292.1333007999999</v>
      </c>
      <c r="J1115">
        <v>1274.6507568</v>
      </c>
      <c r="K1115">
        <v>2200</v>
      </c>
      <c r="L1115">
        <v>0</v>
      </c>
      <c r="M1115">
        <v>0</v>
      </c>
      <c r="N1115">
        <v>2200</v>
      </c>
    </row>
    <row r="1116" spans="1:14" x14ac:dyDescent="0.25">
      <c r="A1116">
        <v>745.49979199999996</v>
      </c>
      <c r="B1116" s="1">
        <f>DATE(2012,5,15) + TIME(11,59,42)</f>
        <v>41044.499791666669</v>
      </c>
      <c r="C1116">
        <v>80</v>
      </c>
      <c r="D1116">
        <v>79.946380614999995</v>
      </c>
      <c r="E1116">
        <v>50</v>
      </c>
      <c r="F1116">
        <v>48.668586730999998</v>
      </c>
      <c r="G1116">
        <v>1382.0203856999999</v>
      </c>
      <c r="H1116">
        <v>1368.4893798999999</v>
      </c>
      <c r="I1116">
        <v>1292.1256103999999</v>
      </c>
      <c r="J1116">
        <v>1274.640625</v>
      </c>
      <c r="K1116">
        <v>2200</v>
      </c>
      <c r="L1116">
        <v>0</v>
      </c>
      <c r="M1116">
        <v>0</v>
      </c>
      <c r="N1116">
        <v>2200</v>
      </c>
    </row>
    <row r="1117" spans="1:14" x14ac:dyDescent="0.25">
      <c r="A1117">
        <v>745.90978600000005</v>
      </c>
      <c r="B1117" s="1">
        <f>DATE(2012,5,15) + TIME(21,50,5)</f>
        <v>41044.909780092596</v>
      </c>
      <c r="C1117">
        <v>80</v>
      </c>
      <c r="D1117">
        <v>79.946380614999995</v>
      </c>
      <c r="E1117">
        <v>50</v>
      </c>
      <c r="F1117">
        <v>48.637329102000002</v>
      </c>
      <c r="G1117">
        <v>1381.9613036999999</v>
      </c>
      <c r="H1117">
        <v>1368.4416504000001</v>
      </c>
      <c r="I1117">
        <v>1292.1177978999999</v>
      </c>
      <c r="J1117">
        <v>1274.6301269999999</v>
      </c>
      <c r="K1117">
        <v>2200</v>
      </c>
      <c r="L1117">
        <v>0</v>
      </c>
      <c r="M1117">
        <v>0</v>
      </c>
      <c r="N1117">
        <v>2200</v>
      </c>
    </row>
    <row r="1118" spans="1:14" x14ac:dyDescent="0.25">
      <c r="A1118">
        <v>746.32664</v>
      </c>
      <c r="B1118" s="1">
        <f>DATE(2012,5,16) + TIME(7,50,21)</f>
        <v>41045.326631944445</v>
      </c>
      <c r="C1118">
        <v>80</v>
      </c>
      <c r="D1118">
        <v>79.946372986</v>
      </c>
      <c r="E1118">
        <v>50</v>
      </c>
      <c r="F1118">
        <v>48.605716704999999</v>
      </c>
      <c r="G1118">
        <v>1381.9027100000001</v>
      </c>
      <c r="H1118">
        <v>1368.3944091999999</v>
      </c>
      <c r="I1118">
        <v>1292.1097411999999</v>
      </c>
      <c r="J1118">
        <v>1274.6195068</v>
      </c>
      <c r="K1118">
        <v>2200</v>
      </c>
      <c r="L1118">
        <v>0</v>
      </c>
      <c r="M1118">
        <v>0</v>
      </c>
      <c r="N1118">
        <v>2200</v>
      </c>
    </row>
    <row r="1119" spans="1:14" x14ac:dyDescent="0.25">
      <c r="A1119">
        <v>746.75142400000004</v>
      </c>
      <c r="B1119" s="1">
        <f>DATE(2012,5,16) + TIME(18,2,3)</f>
        <v>41045.751423611109</v>
      </c>
      <c r="C1119">
        <v>80</v>
      </c>
      <c r="D1119">
        <v>79.946357727000006</v>
      </c>
      <c r="E1119">
        <v>50</v>
      </c>
      <c r="F1119">
        <v>48.573688507</v>
      </c>
      <c r="G1119">
        <v>1381.8443603999999</v>
      </c>
      <c r="H1119">
        <v>1368.3475341999999</v>
      </c>
      <c r="I1119">
        <v>1292.1016846</v>
      </c>
      <c r="J1119">
        <v>1274.6087646000001</v>
      </c>
      <c r="K1119">
        <v>2200</v>
      </c>
      <c r="L1119">
        <v>0</v>
      </c>
      <c r="M1119">
        <v>0</v>
      </c>
      <c r="N1119">
        <v>2200</v>
      </c>
    </row>
    <row r="1120" spans="1:14" x14ac:dyDescent="0.25">
      <c r="A1120">
        <v>747.18527900000004</v>
      </c>
      <c r="B1120" s="1">
        <f>DATE(2012,5,17) + TIME(4,26,48)</f>
        <v>41046.185277777775</v>
      </c>
      <c r="C1120">
        <v>80</v>
      </c>
      <c r="D1120">
        <v>79.946350097999996</v>
      </c>
      <c r="E1120">
        <v>50</v>
      </c>
      <c r="F1120">
        <v>48.541183472</v>
      </c>
      <c r="G1120">
        <v>1381.7862548999999</v>
      </c>
      <c r="H1120">
        <v>1368.3006591999999</v>
      </c>
      <c r="I1120">
        <v>1292.0933838000001</v>
      </c>
      <c r="J1120">
        <v>1274.5976562000001</v>
      </c>
      <c r="K1120">
        <v>2200</v>
      </c>
      <c r="L1120">
        <v>0</v>
      </c>
      <c r="M1120">
        <v>0</v>
      </c>
      <c r="N1120">
        <v>2200</v>
      </c>
    </row>
    <row r="1121" spans="1:14" x14ac:dyDescent="0.25">
      <c r="A1121">
        <v>747.62943199999995</v>
      </c>
      <c r="B1121" s="1">
        <f>DATE(2012,5,17) + TIME(15,6,22)</f>
        <v>41046.629421296297</v>
      </c>
      <c r="C1121">
        <v>80</v>
      </c>
      <c r="D1121">
        <v>79.946334839000002</v>
      </c>
      <c r="E1121">
        <v>50</v>
      </c>
      <c r="F1121">
        <v>48.50812912</v>
      </c>
      <c r="G1121">
        <v>1381.7281493999999</v>
      </c>
      <c r="H1121">
        <v>1368.2539062000001</v>
      </c>
      <c r="I1121">
        <v>1292.0848389</v>
      </c>
      <c r="J1121">
        <v>1274.5863036999999</v>
      </c>
      <c r="K1121">
        <v>2200</v>
      </c>
      <c r="L1121">
        <v>0</v>
      </c>
      <c r="M1121">
        <v>0</v>
      </c>
      <c r="N1121">
        <v>2200</v>
      </c>
    </row>
    <row r="1122" spans="1:14" x14ac:dyDescent="0.25">
      <c r="A1122">
        <v>748.08522900000003</v>
      </c>
      <c r="B1122" s="1">
        <f>DATE(2012,5,18) + TIME(2,2,43)</f>
        <v>41047.085219907407</v>
      </c>
      <c r="C1122">
        <v>80</v>
      </c>
      <c r="D1122">
        <v>79.946319579999994</v>
      </c>
      <c r="E1122">
        <v>50</v>
      </c>
      <c r="F1122">
        <v>48.474445342999999</v>
      </c>
      <c r="G1122">
        <v>1381.6699219</v>
      </c>
      <c r="H1122">
        <v>1368.2071533000001</v>
      </c>
      <c r="I1122">
        <v>1292.0760498</v>
      </c>
      <c r="J1122">
        <v>1274.574707</v>
      </c>
      <c r="K1122">
        <v>2200</v>
      </c>
      <c r="L1122">
        <v>0</v>
      </c>
      <c r="M1122">
        <v>0</v>
      </c>
      <c r="N1122">
        <v>2200</v>
      </c>
    </row>
    <row r="1123" spans="1:14" x14ac:dyDescent="0.25">
      <c r="A1123">
        <v>748.55415500000004</v>
      </c>
      <c r="B1123" s="1">
        <f>DATE(2012,5,18) + TIME(13,17,58)</f>
        <v>41047.554143518515</v>
      </c>
      <c r="C1123">
        <v>80</v>
      </c>
      <c r="D1123">
        <v>79.946304321</v>
      </c>
      <c r="E1123">
        <v>50</v>
      </c>
      <c r="F1123">
        <v>48.440040588000002</v>
      </c>
      <c r="G1123">
        <v>1381.6114502</v>
      </c>
      <c r="H1123">
        <v>1368.1601562000001</v>
      </c>
      <c r="I1123">
        <v>1292.0670166</v>
      </c>
      <c r="J1123">
        <v>1274.5627440999999</v>
      </c>
      <c r="K1123">
        <v>2200</v>
      </c>
      <c r="L1123">
        <v>0</v>
      </c>
      <c r="M1123">
        <v>0</v>
      </c>
      <c r="N1123">
        <v>2200</v>
      </c>
    </row>
    <row r="1124" spans="1:14" x14ac:dyDescent="0.25">
      <c r="A1124">
        <v>749.03791799999999</v>
      </c>
      <c r="B1124" s="1">
        <f>DATE(2012,5,19) + TIME(0,54,36)</f>
        <v>41048.037916666668</v>
      </c>
      <c r="C1124">
        <v>80</v>
      </c>
      <c r="D1124">
        <v>79.946289062000005</v>
      </c>
      <c r="E1124">
        <v>50</v>
      </c>
      <c r="F1124">
        <v>48.404811858999999</v>
      </c>
      <c r="G1124">
        <v>1381.5526123</v>
      </c>
      <c r="H1124">
        <v>1368.112793</v>
      </c>
      <c r="I1124">
        <v>1292.0577393000001</v>
      </c>
      <c r="J1124">
        <v>1274.550293</v>
      </c>
      <c r="K1124">
        <v>2200</v>
      </c>
      <c r="L1124">
        <v>0</v>
      </c>
      <c r="M1124">
        <v>0</v>
      </c>
      <c r="N1124">
        <v>2200</v>
      </c>
    </row>
    <row r="1125" spans="1:14" x14ac:dyDescent="0.25">
      <c r="A1125">
        <v>749.53687200000002</v>
      </c>
      <c r="B1125" s="1">
        <f>DATE(2012,5,19) + TIME(12,53,5)</f>
        <v>41048.536863425928</v>
      </c>
      <c r="C1125">
        <v>80</v>
      </c>
      <c r="D1125">
        <v>79.946266174000002</v>
      </c>
      <c r="E1125">
        <v>50</v>
      </c>
      <c r="F1125">
        <v>48.368724823000001</v>
      </c>
      <c r="G1125">
        <v>1381.4931641000001</v>
      </c>
      <c r="H1125">
        <v>1368.0650635</v>
      </c>
      <c r="I1125">
        <v>1292.0480957</v>
      </c>
      <c r="J1125">
        <v>1274.5374756000001</v>
      </c>
      <c r="K1125">
        <v>2200</v>
      </c>
      <c r="L1125">
        <v>0</v>
      </c>
      <c r="M1125">
        <v>0</v>
      </c>
      <c r="N1125">
        <v>2200</v>
      </c>
    </row>
    <row r="1126" spans="1:14" x14ac:dyDescent="0.25">
      <c r="A1126">
        <v>750.04107199999999</v>
      </c>
      <c r="B1126" s="1">
        <f>DATE(2012,5,20) + TIME(0,59,8)</f>
        <v>41049.041064814817</v>
      </c>
      <c r="C1126">
        <v>80</v>
      </c>
      <c r="D1126">
        <v>79.946250915999997</v>
      </c>
      <c r="E1126">
        <v>50</v>
      </c>
      <c r="F1126">
        <v>48.332225800000003</v>
      </c>
      <c r="G1126">
        <v>1381.4331055</v>
      </c>
      <c r="H1126">
        <v>1368.0168457</v>
      </c>
      <c r="I1126">
        <v>1292.0380858999999</v>
      </c>
      <c r="J1126">
        <v>1274.5242920000001</v>
      </c>
      <c r="K1126">
        <v>2200</v>
      </c>
      <c r="L1126">
        <v>0</v>
      </c>
      <c r="M1126">
        <v>0</v>
      </c>
      <c r="N1126">
        <v>2200</v>
      </c>
    </row>
    <row r="1127" spans="1:14" x14ac:dyDescent="0.25">
      <c r="A1127">
        <v>750.54918899999996</v>
      </c>
      <c r="B1127" s="1">
        <f>DATE(2012,5,20) + TIME(13,10,49)</f>
        <v>41049.549178240741</v>
      </c>
      <c r="C1127">
        <v>80</v>
      </c>
      <c r="D1127">
        <v>79.946228027000004</v>
      </c>
      <c r="E1127">
        <v>50</v>
      </c>
      <c r="F1127">
        <v>48.295452118</v>
      </c>
      <c r="G1127">
        <v>1381.3736572</v>
      </c>
      <c r="H1127">
        <v>1367.9692382999999</v>
      </c>
      <c r="I1127">
        <v>1292.0279541</v>
      </c>
      <c r="J1127">
        <v>1274.5108643000001</v>
      </c>
      <c r="K1127">
        <v>2200</v>
      </c>
      <c r="L1127">
        <v>0</v>
      </c>
      <c r="M1127">
        <v>0</v>
      </c>
      <c r="N1127">
        <v>2200</v>
      </c>
    </row>
    <row r="1128" spans="1:14" x14ac:dyDescent="0.25">
      <c r="A1128">
        <v>751.06262700000002</v>
      </c>
      <c r="B1128" s="1">
        <f>DATE(2012,5,21) + TIME(1,30,10)</f>
        <v>41050.062615740739</v>
      </c>
      <c r="C1128">
        <v>80</v>
      </c>
      <c r="D1128">
        <v>79.946212768999999</v>
      </c>
      <c r="E1128">
        <v>50</v>
      </c>
      <c r="F1128">
        <v>48.258403778000002</v>
      </c>
      <c r="G1128">
        <v>1381.3150635</v>
      </c>
      <c r="H1128">
        <v>1367.9222411999999</v>
      </c>
      <c r="I1128">
        <v>1292.0177002</v>
      </c>
      <c r="J1128">
        <v>1274.4971923999999</v>
      </c>
      <c r="K1128">
        <v>2200</v>
      </c>
      <c r="L1128">
        <v>0</v>
      </c>
      <c r="M1128">
        <v>0</v>
      </c>
      <c r="N1128">
        <v>2200</v>
      </c>
    </row>
    <row r="1129" spans="1:14" x14ac:dyDescent="0.25">
      <c r="A1129">
        <v>751.58279300000004</v>
      </c>
      <c r="B1129" s="1">
        <f>DATE(2012,5,21) + TIME(13,59,13)</f>
        <v>41050.582789351851</v>
      </c>
      <c r="C1129">
        <v>80</v>
      </c>
      <c r="D1129">
        <v>79.946189880000006</v>
      </c>
      <c r="E1129">
        <v>50</v>
      </c>
      <c r="F1129">
        <v>48.221042633000003</v>
      </c>
      <c r="G1129">
        <v>1381.2570800999999</v>
      </c>
      <c r="H1129">
        <v>1367.8756103999999</v>
      </c>
      <c r="I1129">
        <v>1292.0072021000001</v>
      </c>
      <c r="J1129">
        <v>1274.4833983999999</v>
      </c>
      <c r="K1129">
        <v>2200</v>
      </c>
      <c r="L1129">
        <v>0</v>
      </c>
      <c r="M1129">
        <v>0</v>
      </c>
      <c r="N1129">
        <v>2200</v>
      </c>
    </row>
    <row r="1130" spans="1:14" x14ac:dyDescent="0.25">
      <c r="A1130">
        <v>752.111132</v>
      </c>
      <c r="B1130" s="1">
        <f>DATE(2012,5,22) + TIME(2,40,1)</f>
        <v>41051.111122685186</v>
      </c>
      <c r="C1130">
        <v>80</v>
      </c>
      <c r="D1130">
        <v>79.946174622000001</v>
      </c>
      <c r="E1130">
        <v>50</v>
      </c>
      <c r="F1130">
        <v>48.183311461999999</v>
      </c>
      <c r="G1130">
        <v>1381.1994629000001</v>
      </c>
      <c r="H1130">
        <v>1367.8294678</v>
      </c>
      <c r="I1130">
        <v>1291.9967041</v>
      </c>
      <c r="J1130">
        <v>1274.4693603999999</v>
      </c>
      <c r="K1130">
        <v>2200</v>
      </c>
      <c r="L1130">
        <v>0</v>
      </c>
      <c r="M1130">
        <v>0</v>
      </c>
      <c r="N1130">
        <v>2200</v>
      </c>
    </row>
    <row r="1131" spans="1:14" x14ac:dyDescent="0.25">
      <c r="A1131">
        <v>752.64916500000004</v>
      </c>
      <c r="B1131" s="1">
        <f>DATE(2012,5,22) + TIME(15,34,47)</f>
        <v>41051.649155092593</v>
      </c>
      <c r="C1131">
        <v>80</v>
      </c>
      <c r="D1131">
        <v>79.946151732999994</v>
      </c>
      <c r="E1131">
        <v>50</v>
      </c>
      <c r="F1131">
        <v>48.145137787000003</v>
      </c>
      <c r="G1131">
        <v>1381.1422118999999</v>
      </c>
      <c r="H1131">
        <v>1367.7834473</v>
      </c>
      <c r="I1131">
        <v>1291.9858397999999</v>
      </c>
      <c r="J1131">
        <v>1274.4549560999999</v>
      </c>
      <c r="K1131">
        <v>2200</v>
      </c>
      <c r="L1131">
        <v>0</v>
      </c>
      <c r="M1131">
        <v>0</v>
      </c>
      <c r="N1131">
        <v>2200</v>
      </c>
    </row>
    <row r="1132" spans="1:14" x14ac:dyDescent="0.25">
      <c r="A1132">
        <v>753.19372599999997</v>
      </c>
      <c r="B1132" s="1">
        <f>DATE(2012,5,23) + TIME(4,38,57)</f>
        <v>41052.193715277775</v>
      </c>
      <c r="C1132">
        <v>80</v>
      </c>
      <c r="D1132">
        <v>79.946136475000003</v>
      </c>
      <c r="E1132">
        <v>50</v>
      </c>
      <c r="F1132">
        <v>48.106643677000001</v>
      </c>
      <c r="G1132">
        <v>1381.0849608999999</v>
      </c>
      <c r="H1132">
        <v>1367.7375488</v>
      </c>
      <c r="I1132">
        <v>1291.9747314000001</v>
      </c>
      <c r="J1132">
        <v>1274.4401855000001</v>
      </c>
      <c r="K1132">
        <v>2200</v>
      </c>
      <c r="L1132">
        <v>0</v>
      </c>
      <c r="M1132">
        <v>0</v>
      </c>
      <c r="N1132">
        <v>2200</v>
      </c>
    </row>
    <row r="1133" spans="1:14" x14ac:dyDescent="0.25">
      <c r="A1133">
        <v>753.74571400000002</v>
      </c>
      <c r="B1133" s="1">
        <f>DATE(2012,5,23) + TIME(17,53,49)</f>
        <v>41052.745706018519</v>
      </c>
      <c r="C1133">
        <v>80</v>
      </c>
      <c r="D1133">
        <v>79.946121215999995</v>
      </c>
      <c r="E1133">
        <v>50</v>
      </c>
      <c r="F1133">
        <v>48.067813872999999</v>
      </c>
      <c r="G1133">
        <v>1381.0281981999999</v>
      </c>
      <c r="H1133">
        <v>1367.6920166</v>
      </c>
      <c r="I1133">
        <v>1291.963501</v>
      </c>
      <c r="J1133">
        <v>1274.4251709</v>
      </c>
      <c r="K1133">
        <v>2200</v>
      </c>
      <c r="L1133">
        <v>0</v>
      </c>
      <c r="M1133">
        <v>0</v>
      </c>
      <c r="N1133">
        <v>2200</v>
      </c>
    </row>
    <row r="1134" spans="1:14" x14ac:dyDescent="0.25">
      <c r="A1134">
        <v>754.30656299999998</v>
      </c>
      <c r="B1134" s="1">
        <f>DATE(2012,5,24) + TIME(7,21,27)</f>
        <v>41053.306562500002</v>
      </c>
      <c r="C1134">
        <v>80</v>
      </c>
      <c r="D1134">
        <v>79.946098328000005</v>
      </c>
      <c r="E1134">
        <v>50</v>
      </c>
      <c r="F1134">
        <v>48.028591155999997</v>
      </c>
      <c r="G1134">
        <v>1380.9716797000001</v>
      </c>
      <c r="H1134">
        <v>1367.6467285000001</v>
      </c>
      <c r="I1134">
        <v>1291.9520264</v>
      </c>
      <c r="J1134">
        <v>1274.4099120999999</v>
      </c>
      <c r="K1134">
        <v>2200</v>
      </c>
      <c r="L1134">
        <v>0</v>
      </c>
      <c r="M1134">
        <v>0</v>
      </c>
      <c r="N1134">
        <v>2200</v>
      </c>
    </row>
    <row r="1135" spans="1:14" x14ac:dyDescent="0.25">
      <c r="A1135">
        <v>754.87778100000003</v>
      </c>
      <c r="B1135" s="1">
        <f>DATE(2012,5,24) + TIME(21,4,0)</f>
        <v>41053.87777777778</v>
      </c>
      <c r="C1135">
        <v>80</v>
      </c>
      <c r="D1135">
        <v>79.946083068999997</v>
      </c>
      <c r="E1135">
        <v>50</v>
      </c>
      <c r="F1135">
        <v>47.988899230999998</v>
      </c>
      <c r="G1135">
        <v>1380.9154053</v>
      </c>
      <c r="H1135">
        <v>1367.6015625</v>
      </c>
      <c r="I1135">
        <v>1291.9403076000001</v>
      </c>
      <c r="J1135">
        <v>1274.3942870999999</v>
      </c>
      <c r="K1135">
        <v>2200</v>
      </c>
      <c r="L1135">
        <v>0</v>
      </c>
      <c r="M1135">
        <v>0</v>
      </c>
      <c r="N1135">
        <v>2200</v>
      </c>
    </row>
    <row r="1136" spans="1:14" x14ac:dyDescent="0.25">
      <c r="A1136">
        <v>755.46099100000004</v>
      </c>
      <c r="B1136" s="1">
        <f>DATE(2012,5,25) + TIME(11,3,49)</f>
        <v>41054.4609837963</v>
      </c>
      <c r="C1136">
        <v>80</v>
      </c>
      <c r="D1136">
        <v>79.946067810000002</v>
      </c>
      <c r="E1136">
        <v>50</v>
      </c>
      <c r="F1136">
        <v>47.948654175000001</v>
      </c>
      <c r="G1136">
        <v>1380.8591309000001</v>
      </c>
      <c r="H1136">
        <v>1367.5565185999999</v>
      </c>
      <c r="I1136">
        <v>1291.9283447</v>
      </c>
      <c r="J1136">
        <v>1274.3782959</v>
      </c>
      <c r="K1136">
        <v>2200</v>
      </c>
      <c r="L1136">
        <v>0</v>
      </c>
      <c r="M1136">
        <v>0</v>
      </c>
      <c r="N1136">
        <v>2200</v>
      </c>
    </row>
    <row r="1137" spans="1:14" x14ac:dyDescent="0.25">
      <c r="A1137">
        <v>756.05795699999999</v>
      </c>
      <c r="B1137" s="1">
        <f>DATE(2012,5,26) + TIME(1,23,27)</f>
        <v>41055.057951388888</v>
      </c>
      <c r="C1137">
        <v>80</v>
      </c>
      <c r="D1137">
        <v>79.946044921999999</v>
      </c>
      <c r="E1137">
        <v>50</v>
      </c>
      <c r="F1137">
        <v>47.907756804999998</v>
      </c>
      <c r="G1137">
        <v>1380.8028564000001</v>
      </c>
      <c r="H1137">
        <v>1367.5112305</v>
      </c>
      <c r="I1137">
        <v>1291.9160156</v>
      </c>
      <c r="J1137">
        <v>1274.3618164</v>
      </c>
      <c r="K1137">
        <v>2200</v>
      </c>
      <c r="L1137">
        <v>0</v>
      </c>
      <c r="M1137">
        <v>0</v>
      </c>
      <c r="N1137">
        <v>2200</v>
      </c>
    </row>
    <row r="1138" spans="1:14" x14ac:dyDescent="0.25">
      <c r="A1138">
        <v>756.67060800000002</v>
      </c>
      <c r="B1138" s="1">
        <f>DATE(2012,5,26) + TIME(16,5,40)</f>
        <v>41055.670601851853</v>
      </c>
      <c r="C1138">
        <v>80</v>
      </c>
      <c r="D1138">
        <v>79.946029663000004</v>
      </c>
      <c r="E1138">
        <v>50</v>
      </c>
      <c r="F1138">
        <v>47.866100310999997</v>
      </c>
      <c r="G1138">
        <v>1380.7462158000001</v>
      </c>
      <c r="H1138">
        <v>1367.4658202999999</v>
      </c>
      <c r="I1138">
        <v>1291.9033202999999</v>
      </c>
      <c r="J1138">
        <v>1274.3448486</v>
      </c>
      <c r="K1138">
        <v>2200</v>
      </c>
      <c r="L1138">
        <v>0</v>
      </c>
      <c r="M1138">
        <v>0</v>
      </c>
      <c r="N1138">
        <v>2200</v>
      </c>
    </row>
    <row r="1139" spans="1:14" x14ac:dyDescent="0.25">
      <c r="A1139">
        <v>757.30111999999997</v>
      </c>
      <c r="B1139" s="1">
        <f>DATE(2012,5,27) + TIME(7,13,36)</f>
        <v>41056.301111111112</v>
      </c>
      <c r="C1139">
        <v>80</v>
      </c>
      <c r="D1139">
        <v>79.946014403999996</v>
      </c>
      <c r="E1139">
        <v>50</v>
      </c>
      <c r="F1139">
        <v>47.823558806999998</v>
      </c>
      <c r="G1139">
        <v>1380.6892089999999</v>
      </c>
      <c r="H1139">
        <v>1367.4201660000001</v>
      </c>
      <c r="I1139">
        <v>1291.8902588000001</v>
      </c>
      <c r="J1139">
        <v>1274.3272704999999</v>
      </c>
      <c r="K1139">
        <v>2200</v>
      </c>
      <c r="L1139">
        <v>0</v>
      </c>
      <c r="M1139">
        <v>0</v>
      </c>
      <c r="N1139">
        <v>2200</v>
      </c>
    </row>
    <row r="1140" spans="1:14" x14ac:dyDescent="0.25">
      <c r="A1140">
        <v>757.94745399999999</v>
      </c>
      <c r="B1140" s="1">
        <f>DATE(2012,5,27) + TIME(22,44,19)</f>
        <v>41056.947442129633</v>
      </c>
      <c r="C1140">
        <v>80</v>
      </c>
      <c r="D1140">
        <v>79.945999146000005</v>
      </c>
      <c r="E1140">
        <v>50</v>
      </c>
      <c r="F1140">
        <v>47.780178069999998</v>
      </c>
      <c r="G1140">
        <v>1380.6315918</v>
      </c>
      <c r="H1140">
        <v>1367.3739014</v>
      </c>
      <c r="I1140">
        <v>1291.8765868999999</v>
      </c>
      <c r="J1140">
        <v>1274.309082</v>
      </c>
      <c r="K1140">
        <v>2200</v>
      </c>
      <c r="L1140">
        <v>0</v>
      </c>
      <c r="M1140">
        <v>0</v>
      </c>
      <c r="N1140">
        <v>2200</v>
      </c>
    </row>
    <row r="1141" spans="1:14" x14ac:dyDescent="0.25">
      <c r="A1141">
        <v>758.59822099999997</v>
      </c>
      <c r="B1141" s="1">
        <f>DATE(2012,5,28) + TIME(14,21,26)</f>
        <v>41057.598217592589</v>
      </c>
      <c r="C1141">
        <v>80</v>
      </c>
      <c r="D1141">
        <v>79.945983886999997</v>
      </c>
      <c r="E1141">
        <v>50</v>
      </c>
      <c r="F1141">
        <v>47.736408234000002</v>
      </c>
      <c r="G1141">
        <v>1380.5737305</v>
      </c>
      <c r="H1141">
        <v>1367.3273925999999</v>
      </c>
      <c r="I1141">
        <v>1291.8625488</v>
      </c>
      <c r="J1141">
        <v>1274.2904053</v>
      </c>
      <c r="K1141">
        <v>2200</v>
      </c>
      <c r="L1141">
        <v>0</v>
      </c>
      <c r="M1141">
        <v>0</v>
      </c>
      <c r="N1141">
        <v>2200</v>
      </c>
    </row>
    <row r="1142" spans="1:14" x14ac:dyDescent="0.25">
      <c r="A1142">
        <v>759.25532199999998</v>
      </c>
      <c r="B1142" s="1">
        <f>DATE(2012,5,29) + TIME(6,7,39)</f>
        <v>41058.255312499998</v>
      </c>
      <c r="C1142">
        <v>80</v>
      </c>
      <c r="D1142">
        <v>79.945968628000003</v>
      </c>
      <c r="E1142">
        <v>50</v>
      </c>
      <c r="F1142">
        <v>47.692302703999999</v>
      </c>
      <c r="G1142">
        <v>1380.5164795000001</v>
      </c>
      <c r="H1142">
        <v>1367.2814940999999</v>
      </c>
      <c r="I1142">
        <v>1291.8482666</v>
      </c>
      <c r="J1142">
        <v>1274.2713623</v>
      </c>
      <c r="K1142">
        <v>2200</v>
      </c>
      <c r="L1142">
        <v>0</v>
      </c>
      <c r="M1142">
        <v>0</v>
      </c>
      <c r="N1142">
        <v>2200</v>
      </c>
    </row>
    <row r="1143" spans="1:14" x14ac:dyDescent="0.25">
      <c r="A1143">
        <v>759.92062499999997</v>
      </c>
      <c r="B1143" s="1">
        <f>DATE(2012,5,29) + TIME(22,5,42)</f>
        <v>41058.920624999999</v>
      </c>
      <c r="C1143">
        <v>80</v>
      </c>
      <c r="D1143">
        <v>79.945960998999993</v>
      </c>
      <c r="E1143">
        <v>50</v>
      </c>
      <c r="F1143">
        <v>47.647842406999999</v>
      </c>
      <c r="G1143">
        <v>1380.4597168</v>
      </c>
      <c r="H1143">
        <v>1367.2358397999999</v>
      </c>
      <c r="I1143">
        <v>1291.8338623</v>
      </c>
      <c r="J1143">
        <v>1274.2518310999999</v>
      </c>
      <c r="K1143">
        <v>2200</v>
      </c>
      <c r="L1143">
        <v>0</v>
      </c>
      <c r="M1143">
        <v>0</v>
      </c>
      <c r="N1143">
        <v>2200</v>
      </c>
    </row>
    <row r="1144" spans="1:14" x14ac:dyDescent="0.25">
      <c r="A1144">
        <v>760.59605599999998</v>
      </c>
      <c r="B1144" s="1">
        <f>DATE(2012,5,30) + TIME(14,18,19)</f>
        <v>41059.596053240741</v>
      </c>
      <c r="C1144">
        <v>80</v>
      </c>
      <c r="D1144">
        <v>79.945945739999999</v>
      </c>
      <c r="E1144">
        <v>50</v>
      </c>
      <c r="F1144">
        <v>47.602962494000003</v>
      </c>
      <c r="G1144">
        <v>1380.4033202999999</v>
      </c>
      <c r="H1144">
        <v>1367.1905518000001</v>
      </c>
      <c r="I1144">
        <v>1291.8189697</v>
      </c>
      <c r="J1144">
        <v>1274.2319336</v>
      </c>
      <c r="K1144">
        <v>2200</v>
      </c>
      <c r="L1144">
        <v>0</v>
      </c>
      <c r="M1144">
        <v>0</v>
      </c>
      <c r="N1144">
        <v>2200</v>
      </c>
    </row>
    <row r="1145" spans="1:14" x14ac:dyDescent="0.25">
      <c r="A1145">
        <v>761.28363000000002</v>
      </c>
      <c r="B1145" s="1">
        <f>DATE(2012,5,31) + TIME(6,48,25)</f>
        <v>41060.283622685187</v>
      </c>
      <c r="C1145">
        <v>80</v>
      </c>
      <c r="D1145">
        <v>79.945930481000005</v>
      </c>
      <c r="E1145">
        <v>50</v>
      </c>
      <c r="F1145">
        <v>47.557575225999997</v>
      </c>
      <c r="G1145">
        <v>1380.3470459</v>
      </c>
      <c r="H1145">
        <v>1367.1452637</v>
      </c>
      <c r="I1145">
        <v>1291.8039550999999</v>
      </c>
      <c r="J1145">
        <v>1274.2115478999999</v>
      </c>
      <c r="K1145">
        <v>2200</v>
      </c>
      <c r="L1145">
        <v>0</v>
      </c>
      <c r="M1145">
        <v>0</v>
      </c>
      <c r="N1145">
        <v>2200</v>
      </c>
    </row>
    <row r="1146" spans="1:14" x14ac:dyDescent="0.25">
      <c r="A1146">
        <v>761.64181499999995</v>
      </c>
      <c r="B1146" s="1">
        <f>DATE(2012,5,31) + TIME(15,24,12)</f>
        <v>41060.641805555555</v>
      </c>
      <c r="C1146">
        <v>80</v>
      </c>
      <c r="D1146">
        <v>79.945915221999996</v>
      </c>
      <c r="E1146">
        <v>50</v>
      </c>
      <c r="F1146">
        <v>47.527935028000002</v>
      </c>
      <c r="G1146">
        <v>1380.2905272999999</v>
      </c>
      <c r="H1146">
        <v>1367.0999756000001</v>
      </c>
      <c r="I1146">
        <v>1291.7868652</v>
      </c>
      <c r="J1146">
        <v>1274.1921387</v>
      </c>
      <c r="K1146">
        <v>2200</v>
      </c>
      <c r="L1146">
        <v>0</v>
      </c>
      <c r="M1146">
        <v>0</v>
      </c>
      <c r="N1146">
        <v>2200</v>
      </c>
    </row>
    <row r="1147" spans="1:14" x14ac:dyDescent="0.25">
      <c r="A1147">
        <v>762</v>
      </c>
      <c r="B1147" s="1">
        <f>DATE(2012,6,1) + TIME(0,0,0)</f>
        <v>41061</v>
      </c>
      <c r="C1147">
        <v>80</v>
      </c>
      <c r="D1147">
        <v>79.945907593000001</v>
      </c>
      <c r="E1147">
        <v>50</v>
      </c>
      <c r="F1147">
        <v>47.499938964999998</v>
      </c>
      <c r="G1147">
        <v>1380.2614745999999</v>
      </c>
      <c r="H1147">
        <v>1367.0764160000001</v>
      </c>
      <c r="I1147">
        <v>1291.7788086</v>
      </c>
      <c r="J1147">
        <v>1274.1804199000001</v>
      </c>
      <c r="K1147">
        <v>2200</v>
      </c>
      <c r="L1147">
        <v>0</v>
      </c>
      <c r="M1147">
        <v>0</v>
      </c>
      <c r="N1147">
        <v>2200</v>
      </c>
    </row>
    <row r="1148" spans="1:14" x14ac:dyDescent="0.25">
      <c r="A1148">
        <v>762.71245599999997</v>
      </c>
      <c r="B1148" s="1">
        <f>DATE(2012,6,1) + TIME(17,5,56)</f>
        <v>41061.712453703702</v>
      </c>
      <c r="C1148">
        <v>80</v>
      </c>
      <c r="D1148">
        <v>79.945899963000002</v>
      </c>
      <c r="E1148">
        <v>50</v>
      </c>
      <c r="F1148">
        <v>47.458000183000003</v>
      </c>
      <c r="G1148">
        <v>1380.2330322</v>
      </c>
      <c r="H1148">
        <v>1367.0537108999999</v>
      </c>
      <c r="I1148">
        <v>1291.7723389</v>
      </c>
      <c r="J1148">
        <v>1274.1677245999999</v>
      </c>
      <c r="K1148">
        <v>2200</v>
      </c>
      <c r="L1148">
        <v>0</v>
      </c>
      <c r="M1148">
        <v>0</v>
      </c>
      <c r="N1148">
        <v>2200</v>
      </c>
    </row>
    <row r="1149" spans="1:14" x14ac:dyDescent="0.25">
      <c r="A1149">
        <v>763.43577200000004</v>
      </c>
      <c r="B1149" s="1">
        <f>DATE(2012,6,2) + TIME(10,27,30)</f>
        <v>41062.435763888891</v>
      </c>
      <c r="C1149">
        <v>80</v>
      </c>
      <c r="D1149">
        <v>79.945892334000007</v>
      </c>
      <c r="E1149">
        <v>50</v>
      </c>
      <c r="F1149">
        <v>47.413612366000002</v>
      </c>
      <c r="G1149">
        <v>1380.1770019999999</v>
      </c>
      <c r="H1149">
        <v>1367.0085449000001</v>
      </c>
      <c r="I1149">
        <v>1291.7558594</v>
      </c>
      <c r="J1149">
        <v>1274.145874</v>
      </c>
      <c r="K1149">
        <v>2200</v>
      </c>
      <c r="L1149">
        <v>0</v>
      </c>
      <c r="M1149">
        <v>0</v>
      </c>
      <c r="N1149">
        <v>2200</v>
      </c>
    </row>
    <row r="1150" spans="1:14" x14ac:dyDescent="0.25">
      <c r="A1150">
        <v>764.17099099999996</v>
      </c>
      <c r="B1150" s="1">
        <f>DATE(2012,6,3) + TIME(4,6,13)</f>
        <v>41063.170983796299</v>
      </c>
      <c r="C1150">
        <v>80</v>
      </c>
      <c r="D1150">
        <v>79.945884704999997</v>
      </c>
      <c r="E1150">
        <v>50</v>
      </c>
      <c r="F1150">
        <v>47.367565155000001</v>
      </c>
      <c r="G1150">
        <v>1380.1208495999999</v>
      </c>
      <c r="H1150">
        <v>1366.9633789</v>
      </c>
      <c r="I1150">
        <v>1291.7390137</v>
      </c>
      <c r="J1150">
        <v>1274.1234131000001</v>
      </c>
      <c r="K1150">
        <v>2200</v>
      </c>
      <c r="L1150">
        <v>0</v>
      </c>
      <c r="M1150">
        <v>0</v>
      </c>
      <c r="N1150">
        <v>2200</v>
      </c>
    </row>
    <row r="1151" spans="1:14" x14ac:dyDescent="0.25">
      <c r="A1151">
        <v>764.92024200000003</v>
      </c>
      <c r="B1151" s="1">
        <f>DATE(2012,6,3) + TIME(22,5,8)</f>
        <v>41063.920231481483</v>
      </c>
      <c r="C1151">
        <v>80</v>
      </c>
      <c r="D1151">
        <v>79.945877074999999</v>
      </c>
      <c r="E1151">
        <v>50</v>
      </c>
      <c r="F1151">
        <v>47.320255279999998</v>
      </c>
      <c r="G1151">
        <v>1380.0646973</v>
      </c>
      <c r="H1151">
        <v>1366.9182129000001</v>
      </c>
      <c r="I1151">
        <v>1291.7216797000001</v>
      </c>
      <c r="J1151">
        <v>1274.1000977000001</v>
      </c>
      <c r="K1151">
        <v>2200</v>
      </c>
      <c r="L1151">
        <v>0</v>
      </c>
      <c r="M1151">
        <v>0</v>
      </c>
      <c r="N1151">
        <v>2200</v>
      </c>
    </row>
    <row r="1152" spans="1:14" x14ac:dyDescent="0.25">
      <c r="A1152">
        <v>765.68580999999995</v>
      </c>
      <c r="B1152" s="1">
        <f>DATE(2012,6,4) + TIME(16,27,33)</f>
        <v>41064.685798611114</v>
      </c>
      <c r="C1152">
        <v>80</v>
      </c>
      <c r="D1152">
        <v>79.945869446000003</v>
      </c>
      <c r="E1152">
        <v>50</v>
      </c>
      <c r="F1152">
        <v>47.271854400999999</v>
      </c>
      <c r="G1152">
        <v>1380.0085449000001</v>
      </c>
      <c r="H1152">
        <v>1366.8729248</v>
      </c>
      <c r="I1152">
        <v>1291.7038574000001</v>
      </c>
      <c r="J1152">
        <v>1274.0760498</v>
      </c>
      <c r="K1152">
        <v>2200</v>
      </c>
      <c r="L1152">
        <v>0</v>
      </c>
      <c r="M1152">
        <v>0</v>
      </c>
      <c r="N1152">
        <v>2200</v>
      </c>
    </row>
    <row r="1153" spans="1:14" x14ac:dyDescent="0.25">
      <c r="A1153">
        <v>766.47019599999999</v>
      </c>
      <c r="B1153" s="1">
        <f>DATE(2012,6,5) + TIME(11,17,4)</f>
        <v>41065.470185185186</v>
      </c>
      <c r="C1153">
        <v>80</v>
      </c>
      <c r="D1153">
        <v>79.945861816000004</v>
      </c>
      <c r="E1153">
        <v>50</v>
      </c>
      <c r="F1153">
        <v>47.222385406000001</v>
      </c>
      <c r="G1153">
        <v>1379.9520264</v>
      </c>
      <c r="H1153">
        <v>1366.8275146000001</v>
      </c>
      <c r="I1153">
        <v>1291.6855469</v>
      </c>
      <c r="J1153">
        <v>1274.0510254000001</v>
      </c>
      <c r="K1153">
        <v>2200</v>
      </c>
      <c r="L1153">
        <v>0</v>
      </c>
      <c r="M1153">
        <v>0</v>
      </c>
      <c r="N1153">
        <v>2200</v>
      </c>
    </row>
    <row r="1154" spans="1:14" x14ac:dyDescent="0.25">
      <c r="A1154">
        <v>767.27239599999996</v>
      </c>
      <c r="B1154" s="1">
        <f>DATE(2012,6,6) + TIME(6,32,14)</f>
        <v>41066.27238425926</v>
      </c>
      <c r="C1154">
        <v>80</v>
      </c>
      <c r="D1154">
        <v>79.945854186999995</v>
      </c>
      <c r="E1154">
        <v>50</v>
      </c>
      <c r="F1154">
        <v>47.171932220000002</v>
      </c>
      <c r="G1154">
        <v>1379.8952637</v>
      </c>
      <c r="H1154">
        <v>1366.7816161999999</v>
      </c>
      <c r="I1154">
        <v>1291.666626</v>
      </c>
      <c r="J1154">
        <v>1274.0251464999999</v>
      </c>
      <c r="K1154">
        <v>2200</v>
      </c>
      <c r="L1154">
        <v>0</v>
      </c>
      <c r="M1154">
        <v>0</v>
      </c>
      <c r="N1154">
        <v>2200</v>
      </c>
    </row>
    <row r="1155" spans="1:14" x14ac:dyDescent="0.25">
      <c r="A1155">
        <v>768.07651499999997</v>
      </c>
      <c r="B1155" s="1">
        <f>DATE(2012,6,7) + TIME(1,50,10)</f>
        <v>41067.076504629629</v>
      </c>
      <c r="C1155">
        <v>80</v>
      </c>
      <c r="D1155">
        <v>79.945846558</v>
      </c>
      <c r="E1155">
        <v>50</v>
      </c>
      <c r="F1155">
        <v>47.121063231999997</v>
      </c>
      <c r="G1155">
        <v>1379.8380127</v>
      </c>
      <c r="H1155">
        <v>1366.7354736</v>
      </c>
      <c r="I1155">
        <v>1291.6469727000001</v>
      </c>
      <c r="J1155">
        <v>1273.9984131000001</v>
      </c>
      <c r="K1155">
        <v>2200</v>
      </c>
      <c r="L1155">
        <v>0</v>
      </c>
      <c r="M1155">
        <v>0</v>
      </c>
      <c r="N1155">
        <v>2200</v>
      </c>
    </row>
    <row r="1156" spans="1:14" x14ac:dyDescent="0.25">
      <c r="A1156">
        <v>768.884545</v>
      </c>
      <c r="B1156" s="1">
        <f>DATE(2012,6,7) + TIME(21,13,44)</f>
        <v>41067.88453703704</v>
      </c>
      <c r="C1156">
        <v>80</v>
      </c>
      <c r="D1156">
        <v>79.945838928000001</v>
      </c>
      <c r="E1156">
        <v>50</v>
      </c>
      <c r="F1156">
        <v>47.069953918000003</v>
      </c>
      <c r="G1156">
        <v>1379.7817382999999</v>
      </c>
      <c r="H1156">
        <v>1366.6899414</v>
      </c>
      <c r="I1156">
        <v>1291.6269531</v>
      </c>
      <c r="J1156">
        <v>1273.9711914</v>
      </c>
      <c r="K1156">
        <v>2200</v>
      </c>
      <c r="L1156">
        <v>0</v>
      </c>
      <c r="M1156">
        <v>0</v>
      </c>
      <c r="N1156">
        <v>2200</v>
      </c>
    </row>
    <row r="1157" spans="1:14" x14ac:dyDescent="0.25">
      <c r="A1157">
        <v>769.69862799999999</v>
      </c>
      <c r="B1157" s="1">
        <f>DATE(2012,6,8) + TIME(16,46,1)</f>
        <v>41068.698622685188</v>
      </c>
      <c r="C1157">
        <v>80</v>
      </c>
      <c r="D1157">
        <v>79.945831299000005</v>
      </c>
      <c r="E1157">
        <v>50</v>
      </c>
      <c r="F1157">
        <v>47.018623351999999</v>
      </c>
      <c r="G1157">
        <v>1379.7260742000001</v>
      </c>
      <c r="H1157">
        <v>1366.6450195</v>
      </c>
      <c r="I1157">
        <v>1291.6068115</v>
      </c>
      <c r="J1157">
        <v>1273.9433594</v>
      </c>
      <c r="K1157">
        <v>2200</v>
      </c>
      <c r="L1157">
        <v>0</v>
      </c>
      <c r="M1157">
        <v>0</v>
      </c>
      <c r="N1157">
        <v>2200</v>
      </c>
    </row>
    <row r="1158" spans="1:14" x14ac:dyDescent="0.25">
      <c r="A1158">
        <v>770.52091099999996</v>
      </c>
      <c r="B1158" s="1">
        <f>DATE(2012,6,9) + TIME(12,30,6)</f>
        <v>41069.520902777775</v>
      </c>
      <c r="C1158">
        <v>80</v>
      </c>
      <c r="D1158">
        <v>79.945831299000005</v>
      </c>
      <c r="E1158">
        <v>50</v>
      </c>
      <c r="F1158">
        <v>46.967021942000002</v>
      </c>
      <c r="G1158">
        <v>1379.6707764</v>
      </c>
      <c r="H1158">
        <v>1366.6003418</v>
      </c>
      <c r="I1158">
        <v>1291.5861815999999</v>
      </c>
      <c r="J1158">
        <v>1273.9149170000001</v>
      </c>
      <c r="K1158">
        <v>2200</v>
      </c>
      <c r="L1158">
        <v>0</v>
      </c>
      <c r="M1158">
        <v>0</v>
      </c>
      <c r="N1158">
        <v>2200</v>
      </c>
    </row>
    <row r="1159" spans="1:14" x14ac:dyDescent="0.25">
      <c r="A1159">
        <v>771.35359400000004</v>
      </c>
      <c r="B1159" s="1">
        <f>DATE(2012,6,10) + TIME(8,29,10)</f>
        <v>41070.353587962964</v>
      </c>
      <c r="C1159">
        <v>80</v>
      </c>
      <c r="D1159">
        <v>79.945823669000006</v>
      </c>
      <c r="E1159">
        <v>50</v>
      </c>
      <c r="F1159">
        <v>46.915054321</v>
      </c>
      <c r="G1159">
        <v>1379.6159668</v>
      </c>
      <c r="H1159">
        <v>1366.5560303</v>
      </c>
      <c r="I1159">
        <v>1291.5650635</v>
      </c>
      <c r="J1159">
        <v>1273.8858643000001</v>
      </c>
      <c r="K1159">
        <v>2200</v>
      </c>
      <c r="L1159">
        <v>0</v>
      </c>
      <c r="M1159">
        <v>0</v>
      </c>
      <c r="N1159">
        <v>2200</v>
      </c>
    </row>
    <row r="1160" spans="1:14" x14ac:dyDescent="0.25">
      <c r="A1160">
        <v>772.19895699999995</v>
      </c>
      <c r="B1160" s="1">
        <f>DATE(2012,6,11) + TIME(4,46,29)</f>
        <v>41071.198946759258</v>
      </c>
      <c r="C1160">
        <v>80</v>
      </c>
      <c r="D1160">
        <v>79.945823669000006</v>
      </c>
      <c r="E1160">
        <v>50</v>
      </c>
      <c r="F1160">
        <v>46.862613678000002</v>
      </c>
      <c r="G1160">
        <v>1379.5612793</v>
      </c>
      <c r="H1160">
        <v>1366.5117187999999</v>
      </c>
      <c r="I1160">
        <v>1291.543457</v>
      </c>
      <c r="J1160">
        <v>1273.8558350000001</v>
      </c>
      <c r="K1160">
        <v>2200</v>
      </c>
      <c r="L1160">
        <v>0</v>
      </c>
      <c r="M1160">
        <v>0</v>
      </c>
      <c r="N1160">
        <v>2200</v>
      </c>
    </row>
    <row r="1161" spans="1:14" x14ac:dyDescent="0.25">
      <c r="A1161">
        <v>773.05939100000001</v>
      </c>
      <c r="B1161" s="1">
        <f>DATE(2012,6,12) + TIME(1,25,31)</f>
        <v>41072.059386574074</v>
      </c>
      <c r="C1161">
        <v>80</v>
      </c>
      <c r="D1161">
        <v>79.945816039999997</v>
      </c>
      <c r="E1161">
        <v>50</v>
      </c>
      <c r="F1161">
        <v>46.809562683000003</v>
      </c>
      <c r="G1161">
        <v>1379.5065918</v>
      </c>
      <c r="H1161">
        <v>1366.4674072</v>
      </c>
      <c r="I1161">
        <v>1291.5212402</v>
      </c>
      <c r="J1161">
        <v>1273.8250731999999</v>
      </c>
      <c r="K1161">
        <v>2200</v>
      </c>
      <c r="L1161">
        <v>0</v>
      </c>
      <c r="M1161">
        <v>0</v>
      </c>
      <c r="N1161">
        <v>2200</v>
      </c>
    </row>
    <row r="1162" spans="1:14" x14ac:dyDescent="0.25">
      <c r="A1162">
        <v>773.93745200000001</v>
      </c>
      <c r="B1162" s="1">
        <f>DATE(2012,6,12) + TIME(22,29,55)</f>
        <v>41072.937442129631</v>
      </c>
      <c r="C1162">
        <v>80</v>
      </c>
      <c r="D1162">
        <v>79.945816039999997</v>
      </c>
      <c r="E1162">
        <v>50</v>
      </c>
      <c r="F1162">
        <v>46.755764008</v>
      </c>
      <c r="G1162">
        <v>1379.4519043</v>
      </c>
      <c r="H1162">
        <v>1366.4230957</v>
      </c>
      <c r="I1162">
        <v>1291.4984131000001</v>
      </c>
      <c r="J1162">
        <v>1273.7932129000001</v>
      </c>
      <c r="K1162">
        <v>2200</v>
      </c>
      <c r="L1162">
        <v>0</v>
      </c>
      <c r="M1162">
        <v>0</v>
      </c>
      <c r="N1162">
        <v>2200</v>
      </c>
    </row>
    <row r="1163" spans="1:14" x14ac:dyDescent="0.25">
      <c r="A1163">
        <v>774.83592299999998</v>
      </c>
      <c r="B1163" s="1">
        <f>DATE(2012,6,13) + TIME(20,3,43)</f>
        <v>41073.835914351854</v>
      </c>
      <c r="C1163">
        <v>80</v>
      </c>
      <c r="D1163">
        <v>79.945816039999997</v>
      </c>
      <c r="E1163">
        <v>50</v>
      </c>
      <c r="F1163">
        <v>46.701057433999999</v>
      </c>
      <c r="G1163">
        <v>1379.3968506000001</v>
      </c>
      <c r="H1163">
        <v>1366.378418</v>
      </c>
      <c r="I1163">
        <v>1291.4747314000001</v>
      </c>
      <c r="J1163">
        <v>1273.7601318</v>
      </c>
      <c r="K1163">
        <v>2200</v>
      </c>
      <c r="L1163">
        <v>0</v>
      </c>
      <c r="M1163">
        <v>0</v>
      </c>
      <c r="N1163">
        <v>2200</v>
      </c>
    </row>
    <row r="1164" spans="1:14" x14ac:dyDescent="0.25">
      <c r="A1164">
        <v>775.75807999999995</v>
      </c>
      <c r="B1164" s="1">
        <f>DATE(2012,6,14) + TIME(18,11,38)</f>
        <v>41074.7580787037</v>
      </c>
      <c r="C1164">
        <v>80</v>
      </c>
      <c r="D1164">
        <v>79.945816039999997</v>
      </c>
      <c r="E1164">
        <v>50</v>
      </c>
      <c r="F1164">
        <v>46.645267486999998</v>
      </c>
      <c r="G1164">
        <v>1379.3414307</v>
      </c>
      <c r="H1164">
        <v>1366.3334961</v>
      </c>
      <c r="I1164">
        <v>1291.4501952999999</v>
      </c>
      <c r="J1164">
        <v>1273.7257079999999</v>
      </c>
      <c r="K1164">
        <v>2200</v>
      </c>
      <c r="L1164">
        <v>0</v>
      </c>
      <c r="M1164">
        <v>0</v>
      </c>
      <c r="N1164">
        <v>2200</v>
      </c>
    </row>
    <row r="1165" spans="1:14" x14ac:dyDescent="0.25">
      <c r="A1165">
        <v>776.70356800000002</v>
      </c>
      <c r="B1165" s="1">
        <f>DATE(2012,6,15) + TIME(16,53,8)</f>
        <v>41075.703564814816</v>
      </c>
      <c r="C1165">
        <v>80</v>
      </c>
      <c r="D1165">
        <v>79.945816039999997</v>
      </c>
      <c r="E1165">
        <v>50</v>
      </c>
      <c r="F1165">
        <v>46.588317871000001</v>
      </c>
      <c r="G1165">
        <v>1379.2855225000001</v>
      </c>
      <c r="H1165">
        <v>1366.2879639</v>
      </c>
      <c r="I1165">
        <v>1291.4246826000001</v>
      </c>
      <c r="J1165">
        <v>1273.6899414</v>
      </c>
      <c r="K1165">
        <v>2200</v>
      </c>
      <c r="L1165">
        <v>0</v>
      </c>
      <c r="M1165">
        <v>0</v>
      </c>
      <c r="N1165">
        <v>2200</v>
      </c>
    </row>
    <row r="1166" spans="1:14" x14ac:dyDescent="0.25">
      <c r="A1166">
        <v>777.65601400000003</v>
      </c>
      <c r="B1166" s="1">
        <f>DATE(2012,6,16) + TIME(15,44,39)</f>
        <v>41076.656006944446</v>
      </c>
      <c r="C1166">
        <v>80</v>
      </c>
      <c r="D1166">
        <v>79.945816039999997</v>
      </c>
      <c r="E1166">
        <v>50</v>
      </c>
      <c r="F1166">
        <v>46.530662536999998</v>
      </c>
      <c r="G1166">
        <v>1379.2290039</v>
      </c>
      <c r="H1166">
        <v>1366.2419434000001</v>
      </c>
      <c r="I1166">
        <v>1291.3980713000001</v>
      </c>
      <c r="J1166">
        <v>1273.6525879000001</v>
      </c>
      <c r="K1166">
        <v>2200</v>
      </c>
      <c r="L1166">
        <v>0</v>
      </c>
      <c r="M1166">
        <v>0</v>
      </c>
      <c r="N1166">
        <v>2200</v>
      </c>
    </row>
    <row r="1167" spans="1:14" x14ac:dyDescent="0.25">
      <c r="A1167">
        <v>778.61078899999995</v>
      </c>
      <c r="B1167" s="1">
        <f>DATE(2012,6,17) + TIME(14,39,32)</f>
        <v>41077.61078703704</v>
      </c>
      <c r="C1167">
        <v>80</v>
      </c>
      <c r="D1167">
        <v>79.945823669000006</v>
      </c>
      <c r="E1167">
        <v>50</v>
      </c>
      <c r="F1167">
        <v>46.472667694000002</v>
      </c>
      <c r="G1167">
        <v>1379.1728516000001</v>
      </c>
      <c r="H1167">
        <v>1366.1962891000001</v>
      </c>
      <c r="I1167">
        <v>1291.3709716999999</v>
      </c>
      <c r="J1167">
        <v>1273.6143798999999</v>
      </c>
      <c r="K1167">
        <v>2200</v>
      </c>
      <c r="L1167">
        <v>0</v>
      </c>
      <c r="M1167">
        <v>0</v>
      </c>
      <c r="N1167">
        <v>2200</v>
      </c>
    </row>
    <row r="1168" spans="1:14" x14ac:dyDescent="0.25">
      <c r="A1168">
        <v>779.570382</v>
      </c>
      <c r="B1168" s="1">
        <f>DATE(2012,6,18) + TIME(13,41,20)</f>
        <v>41078.570370370369</v>
      </c>
      <c r="C1168">
        <v>80</v>
      </c>
      <c r="D1168">
        <v>79.945823669000006</v>
      </c>
      <c r="E1168">
        <v>50</v>
      </c>
      <c r="F1168">
        <v>46.414436340000002</v>
      </c>
      <c r="G1168">
        <v>1379.1175536999999</v>
      </c>
      <c r="H1168">
        <v>1366.1512451000001</v>
      </c>
      <c r="I1168">
        <v>1291.3432617000001</v>
      </c>
      <c r="J1168">
        <v>1273.5751952999999</v>
      </c>
      <c r="K1168">
        <v>2200</v>
      </c>
      <c r="L1168">
        <v>0</v>
      </c>
      <c r="M1168">
        <v>0</v>
      </c>
      <c r="N1168">
        <v>2200</v>
      </c>
    </row>
    <row r="1169" spans="1:14" x14ac:dyDescent="0.25">
      <c r="A1169">
        <v>780.53735200000006</v>
      </c>
      <c r="B1169" s="1">
        <f>DATE(2012,6,19) + TIME(12,53,47)</f>
        <v>41079.537349537037</v>
      </c>
      <c r="C1169">
        <v>80</v>
      </c>
      <c r="D1169">
        <v>79.945823669000006</v>
      </c>
      <c r="E1169">
        <v>50</v>
      </c>
      <c r="F1169">
        <v>46.355934142999999</v>
      </c>
      <c r="G1169">
        <v>1379.0627440999999</v>
      </c>
      <c r="H1169">
        <v>1366.1065673999999</v>
      </c>
      <c r="I1169">
        <v>1291.3150635</v>
      </c>
      <c r="J1169">
        <v>1273.5351562000001</v>
      </c>
      <c r="K1169">
        <v>2200</v>
      </c>
      <c r="L1169">
        <v>0</v>
      </c>
      <c r="M1169">
        <v>0</v>
      </c>
      <c r="N1169">
        <v>2200</v>
      </c>
    </row>
    <row r="1170" spans="1:14" x14ac:dyDescent="0.25">
      <c r="A1170">
        <v>781.51428199999998</v>
      </c>
      <c r="B1170" s="1">
        <f>DATE(2012,6,20) + TIME(12,20,33)</f>
        <v>41080.514270833337</v>
      </c>
      <c r="C1170">
        <v>80</v>
      </c>
      <c r="D1170">
        <v>79.945831299000005</v>
      </c>
      <c r="E1170">
        <v>50</v>
      </c>
      <c r="F1170">
        <v>46.297069550000003</v>
      </c>
      <c r="G1170">
        <v>1379.0083007999999</v>
      </c>
      <c r="H1170">
        <v>1366.0621338000001</v>
      </c>
      <c r="I1170">
        <v>1291.2862548999999</v>
      </c>
      <c r="J1170">
        <v>1273.4941406</v>
      </c>
      <c r="K1170">
        <v>2200</v>
      </c>
      <c r="L1170">
        <v>0</v>
      </c>
      <c r="M1170">
        <v>0</v>
      </c>
      <c r="N1170">
        <v>2200</v>
      </c>
    </row>
    <row r="1171" spans="1:14" x14ac:dyDescent="0.25">
      <c r="A1171">
        <v>782.50383499999998</v>
      </c>
      <c r="B1171" s="1">
        <f>DATE(2012,6,21) + TIME(12,5,31)</f>
        <v>41081.503831018519</v>
      </c>
      <c r="C1171">
        <v>80</v>
      </c>
      <c r="D1171">
        <v>79.945831299000005</v>
      </c>
      <c r="E1171">
        <v>50</v>
      </c>
      <c r="F1171">
        <v>46.237709045000003</v>
      </c>
      <c r="G1171">
        <v>1378.9541016000001</v>
      </c>
      <c r="H1171">
        <v>1366.0178223</v>
      </c>
      <c r="I1171">
        <v>1291.2567139</v>
      </c>
      <c r="J1171">
        <v>1273.4519043</v>
      </c>
      <c r="K1171">
        <v>2200</v>
      </c>
      <c r="L1171">
        <v>0</v>
      </c>
      <c r="M1171">
        <v>0</v>
      </c>
      <c r="N1171">
        <v>2200</v>
      </c>
    </row>
    <row r="1172" spans="1:14" x14ac:dyDescent="0.25">
      <c r="A1172">
        <v>783.50877400000002</v>
      </c>
      <c r="B1172" s="1">
        <f>DATE(2012,6,22) + TIME(12,12,38)</f>
        <v>41082.508773148147</v>
      </c>
      <c r="C1172">
        <v>80</v>
      </c>
      <c r="D1172">
        <v>79.945838928000001</v>
      </c>
      <c r="E1172">
        <v>50</v>
      </c>
      <c r="F1172">
        <v>46.177700043000002</v>
      </c>
      <c r="G1172">
        <v>1378.9000243999999</v>
      </c>
      <c r="H1172">
        <v>1365.9736327999999</v>
      </c>
      <c r="I1172">
        <v>1291.2264404</v>
      </c>
      <c r="J1172">
        <v>1273.4083252</v>
      </c>
      <c r="K1172">
        <v>2200</v>
      </c>
      <c r="L1172">
        <v>0</v>
      </c>
      <c r="M1172">
        <v>0</v>
      </c>
      <c r="N1172">
        <v>2200</v>
      </c>
    </row>
    <row r="1173" spans="1:14" x14ac:dyDescent="0.25">
      <c r="A1173">
        <v>784.53202799999997</v>
      </c>
      <c r="B1173" s="1">
        <f>DATE(2012,6,23) + TIME(12,46,7)</f>
        <v>41083.532025462962</v>
      </c>
      <c r="C1173">
        <v>80</v>
      </c>
      <c r="D1173">
        <v>79.945846558</v>
      </c>
      <c r="E1173">
        <v>50</v>
      </c>
      <c r="F1173">
        <v>46.116878509999999</v>
      </c>
      <c r="G1173">
        <v>1378.8458252</v>
      </c>
      <c r="H1173">
        <v>1365.9293213000001</v>
      </c>
      <c r="I1173">
        <v>1291.1951904</v>
      </c>
      <c r="J1173">
        <v>1273.3632812000001</v>
      </c>
      <c r="K1173">
        <v>2200</v>
      </c>
      <c r="L1173">
        <v>0</v>
      </c>
      <c r="M1173">
        <v>0</v>
      </c>
      <c r="N1173">
        <v>2200</v>
      </c>
    </row>
    <row r="1174" spans="1:14" x14ac:dyDescent="0.25">
      <c r="A1174">
        <v>785.57674099999997</v>
      </c>
      <c r="B1174" s="1">
        <f>DATE(2012,6,24) + TIME(13,50,30)</f>
        <v>41084.576736111114</v>
      </c>
      <c r="C1174">
        <v>80</v>
      </c>
      <c r="D1174">
        <v>79.945854186999995</v>
      </c>
      <c r="E1174">
        <v>50</v>
      </c>
      <c r="F1174">
        <v>46.055065155000001</v>
      </c>
      <c r="G1174">
        <v>1378.7915039</v>
      </c>
      <c r="H1174">
        <v>1365.8847656</v>
      </c>
      <c r="I1174">
        <v>1291.1628418</v>
      </c>
      <c r="J1174">
        <v>1273.3165283000001</v>
      </c>
      <c r="K1174">
        <v>2200</v>
      </c>
      <c r="L1174">
        <v>0</v>
      </c>
      <c r="M1174">
        <v>0</v>
      </c>
      <c r="N1174">
        <v>2200</v>
      </c>
    </row>
    <row r="1175" spans="1:14" x14ac:dyDescent="0.25">
      <c r="A1175">
        <v>786.64632400000005</v>
      </c>
      <c r="B1175" s="1">
        <f>DATE(2012,6,25) + TIME(15,30,42)</f>
        <v>41085.646319444444</v>
      </c>
      <c r="C1175">
        <v>80</v>
      </c>
      <c r="D1175">
        <v>79.945861816000004</v>
      </c>
      <c r="E1175">
        <v>50</v>
      </c>
      <c r="F1175">
        <v>45.992061614999997</v>
      </c>
      <c r="G1175">
        <v>1378.7368164</v>
      </c>
      <c r="H1175">
        <v>1365.8398437999999</v>
      </c>
      <c r="I1175">
        <v>1291.1292725000001</v>
      </c>
      <c r="J1175">
        <v>1273.2679443</v>
      </c>
      <c r="K1175">
        <v>2200</v>
      </c>
      <c r="L1175">
        <v>0</v>
      </c>
      <c r="M1175">
        <v>0</v>
      </c>
      <c r="N1175">
        <v>2200</v>
      </c>
    </row>
    <row r="1176" spans="1:14" x14ac:dyDescent="0.25">
      <c r="A1176">
        <v>787.73549400000002</v>
      </c>
      <c r="B1176" s="1">
        <f>DATE(2012,6,26) + TIME(17,39,6)</f>
        <v>41086.735486111109</v>
      </c>
      <c r="C1176">
        <v>80</v>
      </c>
      <c r="D1176">
        <v>79.945869446000003</v>
      </c>
      <c r="E1176">
        <v>50</v>
      </c>
      <c r="F1176">
        <v>45.927909851000003</v>
      </c>
      <c r="G1176">
        <v>1378.6816406</v>
      </c>
      <c r="H1176">
        <v>1365.7945557</v>
      </c>
      <c r="I1176">
        <v>1291.0944824000001</v>
      </c>
      <c r="J1176">
        <v>1273.2174072</v>
      </c>
      <c r="K1176">
        <v>2200</v>
      </c>
      <c r="L1176">
        <v>0</v>
      </c>
      <c r="M1176">
        <v>0</v>
      </c>
      <c r="N1176">
        <v>2200</v>
      </c>
    </row>
    <row r="1177" spans="1:14" x14ac:dyDescent="0.25">
      <c r="A1177">
        <v>788.84619699999996</v>
      </c>
      <c r="B1177" s="1">
        <f>DATE(2012,6,27) + TIME(20,18,31)</f>
        <v>41087.846192129633</v>
      </c>
      <c r="C1177">
        <v>80</v>
      </c>
      <c r="D1177">
        <v>79.945884704999997</v>
      </c>
      <c r="E1177">
        <v>50</v>
      </c>
      <c r="F1177">
        <v>45.86258316</v>
      </c>
      <c r="G1177">
        <v>1378.6262207</v>
      </c>
      <c r="H1177">
        <v>1365.7490233999999</v>
      </c>
      <c r="I1177">
        <v>1291.0584716999999</v>
      </c>
      <c r="J1177">
        <v>1273.1647949000001</v>
      </c>
      <c r="K1177">
        <v>2200</v>
      </c>
      <c r="L1177">
        <v>0</v>
      </c>
      <c r="M1177">
        <v>0</v>
      </c>
      <c r="N1177">
        <v>2200</v>
      </c>
    </row>
    <row r="1178" spans="1:14" x14ac:dyDescent="0.25">
      <c r="A1178">
        <v>789.96850800000004</v>
      </c>
      <c r="B1178" s="1">
        <f>DATE(2012,6,28) + TIME(23,14,39)</f>
        <v>41088.968506944446</v>
      </c>
      <c r="C1178">
        <v>80</v>
      </c>
      <c r="D1178">
        <v>79.945892334000007</v>
      </c>
      <c r="E1178">
        <v>50</v>
      </c>
      <c r="F1178">
        <v>45.796333312999998</v>
      </c>
      <c r="G1178">
        <v>1378.5704346</v>
      </c>
      <c r="H1178">
        <v>1365.703125</v>
      </c>
      <c r="I1178">
        <v>1291.0211182</v>
      </c>
      <c r="J1178">
        <v>1273.1102295000001</v>
      </c>
      <c r="K1178">
        <v>2200</v>
      </c>
      <c r="L1178">
        <v>0</v>
      </c>
      <c r="M1178">
        <v>0</v>
      </c>
      <c r="N1178">
        <v>2200</v>
      </c>
    </row>
    <row r="1179" spans="1:14" x14ac:dyDescent="0.25">
      <c r="A1179">
        <v>791.09515499999998</v>
      </c>
      <c r="B1179" s="1">
        <f>DATE(2012,6,30) + TIME(2,17,1)</f>
        <v>41090.095150462963</v>
      </c>
      <c r="C1179">
        <v>80</v>
      </c>
      <c r="D1179">
        <v>79.945899963000002</v>
      </c>
      <c r="E1179">
        <v>50</v>
      </c>
      <c r="F1179">
        <v>45.729507446</v>
      </c>
      <c r="G1179">
        <v>1378.5148925999999</v>
      </c>
      <c r="H1179">
        <v>1365.6574707</v>
      </c>
      <c r="I1179">
        <v>1290.9827881000001</v>
      </c>
      <c r="J1179">
        <v>1273.0539550999999</v>
      </c>
      <c r="K1179">
        <v>2200</v>
      </c>
      <c r="L1179">
        <v>0</v>
      </c>
      <c r="M1179">
        <v>0</v>
      </c>
      <c r="N1179">
        <v>2200</v>
      </c>
    </row>
    <row r="1180" spans="1:14" x14ac:dyDescent="0.25">
      <c r="A1180">
        <v>792</v>
      </c>
      <c r="B1180" s="1">
        <f>DATE(2012,7,1) + TIME(0,0,0)</f>
        <v>41091</v>
      </c>
      <c r="C1180">
        <v>80</v>
      </c>
      <c r="D1180">
        <v>79.945907593000001</v>
      </c>
      <c r="E1180">
        <v>50</v>
      </c>
      <c r="F1180">
        <v>45.669242859000001</v>
      </c>
      <c r="G1180">
        <v>1378.4598389</v>
      </c>
      <c r="H1180">
        <v>1365.6120605000001</v>
      </c>
      <c r="I1180">
        <v>1290.9433594</v>
      </c>
      <c r="J1180">
        <v>1272.9979248</v>
      </c>
      <c r="K1180">
        <v>2200</v>
      </c>
      <c r="L1180">
        <v>0</v>
      </c>
      <c r="M1180">
        <v>0</v>
      </c>
      <c r="N1180">
        <v>2200</v>
      </c>
    </row>
    <row r="1181" spans="1:14" x14ac:dyDescent="0.25">
      <c r="A1181">
        <v>793.13408700000002</v>
      </c>
      <c r="B1181" s="1">
        <f>DATE(2012,7,2) + TIME(3,13,5)</f>
        <v>41092.134085648147</v>
      </c>
      <c r="C1181">
        <v>80</v>
      </c>
      <c r="D1181">
        <v>79.945922851999995</v>
      </c>
      <c r="E1181">
        <v>50</v>
      </c>
      <c r="F1181">
        <v>45.605308532999999</v>
      </c>
      <c r="G1181">
        <v>1378.4163818</v>
      </c>
      <c r="H1181">
        <v>1365.5760498</v>
      </c>
      <c r="I1181">
        <v>1290.9116211</v>
      </c>
      <c r="J1181">
        <v>1272.9481201000001</v>
      </c>
      <c r="K1181">
        <v>2200</v>
      </c>
      <c r="L1181">
        <v>0</v>
      </c>
      <c r="M1181">
        <v>0</v>
      </c>
      <c r="N1181">
        <v>2200</v>
      </c>
    </row>
    <row r="1182" spans="1:14" x14ac:dyDescent="0.25">
      <c r="A1182">
        <v>794.28957300000002</v>
      </c>
      <c r="B1182" s="1">
        <f>DATE(2012,7,3) + TIME(6,56,59)</f>
        <v>41093.289571759262</v>
      </c>
      <c r="C1182">
        <v>80</v>
      </c>
      <c r="D1182">
        <v>79.94593811</v>
      </c>
      <c r="E1182">
        <v>50</v>
      </c>
      <c r="F1182">
        <v>45.538764954000001</v>
      </c>
      <c r="G1182">
        <v>1378.3624268000001</v>
      </c>
      <c r="H1182">
        <v>1365.5314940999999</v>
      </c>
      <c r="I1182">
        <v>1290.8712158000001</v>
      </c>
      <c r="J1182">
        <v>1272.8886719</v>
      </c>
      <c r="K1182">
        <v>2200</v>
      </c>
      <c r="L1182">
        <v>0</v>
      </c>
      <c r="M1182">
        <v>0</v>
      </c>
      <c r="N1182">
        <v>2200</v>
      </c>
    </row>
    <row r="1183" spans="1:14" x14ac:dyDescent="0.25">
      <c r="A1183">
        <v>795.46123</v>
      </c>
      <c r="B1183" s="1">
        <f>DATE(2012,7,4) + TIME(11,4,10)</f>
        <v>41094.461226851854</v>
      </c>
      <c r="C1183">
        <v>80</v>
      </c>
      <c r="D1183">
        <v>79.945953368999994</v>
      </c>
      <c r="E1183">
        <v>50</v>
      </c>
      <c r="F1183">
        <v>45.470474242999998</v>
      </c>
      <c r="G1183">
        <v>1378.3081055</v>
      </c>
      <c r="H1183">
        <v>1365.4866943</v>
      </c>
      <c r="I1183">
        <v>1290.8294678</v>
      </c>
      <c r="J1183">
        <v>1272.8265381000001</v>
      </c>
      <c r="K1183">
        <v>2200</v>
      </c>
      <c r="L1183">
        <v>0</v>
      </c>
      <c r="M1183">
        <v>0</v>
      </c>
      <c r="N1183">
        <v>2200</v>
      </c>
    </row>
    <row r="1184" spans="1:14" x14ac:dyDescent="0.25">
      <c r="A1184">
        <v>796.65051200000005</v>
      </c>
      <c r="B1184" s="1">
        <f>DATE(2012,7,5) + TIME(15,36,44)</f>
        <v>41095.650509259256</v>
      </c>
      <c r="C1184">
        <v>80</v>
      </c>
      <c r="D1184">
        <v>79.945968628000003</v>
      </c>
      <c r="E1184">
        <v>50</v>
      </c>
      <c r="F1184">
        <v>45.400821686</v>
      </c>
      <c r="G1184">
        <v>1378.2539062000001</v>
      </c>
      <c r="H1184">
        <v>1365.4416504000001</v>
      </c>
      <c r="I1184">
        <v>1290.7863769999999</v>
      </c>
      <c r="J1184">
        <v>1272.7623291</v>
      </c>
      <c r="K1184">
        <v>2200</v>
      </c>
      <c r="L1184">
        <v>0</v>
      </c>
      <c r="M1184">
        <v>0</v>
      </c>
      <c r="N1184">
        <v>2200</v>
      </c>
    </row>
    <row r="1185" spans="1:14" x14ac:dyDescent="0.25">
      <c r="A1185">
        <v>797.85378200000002</v>
      </c>
      <c r="B1185" s="1">
        <f>DATE(2012,7,6) + TIME(20,29,26)</f>
        <v>41096.853773148148</v>
      </c>
      <c r="C1185">
        <v>80</v>
      </c>
      <c r="D1185">
        <v>79.945983886999997</v>
      </c>
      <c r="E1185">
        <v>50</v>
      </c>
      <c r="F1185">
        <v>45.330074310000001</v>
      </c>
      <c r="G1185">
        <v>1378.1994629000001</v>
      </c>
      <c r="H1185">
        <v>1365.3966064000001</v>
      </c>
      <c r="I1185">
        <v>1290.7420654</v>
      </c>
      <c r="J1185">
        <v>1272.6959228999999</v>
      </c>
      <c r="K1185">
        <v>2200</v>
      </c>
      <c r="L1185">
        <v>0</v>
      </c>
      <c r="M1185">
        <v>0</v>
      </c>
      <c r="N1185">
        <v>2200</v>
      </c>
    </row>
    <row r="1186" spans="1:14" x14ac:dyDescent="0.25">
      <c r="A1186">
        <v>799.07427900000005</v>
      </c>
      <c r="B1186" s="1">
        <f>DATE(2012,7,8) + TIME(1,46,57)</f>
        <v>41098.074270833335</v>
      </c>
      <c r="C1186">
        <v>80</v>
      </c>
      <c r="D1186">
        <v>79.945999146000005</v>
      </c>
      <c r="E1186">
        <v>50</v>
      </c>
      <c r="F1186">
        <v>45.258277892999999</v>
      </c>
      <c r="G1186">
        <v>1378.1452637</v>
      </c>
      <c r="H1186">
        <v>1365.3515625</v>
      </c>
      <c r="I1186">
        <v>1290.6964111</v>
      </c>
      <c r="J1186">
        <v>1272.6273193</v>
      </c>
      <c r="K1186">
        <v>2200</v>
      </c>
      <c r="L1186">
        <v>0</v>
      </c>
      <c r="M1186">
        <v>0</v>
      </c>
      <c r="N1186">
        <v>2200</v>
      </c>
    </row>
    <row r="1187" spans="1:14" x14ac:dyDescent="0.25">
      <c r="A1187">
        <v>800.31534399999998</v>
      </c>
      <c r="B1187" s="1">
        <f>DATE(2012,7,9) + TIME(7,34,5)</f>
        <v>41099.315335648149</v>
      </c>
      <c r="C1187">
        <v>80</v>
      </c>
      <c r="D1187">
        <v>79.946014403999996</v>
      </c>
      <c r="E1187">
        <v>50</v>
      </c>
      <c r="F1187">
        <v>45.185352324999997</v>
      </c>
      <c r="G1187">
        <v>1378.0908202999999</v>
      </c>
      <c r="H1187">
        <v>1365.3063964999999</v>
      </c>
      <c r="I1187">
        <v>1290.6495361</v>
      </c>
      <c r="J1187">
        <v>1272.5563964999999</v>
      </c>
      <c r="K1187">
        <v>2200</v>
      </c>
      <c r="L1187">
        <v>0</v>
      </c>
      <c r="M1187">
        <v>0</v>
      </c>
      <c r="N1187">
        <v>2200</v>
      </c>
    </row>
    <row r="1188" spans="1:14" x14ac:dyDescent="0.25">
      <c r="A1188">
        <v>801.58056999999997</v>
      </c>
      <c r="B1188" s="1">
        <f>DATE(2012,7,10) + TIME(13,56,1)</f>
        <v>41100.580567129633</v>
      </c>
      <c r="C1188">
        <v>80</v>
      </c>
      <c r="D1188">
        <v>79.946037292</v>
      </c>
      <c r="E1188">
        <v>50</v>
      </c>
      <c r="F1188">
        <v>45.111133574999997</v>
      </c>
      <c r="G1188">
        <v>1378.0362548999999</v>
      </c>
      <c r="H1188">
        <v>1365.2609863</v>
      </c>
      <c r="I1188">
        <v>1290.6010742000001</v>
      </c>
      <c r="J1188">
        <v>1272.4830322</v>
      </c>
      <c r="K1188">
        <v>2200</v>
      </c>
      <c r="L1188">
        <v>0</v>
      </c>
      <c r="M1188">
        <v>0</v>
      </c>
      <c r="N1188">
        <v>2200</v>
      </c>
    </row>
    <row r="1189" spans="1:14" x14ac:dyDescent="0.25">
      <c r="A1189">
        <v>802.87381600000003</v>
      </c>
      <c r="B1189" s="1">
        <f>DATE(2012,7,11) + TIME(20,58,17)</f>
        <v>41101.873807870368</v>
      </c>
      <c r="C1189">
        <v>80</v>
      </c>
      <c r="D1189">
        <v>79.946052550999994</v>
      </c>
      <c r="E1189">
        <v>50</v>
      </c>
      <c r="F1189">
        <v>45.035419464</v>
      </c>
      <c r="G1189">
        <v>1377.9814452999999</v>
      </c>
      <c r="H1189">
        <v>1365.2152100000001</v>
      </c>
      <c r="I1189">
        <v>1290.5510254000001</v>
      </c>
      <c r="J1189">
        <v>1272.4067382999999</v>
      </c>
      <c r="K1189">
        <v>2200</v>
      </c>
      <c r="L1189">
        <v>0</v>
      </c>
      <c r="M1189">
        <v>0</v>
      </c>
      <c r="N1189">
        <v>2200</v>
      </c>
    </row>
    <row r="1190" spans="1:14" x14ac:dyDescent="0.25">
      <c r="A1190">
        <v>804.18762100000004</v>
      </c>
      <c r="B1190" s="1">
        <f>DATE(2012,7,13) + TIME(4,30,10)</f>
        <v>41103.187615740739</v>
      </c>
      <c r="C1190">
        <v>80</v>
      </c>
      <c r="D1190">
        <v>79.946075438999998</v>
      </c>
      <c r="E1190">
        <v>50</v>
      </c>
      <c r="F1190">
        <v>44.958278655999997</v>
      </c>
      <c r="G1190">
        <v>1377.9260254000001</v>
      </c>
      <c r="H1190">
        <v>1365.1689452999999</v>
      </c>
      <c r="I1190">
        <v>1290.4991454999999</v>
      </c>
      <c r="J1190">
        <v>1272.3275146000001</v>
      </c>
      <c r="K1190">
        <v>2200</v>
      </c>
      <c r="L1190">
        <v>0</v>
      </c>
      <c r="M1190">
        <v>0</v>
      </c>
      <c r="N1190">
        <v>2200</v>
      </c>
    </row>
    <row r="1191" spans="1:14" x14ac:dyDescent="0.25">
      <c r="A1191">
        <v>805.50963100000001</v>
      </c>
      <c r="B1191" s="1">
        <f>DATE(2012,7,14) + TIME(12,13,52)</f>
        <v>41104.509629629632</v>
      </c>
      <c r="C1191">
        <v>80</v>
      </c>
      <c r="D1191">
        <v>79.946098328000005</v>
      </c>
      <c r="E1191">
        <v>50</v>
      </c>
      <c r="F1191">
        <v>44.880096436000002</v>
      </c>
      <c r="G1191">
        <v>1377.8704834</v>
      </c>
      <c r="H1191">
        <v>1365.1225586</v>
      </c>
      <c r="I1191">
        <v>1290.4456786999999</v>
      </c>
      <c r="J1191">
        <v>1272.2456055</v>
      </c>
      <c r="K1191">
        <v>2200</v>
      </c>
      <c r="L1191">
        <v>0</v>
      </c>
      <c r="M1191">
        <v>0</v>
      </c>
      <c r="N1191">
        <v>2200</v>
      </c>
    </row>
    <row r="1192" spans="1:14" x14ac:dyDescent="0.25">
      <c r="A1192">
        <v>806.84335499999997</v>
      </c>
      <c r="B1192" s="1">
        <f>DATE(2012,7,15) + TIME(20,14,25)</f>
        <v>41105.843344907407</v>
      </c>
      <c r="C1192">
        <v>80</v>
      </c>
      <c r="D1192">
        <v>79.946113585999996</v>
      </c>
      <c r="E1192">
        <v>50</v>
      </c>
      <c r="F1192">
        <v>44.801078795999999</v>
      </c>
      <c r="G1192">
        <v>1377.8153076000001</v>
      </c>
      <c r="H1192">
        <v>1365.0764160000001</v>
      </c>
      <c r="I1192">
        <v>1290.3911132999999</v>
      </c>
      <c r="J1192">
        <v>1272.1616211</v>
      </c>
      <c r="K1192">
        <v>2200</v>
      </c>
      <c r="L1192">
        <v>0</v>
      </c>
      <c r="M1192">
        <v>0</v>
      </c>
      <c r="N1192">
        <v>2200</v>
      </c>
    </row>
    <row r="1193" spans="1:14" x14ac:dyDescent="0.25">
      <c r="A1193">
        <v>808.184166</v>
      </c>
      <c r="B1193" s="1">
        <f>DATE(2012,7,17) + TIME(4,25,11)</f>
        <v>41107.184155092589</v>
      </c>
      <c r="C1193">
        <v>80</v>
      </c>
      <c r="D1193">
        <v>79.946136475000003</v>
      </c>
      <c r="E1193">
        <v>50</v>
      </c>
      <c r="F1193">
        <v>44.721382140999999</v>
      </c>
      <c r="G1193">
        <v>1377.7602539</v>
      </c>
      <c r="H1193">
        <v>1365.0303954999999</v>
      </c>
      <c r="I1193">
        <v>1290.3353271000001</v>
      </c>
      <c r="J1193">
        <v>1272.0754394999999</v>
      </c>
      <c r="K1193">
        <v>2200</v>
      </c>
      <c r="L1193">
        <v>0</v>
      </c>
      <c r="M1193">
        <v>0</v>
      </c>
      <c r="N1193">
        <v>2200</v>
      </c>
    </row>
    <row r="1194" spans="1:14" x14ac:dyDescent="0.25">
      <c r="A1194">
        <v>809.535167</v>
      </c>
      <c r="B1194" s="1">
        <f>DATE(2012,7,18) + TIME(12,50,38)</f>
        <v>41108.535162037035</v>
      </c>
      <c r="C1194">
        <v>80</v>
      </c>
      <c r="D1194">
        <v>79.946159363000007</v>
      </c>
      <c r="E1194">
        <v>50</v>
      </c>
      <c r="F1194">
        <v>44.641052246000001</v>
      </c>
      <c r="G1194">
        <v>1377.7056885</v>
      </c>
      <c r="H1194">
        <v>1364.9846190999999</v>
      </c>
      <c r="I1194">
        <v>1290.2784423999999</v>
      </c>
      <c r="J1194">
        <v>1271.9871826000001</v>
      </c>
      <c r="K1194">
        <v>2200</v>
      </c>
      <c r="L1194">
        <v>0</v>
      </c>
      <c r="M1194">
        <v>0</v>
      </c>
      <c r="N1194">
        <v>2200</v>
      </c>
    </row>
    <row r="1195" spans="1:14" x14ac:dyDescent="0.25">
      <c r="A1195">
        <v>810.89982299999997</v>
      </c>
      <c r="B1195" s="1">
        <f>DATE(2012,7,19) + TIME(21,35,44)</f>
        <v>41109.899814814817</v>
      </c>
      <c r="C1195">
        <v>80</v>
      </c>
      <c r="D1195">
        <v>79.946182250999996</v>
      </c>
      <c r="E1195">
        <v>50</v>
      </c>
      <c r="F1195">
        <v>44.559989928999997</v>
      </c>
      <c r="G1195">
        <v>1377.6513672000001</v>
      </c>
      <c r="H1195">
        <v>1364.9389647999999</v>
      </c>
      <c r="I1195">
        <v>1290.2203368999999</v>
      </c>
      <c r="J1195">
        <v>1271.8968506000001</v>
      </c>
      <c r="K1195">
        <v>2200</v>
      </c>
      <c r="L1195">
        <v>0</v>
      </c>
      <c r="M1195">
        <v>0</v>
      </c>
      <c r="N1195">
        <v>2200</v>
      </c>
    </row>
    <row r="1196" spans="1:14" x14ac:dyDescent="0.25">
      <c r="A1196">
        <v>812.28170499999999</v>
      </c>
      <c r="B1196" s="1">
        <f>DATE(2012,7,21) + TIME(6,45,39)</f>
        <v>41111.281701388885</v>
      </c>
      <c r="C1196">
        <v>80</v>
      </c>
      <c r="D1196">
        <v>79.946212768999999</v>
      </c>
      <c r="E1196">
        <v>50</v>
      </c>
      <c r="F1196">
        <v>44.478034973</v>
      </c>
      <c r="G1196">
        <v>1377.597168</v>
      </c>
      <c r="H1196">
        <v>1364.8933105000001</v>
      </c>
      <c r="I1196">
        <v>1290.1610106999999</v>
      </c>
      <c r="J1196">
        <v>1271.8040771000001</v>
      </c>
      <c r="K1196">
        <v>2200</v>
      </c>
      <c r="L1196">
        <v>0</v>
      </c>
      <c r="M1196">
        <v>0</v>
      </c>
      <c r="N1196">
        <v>2200</v>
      </c>
    </row>
    <row r="1197" spans="1:14" x14ac:dyDescent="0.25">
      <c r="A1197">
        <v>813.68459299999995</v>
      </c>
      <c r="B1197" s="1">
        <f>DATE(2012,7,22) + TIME(16,25,48)</f>
        <v>41112.684583333335</v>
      </c>
      <c r="C1197">
        <v>80</v>
      </c>
      <c r="D1197">
        <v>79.946235657000003</v>
      </c>
      <c r="E1197">
        <v>50</v>
      </c>
      <c r="F1197">
        <v>44.394996642999999</v>
      </c>
      <c r="G1197">
        <v>1377.5428466999999</v>
      </c>
      <c r="H1197">
        <v>1364.8476562000001</v>
      </c>
      <c r="I1197">
        <v>1290.1002197</v>
      </c>
      <c r="J1197">
        <v>1271.7086182</v>
      </c>
      <c r="K1197">
        <v>2200</v>
      </c>
      <c r="L1197">
        <v>0</v>
      </c>
      <c r="M1197">
        <v>0</v>
      </c>
      <c r="N1197">
        <v>2200</v>
      </c>
    </row>
    <row r="1198" spans="1:14" x14ac:dyDescent="0.25">
      <c r="A1198">
        <v>815.11249399999997</v>
      </c>
      <c r="B1198" s="1">
        <f>DATE(2012,7,24) + TIME(2,41,59)</f>
        <v>41114.112488425926</v>
      </c>
      <c r="C1198">
        <v>80</v>
      </c>
      <c r="D1198">
        <v>79.946266174000002</v>
      </c>
      <c r="E1198">
        <v>50</v>
      </c>
      <c r="F1198">
        <v>44.310676575000002</v>
      </c>
      <c r="G1198">
        <v>1377.4884033000001</v>
      </c>
      <c r="H1198">
        <v>1364.8017577999999</v>
      </c>
      <c r="I1198">
        <v>1290.0378418</v>
      </c>
      <c r="J1198">
        <v>1271.6102295000001</v>
      </c>
      <c r="K1198">
        <v>2200</v>
      </c>
      <c r="L1198">
        <v>0</v>
      </c>
      <c r="M1198">
        <v>0</v>
      </c>
      <c r="N1198">
        <v>2200</v>
      </c>
    </row>
    <row r="1199" spans="1:14" x14ac:dyDescent="0.25">
      <c r="A1199">
        <v>816.56971399999998</v>
      </c>
      <c r="B1199" s="1">
        <f>DATE(2012,7,25) + TIME(13,40,23)</f>
        <v>41115.569710648146</v>
      </c>
      <c r="C1199">
        <v>80</v>
      </c>
      <c r="D1199">
        <v>79.946289062000005</v>
      </c>
      <c r="E1199">
        <v>50</v>
      </c>
      <c r="F1199">
        <v>44.224842072000001</v>
      </c>
      <c r="G1199">
        <v>1377.4337158000001</v>
      </c>
      <c r="H1199">
        <v>1364.7556152</v>
      </c>
      <c r="I1199">
        <v>1289.9736327999999</v>
      </c>
      <c r="J1199">
        <v>1271.5086670000001</v>
      </c>
      <c r="K1199">
        <v>2200</v>
      </c>
      <c r="L1199">
        <v>0</v>
      </c>
      <c r="M1199">
        <v>0</v>
      </c>
      <c r="N1199">
        <v>2200</v>
      </c>
    </row>
    <row r="1200" spans="1:14" x14ac:dyDescent="0.25">
      <c r="A1200">
        <v>818.06092699999999</v>
      </c>
      <c r="B1200" s="1">
        <f>DATE(2012,7,27) + TIME(1,27,44)</f>
        <v>41117.060925925929</v>
      </c>
      <c r="C1200">
        <v>80</v>
      </c>
      <c r="D1200">
        <v>79.946319579999994</v>
      </c>
      <c r="E1200">
        <v>50</v>
      </c>
      <c r="F1200">
        <v>44.137260437000002</v>
      </c>
      <c r="G1200">
        <v>1377.378418</v>
      </c>
      <c r="H1200">
        <v>1364.7088623</v>
      </c>
      <c r="I1200">
        <v>1289.9074707</v>
      </c>
      <c r="J1200">
        <v>1271.4035644999999</v>
      </c>
      <c r="K1200">
        <v>2200</v>
      </c>
      <c r="L1200">
        <v>0</v>
      </c>
      <c r="M1200">
        <v>0</v>
      </c>
      <c r="N1200">
        <v>2200</v>
      </c>
    </row>
    <row r="1201" spans="1:14" x14ac:dyDescent="0.25">
      <c r="A1201">
        <v>819.57209599999999</v>
      </c>
      <c r="B1201" s="1">
        <f>DATE(2012,7,28) + TIME(13,43,49)</f>
        <v>41118.572094907409</v>
      </c>
      <c r="C1201">
        <v>80</v>
      </c>
      <c r="D1201">
        <v>79.946350097999996</v>
      </c>
      <c r="E1201">
        <v>50</v>
      </c>
      <c r="F1201">
        <v>44.048118590999998</v>
      </c>
      <c r="G1201">
        <v>1377.3226318</v>
      </c>
      <c r="H1201">
        <v>1364.6616211</v>
      </c>
      <c r="I1201">
        <v>1289.8391113</v>
      </c>
      <c r="J1201">
        <v>1271.2945557</v>
      </c>
      <c r="K1201">
        <v>2200</v>
      </c>
      <c r="L1201">
        <v>0</v>
      </c>
      <c r="M1201">
        <v>0</v>
      </c>
      <c r="N1201">
        <v>2200</v>
      </c>
    </row>
    <row r="1202" spans="1:14" x14ac:dyDescent="0.25">
      <c r="A1202">
        <v>821.09590400000002</v>
      </c>
      <c r="B1202" s="1">
        <f>DATE(2012,7,30) + TIME(2,18,6)</f>
        <v>41120.095902777779</v>
      </c>
      <c r="C1202">
        <v>80</v>
      </c>
      <c r="D1202">
        <v>79.946380614999995</v>
      </c>
      <c r="E1202">
        <v>50</v>
      </c>
      <c r="F1202">
        <v>43.957862853999998</v>
      </c>
      <c r="G1202">
        <v>1377.2666016000001</v>
      </c>
      <c r="H1202">
        <v>1364.6141356999999</v>
      </c>
      <c r="I1202">
        <v>1289.7691649999999</v>
      </c>
      <c r="J1202">
        <v>1271.1826172000001</v>
      </c>
      <c r="K1202">
        <v>2200</v>
      </c>
      <c r="L1202">
        <v>0</v>
      </c>
      <c r="M1202">
        <v>0</v>
      </c>
      <c r="N1202">
        <v>2200</v>
      </c>
    </row>
    <row r="1203" spans="1:14" x14ac:dyDescent="0.25">
      <c r="A1203">
        <v>822.62398900000005</v>
      </c>
      <c r="B1203" s="1">
        <f>DATE(2012,7,31) + TIME(14,58,32)</f>
        <v>41121.623981481483</v>
      </c>
      <c r="C1203">
        <v>80</v>
      </c>
      <c r="D1203">
        <v>79.946411132999998</v>
      </c>
      <c r="E1203">
        <v>50</v>
      </c>
      <c r="F1203">
        <v>43.866989136000001</v>
      </c>
      <c r="G1203">
        <v>1377.2108154</v>
      </c>
      <c r="H1203">
        <v>1364.5667725000001</v>
      </c>
      <c r="I1203">
        <v>1289.6979980000001</v>
      </c>
      <c r="J1203">
        <v>1271.0682373</v>
      </c>
      <c r="K1203">
        <v>2200</v>
      </c>
      <c r="L1203">
        <v>0</v>
      </c>
      <c r="M1203">
        <v>0</v>
      </c>
      <c r="N1203">
        <v>2200</v>
      </c>
    </row>
    <row r="1204" spans="1:14" x14ac:dyDescent="0.25">
      <c r="A1204">
        <v>823</v>
      </c>
      <c r="B1204" s="1">
        <f>DATE(2012,8,1) + TIME(0,0,0)</f>
        <v>41122</v>
      </c>
      <c r="C1204">
        <v>80</v>
      </c>
      <c r="D1204">
        <v>79.946403502999999</v>
      </c>
      <c r="E1204">
        <v>50</v>
      </c>
      <c r="F1204">
        <v>43.825267791999998</v>
      </c>
      <c r="G1204">
        <v>1377.1558838000001</v>
      </c>
      <c r="H1204">
        <v>1364.5201416</v>
      </c>
      <c r="I1204">
        <v>1289.6292725000001</v>
      </c>
      <c r="J1204">
        <v>1270.9731445</v>
      </c>
      <c r="K1204">
        <v>2200</v>
      </c>
      <c r="L1204">
        <v>0</v>
      </c>
      <c r="M1204">
        <v>0</v>
      </c>
      <c r="N1204">
        <v>2200</v>
      </c>
    </row>
    <row r="1205" spans="1:14" x14ac:dyDescent="0.25">
      <c r="A1205">
        <v>824.53835400000003</v>
      </c>
      <c r="B1205" s="1">
        <f>DATE(2012,8,2) + TIME(12,55,13)</f>
        <v>41123.538344907407</v>
      </c>
      <c r="C1205">
        <v>80</v>
      </c>
      <c r="D1205">
        <v>79.946449279999996</v>
      </c>
      <c r="E1205">
        <v>50</v>
      </c>
      <c r="F1205">
        <v>43.745857239000003</v>
      </c>
      <c r="G1205">
        <v>1377.1418457</v>
      </c>
      <c r="H1205">
        <v>1364.5080565999999</v>
      </c>
      <c r="I1205">
        <v>1289.6062012</v>
      </c>
      <c r="J1205">
        <v>1270.9176024999999</v>
      </c>
      <c r="K1205">
        <v>2200</v>
      </c>
      <c r="L1205">
        <v>0</v>
      </c>
      <c r="M1205">
        <v>0</v>
      </c>
      <c r="N1205">
        <v>2200</v>
      </c>
    </row>
    <row r="1206" spans="1:14" x14ac:dyDescent="0.25">
      <c r="A1206">
        <v>826.09521600000005</v>
      </c>
      <c r="B1206" s="1">
        <f>DATE(2012,8,4) + TIME(2,17,6)</f>
        <v>41125.095208333332</v>
      </c>
      <c r="C1206">
        <v>80</v>
      </c>
      <c r="D1206">
        <v>79.946479796999995</v>
      </c>
      <c r="E1206">
        <v>50</v>
      </c>
      <c r="F1206">
        <v>43.658607482999997</v>
      </c>
      <c r="G1206">
        <v>1377.0871582</v>
      </c>
      <c r="H1206">
        <v>1364.4615478999999</v>
      </c>
      <c r="I1206">
        <v>1289.5343018000001</v>
      </c>
      <c r="J1206">
        <v>1270.8022461</v>
      </c>
      <c r="K1206">
        <v>2200</v>
      </c>
      <c r="L1206">
        <v>0</v>
      </c>
      <c r="M1206">
        <v>0</v>
      </c>
      <c r="N1206">
        <v>2200</v>
      </c>
    </row>
    <row r="1207" spans="1:14" x14ac:dyDescent="0.25">
      <c r="A1207">
        <v>827.67127300000004</v>
      </c>
      <c r="B1207" s="1">
        <f>DATE(2012,8,5) + TIME(16,6,37)</f>
        <v>41126.671261574076</v>
      </c>
      <c r="C1207">
        <v>80</v>
      </c>
      <c r="D1207">
        <v>79.946517943999993</v>
      </c>
      <c r="E1207">
        <v>50</v>
      </c>
      <c r="F1207">
        <v>43.567844391000001</v>
      </c>
      <c r="G1207">
        <v>1377.0322266000001</v>
      </c>
      <c r="H1207">
        <v>1364.4145507999999</v>
      </c>
      <c r="I1207">
        <v>1289.4603271000001</v>
      </c>
      <c r="J1207">
        <v>1270.6821289</v>
      </c>
      <c r="K1207">
        <v>2200</v>
      </c>
      <c r="L1207">
        <v>0</v>
      </c>
      <c r="M1207">
        <v>0</v>
      </c>
      <c r="N1207">
        <v>2200</v>
      </c>
    </row>
    <row r="1208" spans="1:14" x14ac:dyDescent="0.25">
      <c r="A1208">
        <v>829.270895</v>
      </c>
      <c r="B1208" s="1">
        <f>DATE(2012,8,7) + TIME(6,30,5)</f>
        <v>41128.270891203705</v>
      </c>
      <c r="C1208">
        <v>80</v>
      </c>
      <c r="D1208">
        <v>79.946548461999996</v>
      </c>
      <c r="E1208">
        <v>50</v>
      </c>
      <c r="F1208">
        <v>43.475196838000002</v>
      </c>
      <c r="G1208">
        <v>1376.9770507999999</v>
      </c>
      <c r="H1208">
        <v>1364.3675536999999</v>
      </c>
      <c r="I1208">
        <v>1289.3847656</v>
      </c>
      <c r="J1208">
        <v>1270.5584716999999</v>
      </c>
      <c r="K1208">
        <v>2200</v>
      </c>
      <c r="L1208">
        <v>0</v>
      </c>
      <c r="M1208">
        <v>0</v>
      </c>
      <c r="N1208">
        <v>2200</v>
      </c>
    </row>
    <row r="1209" spans="1:14" x14ac:dyDescent="0.25">
      <c r="A1209">
        <v>830.898731</v>
      </c>
      <c r="B1209" s="1">
        <f>DATE(2012,8,8) + TIME(21,34,10)</f>
        <v>41129.898726851854</v>
      </c>
      <c r="C1209">
        <v>80</v>
      </c>
      <c r="D1209">
        <v>79.946586608999993</v>
      </c>
      <c r="E1209">
        <v>50</v>
      </c>
      <c r="F1209">
        <v>43.381195067999997</v>
      </c>
      <c r="G1209">
        <v>1376.9217529</v>
      </c>
      <c r="H1209">
        <v>1364.3201904</v>
      </c>
      <c r="I1209">
        <v>1289.3076172000001</v>
      </c>
      <c r="J1209">
        <v>1270.4315185999999</v>
      </c>
      <c r="K1209">
        <v>2200</v>
      </c>
      <c r="L1209">
        <v>0</v>
      </c>
      <c r="M1209">
        <v>0</v>
      </c>
      <c r="N1209">
        <v>2200</v>
      </c>
    </row>
    <row r="1210" spans="1:14" x14ac:dyDescent="0.25">
      <c r="A1210">
        <v>832.55985099999998</v>
      </c>
      <c r="B1210" s="1">
        <f>DATE(2012,8,10) + TIME(13,26,11)</f>
        <v>41131.559849537036</v>
      </c>
      <c r="C1210">
        <v>80</v>
      </c>
      <c r="D1210">
        <v>79.946624756000006</v>
      </c>
      <c r="E1210">
        <v>50</v>
      </c>
      <c r="F1210">
        <v>43.285942077999998</v>
      </c>
      <c r="G1210">
        <v>1376.8660889</v>
      </c>
      <c r="H1210">
        <v>1364.2725829999999</v>
      </c>
      <c r="I1210">
        <v>1289.2287598</v>
      </c>
      <c r="J1210">
        <v>1270.3012695</v>
      </c>
      <c r="K1210">
        <v>2200</v>
      </c>
      <c r="L1210">
        <v>0</v>
      </c>
      <c r="M1210">
        <v>0</v>
      </c>
      <c r="N1210">
        <v>2200</v>
      </c>
    </row>
    <row r="1211" spans="1:14" x14ac:dyDescent="0.25">
      <c r="A1211">
        <v>834.24871499999995</v>
      </c>
      <c r="B1211" s="1">
        <f>DATE(2012,8,12) + TIME(5,58,8)</f>
        <v>41133.248703703706</v>
      </c>
      <c r="C1211">
        <v>80</v>
      </c>
      <c r="D1211">
        <v>79.946662903000004</v>
      </c>
      <c r="E1211">
        <v>50</v>
      </c>
      <c r="F1211">
        <v>43.189613342000001</v>
      </c>
      <c r="G1211">
        <v>1376.8098144999999</v>
      </c>
      <c r="H1211">
        <v>1364.2242432</v>
      </c>
      <c r="I1211">
        <v>1289.1480713000001</v>
      </c>
      <c r="J1211">
        <v>1270.1674805</v>
      </c>
      <c r="K1211">
        <v>2200</v>
      </c>
      <c r="L1211">
        <v>0</v>
      </c>
      <c r="M1211">
        <v>0</v>
      </c>
      <c r="N1211">
        <v>2200</v>
      </c>
    </row>
    <row r="1212" spans="1:14" x14ac:dyDescent="0.25">
      <c r="A1212">
        <v>835.95687499999997</v>
      </c>
      <c r="B1212" s="1">
        <f>DATE(2012,8,13) + TIME(22,57,53)</f>
        <v>41134.956863425927</v>
      </c>
      <c r="C1212">
        <v>80</v>
      </c>
      <c r="D1212">
        <v>79.946701050000001</v>
      </c>
      <c r="E1212">
        <v>50</v>
      </c>
      <c r="F1212">
        <v>43.092643738</v>
      </c>
      <c r="G1212">
        <v>1376.7532959</v>
      </c>
      <c r="H1212">
        <v>1364.1756591999999</v>
      </c>
      <c r="I1212">
        <v>1289.0660399999999</v>
      </c>
      <c r="J1212">
        <v>1270.0306396000001</v>
      </c>
      <c r="K1212">
        <v>2200</v>
      </c>
      <c r="L1212">
        <v>0</v>
      </c>
      <c r="M1212">
        <v>0</v>
      </c>
      <c r="N1212">
        <v>2200</v>
      </c>
    </row>
    <row r="1213" spans="1:14" x14ac:dyDescent="0.25">
      <c r="A1213">
        <v>837.68025</v>
      </c>
      <c r="B1213" s="1">
        <f>DATE(2012,8,15) + TIME(16,19,33)</f>
        <v>41136.680243055554</v>
      </c>
      <c r="C1213">
        <v>80</v>
      </c>
      <c r="D1213">
        <v>79.946739196999999</v>
      </c>
      <c r="E1213">
        <v>50</v>
      </c>
      <c r="F1213">
        <v>42.995525360000002</v>
      </c>
      <c r="G1213">
        <v>1376.6965332</v>
      </c>
      <c r="H1213">
        <v>1364.1268310999999</v>
      </c>
      <c r="I1213">
        <v>1288.9830322</v>
      </c>
      <c r="J1213">
        <v>1269.8913574000001</v>
      </c>
      <c r="K1213">
        <v>2200</v>
      </c>
      <c r="L1213">
        <v>0</v>
      </c>
      <c r="M1213">
        <v>0</v>
      </c>
      <c r="N1213">
        <v>2200</v>
      </c>
    </row>
    <row r="1214" spans="1:14" x14ac:dyDescent="0.25">
      <c r="A1214">
        <v>839.42344200000002</v>
      </c>
      <c r="B1214" s="1">
        <f>DATE(2012,8,17) + TIME(10,9,45)</f>
        <v>41138.423437500001</v>
      </c>
      <c r="C1214">
        <v>80</v>
      </c>
      <c r="D1214">
        <v>79.946777343999997</v>
      </c>
      <c r="E1214">
        <v>50</v>
      </c>
      <c r="F1214">
        <v>42.898551941000001</v>
      </c>
      <c r="G1214">
        <v>1376.6400146000001</v>
      </c>
      <c r="H1214">
        <v>1364.0780029</v>
      </c>
      <c r="I1214">
        <v>1288.8991699000001</v>
      </c>
      <c r="J1214">
        <v>1269.7502440999999</v>
      </c>
      <c r="K1214">
        <v>2200</v>
      </c>
      <c r="L1214">
        <v>0</v>
      </c>
      <c r="M1214">
        <v>0</v>
      </c>
      <c r="N1214">
        <v>2200</v>
      </c>
    </row>
    <row r="1215" spans="1:14" x14ac:dyDescent="0.25">
      <c r="A1215">
        <v>841.18175399999996</v>
      </c>
      <c r="B1215" s="1">
        <f>DATE(2012,8,19) + TIME(4,21,43)</f>
        <v>41140.181747685187</v>
      </c>
      <c r="C1215">
        <v>80</v>
      </c>
      <c r="D1215">
        <v>79.946823120000005</v>
      </c>
      <c r="E1215">
        <v>50</v>
      </c>
      <c r="F1215">
        <v>42.802005768000001</v>
      </c>
      <c r="G1215">
        <v>1376.5832519999999</v>
      </c>
      <c r="H1215">
        <v>1364.0290527</v>
      </c>
      <c r="I1215">
        <v>1288.8146973</v>
      </c>
      <c r="J1215">
        <v>1269.6071777</v>
      </c>
      <c r="K1215">
        <v>2200</v>
      </c>
      <c r="L1215">
        <v>0</v>
      </c>
      <c r="M1215">
        <v>0</v>
      </c>
      <c r="N1215">
        <v>2200</v>
      </c>
    </row>
    <row r="1216" spans="1:14" x14ac:dyDescent="0.25">
      <c r="A1216">
        <v>842.95721000000003</v>
      </c>
      <c r="B1216" s="1">
        <f>DATE(2012,8,20) + TIME(22,58,22)</f>
        <v>41141.957199074073</v>
      </c>
      <c r="C1216">
        <v>80</v>
      </c>
      <c r="D1216">
        <v>79.946861267000003</v>
      </c>
      <c r="E1216">
        <v>50</v>
      </c>
      <c r="F1216">
        <v>42.706180572999997</v>
      </c>
      <c r="G1216">
        <v>1376.5266113</v>
      </c>
      <c r="H1216">
        <v>1363.9801024999999</v>
      </c>
      <c r="I1216">
        <v>1288.7297363</v>
      </c>
      <c r="J1216">
        <v>1269.4626464999999</v>
      </c>
      <c r="K1216">
        <v>2200</v>
      </c>
      <c r="L1216">
        <v>0</v>
      </c>
      <c r="M1216">
        <v>0</v>
      </c>
      <c r="N1216">
        <v>2200</v>
      </c>
    </row>
    <row r="1217" spans="1:14" x14ac:dyDescent="0.25">
      <c r="A1217">
        <v>844.75462300000004</v>
      </c>
      <c r="B1217" s="1">
        <f>DATE(2012,8,22) + TIME(18,6,39)</f>
        <v>41143.754618055558</v>
      </c>
      <c r="C1217">
        <v>80</v>
      </c>
      <c r="D1217">
        <v>79.946907042999996</v>
      </c>
      <c r="E1217">
        <v>50</v>
      </c>
      <c r="F1217">
        <v>42.611270904999998</v>
      </c>
      <c r="G1217">
        <v>1376.4699707</v>
      </c>
      <c r="H1217">
        <v>1363.9309082</v>
      </c>
      <c r="I1217">
        <v>1288.6445312000001</v>
      </c>
      <c r="J1217">
        <v>1269.3167725000001</v>
      </c>
      <c r="K1217">
        <v>2200</v>
      </c>
      <c r="L1217">
        <v>0</v>
      </c>
      <c r="M1217">
        <v>0</v>
      </c>
      <c r="N1217">
        <v>2200</v>
      </c>
    </row>
    <row r="1218" spans="1:14" x14ac:dyDescent="0.25">
      <c r="A1218">
        <v>846.57905200000005</v>
      </c>
      <c r="B1218" s="1">
        <f>DATE(2012,8,24) + TIME(13,53,50)</f>
        <v>41145.579050925924</v>
      </c>
      <c r="C1218">
        <v>80</v>
      </c>
      <c r="D1218">
        <v>79.946945189999994</v>
      </c>
      <c r="E1218">
        <v>50</v>
      </c>
      <c r="F1218">
        <v>42.517375946000001</v>
      </c>
      <c r="G1218">
        <v>1376.4130858999999</v>
      </c>
      <c r="H1218">
        <v>1363.8815918</v>
      </c>
      <c r="I1218">
        <v>1288.5588379000001</v>
      </c>
      <c r="J1218">
        <v>1269.1693115</v>
      </c>
      <c r="K1218">
        <v>2200</v>
      </c>
      <c r="L1218">
        <v>0</v>
      </c>
      <c r="M1218">
        <v>0</v>
      </c>
      <c r="N1218">
        <v>2200</v>
      </c>
    </row>
    <row r="1219" spans="1:14" x14ac:dyDescent="0.25">
      <c r="A1219">
        <v>848.43596000000002</v>
      </c>
      <c r="B1219" s="1">
        <f>DATE(2012,8,26) + TIME(10,27,46)</f>
        <v>41147.435949074075</v>
      </c>
      <c r="C1219">
        <v>80</v>
      </c>
      <c r="D1219">
        <v>79.946990967000005</v>
      </c>
      <c r="E1219">
        <v>50</v>
      </c>
      <c r="F1219">
        <v>42.424610137999998</v>
      </c>
      <c r="G1219">
        <v>1376.355957</v>
      </c>
      <c r="H1219">
        <v>1363.8319091999999</v>
      </c>
      <c r="I1219">
        <v>1288.4725341999999</v>
      </c>
      <c r="J1219">
        <v>1269.0202637</v>
      </c>
      <c r="K1219">
        <v>2200</v>
      </c>
      <c r="L1219">
        <v>0</v>
      </c>
      <c r="M1219">
        <v>0</v>
      </c>
      <c r="N1219">
        <v>2200</v>
      </c>
    </row>
    <row r="1220" spans="1:14" x14ac:dyDescent="0.25">
      <c r="A1220">
        <v>850.31122600000003</v>
      </c>
      <c r="B1220" s="1">
        <f>DATE(2012,8,28) + TIME(7,28,9)</f>
        <v>41149.311215277776</v>
      </c>
      <c r="C1220">
        <v>80</v>
      </c>
      <c r="D1220">
        <v>79.947036742999998</v>
      </c>
      <c r="E1220">
        <v>50</v>
      </c>
      <c r="F1220">
        <v>42.333442687999998</v>
      </c>
      <c r="G1220">
        <v>1376.2982178</v>
      </c>
      <c r="H1220">
        <v>1363.7817382999999</v>
      </c>
      <c r="I1220">
        <v>1288.3858643000001</v>
      </c>
      <c r="J1220">
        <v>1268.8696289</v>
      </c>
      <c r="K1220">
        <v>2200</v>
      </c>
      <c r="L1220">
        <v>0</v>
      </c>
      <c r="M1220">
        <v>0</v>
      </c>
      <c r="N1220">
        <v>2200</v>
      </c>
    </row>
    <row r="1221" spans="1:14" x14ac:dyDescent="0.25">
      <c r="A1221">
        <v>852.19763599999999</v>
      </c>
      <c r="B1221" s="1">
        <f>DATE(2012,8,30) + TIME(4,44,35)</f>
        <v>41151.197627314818</v>
      </c>
      <c r="C1221">
        <v>80</v>
      </c>
      <c r="D1221">
        <v>79.947082519999995</v>
      </c>
      <c r="E1221">
        <v>50</v>
      </c>
      <c r="F1221">
        <v>42.244655608999999</v>
      </c>
      <c r="G1221">
        <v>1376.2404785000001</v>
      </c>
      <c r="H1221">
        <v>1363.7313231999999</v>
      </c>
      <c r="I1221">
        <v>1288.2993164</v>
      </c>
      <c r="J1221">
        <v>1268.71875</v>
      </c>
      <c r="K1221">
        <v>2200</v>
      </c>
      <c r="L1221">
        <v>0</v>
      </c>
      <c r="M1221">
        <v>0</v>
      </c>
      <c r="N1221">
        <v>2200</v>
      </c>
    </row>
    <row r="1222" spans="1:14" x14ac:dyDescent="0.25">
      <c r="A1222">
        <v>854</v>
      </c>
      <c r="B1222" s="1">
        <f>DATE(2012,9,1) + TIME(0,0,0)</f>
        <v>41153</v>
      </c>
      <c r="C1222">
        <v>80</v>
      </c>
      <c r="D1222">
        <v>79.947128296000002</v>
      </c>
      <c r="E1222">
        <v>50</v>
      </c>
      <c r="F1222">
        <v>42.160396575999997</v>
      </c>
      <c r="G1222">
        <v>1376.1828613</v>
      </c>
      <c r="H1222">
        <v>1363.6810303</v>
      </c>
      <c r="I1222">
        <v>1288.2138672000001</v>
      </c>
      <c r="J1222">
        <v>1268.5692139</v>
      </c>
      <c r="K1222">
        <v>2200</v>
      </c>
      <c r="L1222">
        <v>0</v>
      </c>
      <c r="M1222">
        <v>0</v>
      </c>
      <c r="N1222">
        <v>2200</v>
      </c>
    </row>
    <row r="1223" spans="1:14" x14ac:dyDescent="0.25">
      <c r="A1223">
        <v>855.90242899999998</v>
      </c>
      <c r="B1223" s="1">
        <f>DATE(2012,9,2) + TIME(21,39,29)</f>
        <v>41154.902418981481</v>
      </c>
      <c r="C1223">
        <v>80</v>
      </c>
      <c r="D1223">
        <v>79.947174071999996</v>
      </c>
      <c r="E1223">
        <v>50</v>
      </c>
      <c r="F1223">
        <v>42.080028534</v>
      </c>
      <c r="G1223">
        <v>1376.1282959</v>
      </c>
      <c r="H1223">
        <v>1363.6333007999999</v>
      </c>
      <c r="I1223">
        <v>1288.1326904</v>
      </c>
      <c r="J1223">
        <v>1268.4251709</v>
      </c>
      <c r="K1223">
        <v>2200</v>
      </c>
      <c r="L1223">
        <v>0</v>
      </c>
      <c r="M1223">
        <v>0</v>
      </c>
      <c r="N1223">
        <v>2200</v>
      </c>
    </row>
    <row r="1224" spans="1:14" x14ac:dyDescent="0.25">
      <c r="A1224">
        <v>857.85071000000005</v>
      </c>
      <c r="B1224" s="1">
        <f>DATE(2012,9,4) + TIME(20,25,1)</f>
        <v>41156.850706018522</v>
      </c>
      <c r="C1224">
        <v>80</v>
      </c>
      <c r="D1224">
        <v>79.947219849000007</v>
      </c>
      <c r="E1224">
        <v>50</v>
      </c>
      <c r="F1224">
        <v>42.002128601000003</v>
      </c>
      <c r="G1224">
        <v>1376.0711670000001</v>
      </c>
      <c r="H1224">
        <v>1363.5831298999999</v>
      </c>
      <c r="I1224">
        <v>1288.0496826000001</v>
      </c>
      <c r="J1224">
        <v>1268.277832</v>
      </c>
      <c r="K1224">
        <v>2200</v>
      </c>
      <c r="L1224">
        <v>0</v>
      </c>
      <c r="M1224">
        <v>0</v>
      </c>
      <c r="N1224">
        <v>2200</v>
      </c>
    </row>
    <row r="1225" spans="1:14" x14ac:dyDescent="0.25">
      <c r="A1225">
        <v>859.80866100000003</v>
      </c>
      <c r="B1225" s="1">
        <f>DATE(2012,9,6) + TIME(19,24,28)</f>
        <v>41158.808657407404</v>
      </c>
      <c r="C1225">
        <v>80</v>
      </c>
      <c r="D1225">
        <v>79.947273253999995</v>
      </c>
      <c r="E1225">
        <v>50</v>
      </c>
      <c r="F1225">
        <v>41.927951813</v>
      </c>
      <c r="G1225">
        <v>1376.0130615</v>
      </c>
      <c r="H1225">
        <v>1363.5322266000001</v>
      </c>
      <c r="I1225">
        <v>1287.9665527</v>
      </c>
      <c r="J1225">
        <v>1268.1298827999999</v>
      </c>
      <c r="K1225">
        <v>2200</v>
      </c>
      <c r="L1225">
        <v>0</v>
      </c>
      <c r="M1225">
        <v>0</v>
      </c>
      <c r="N1225">
        <v>2200</v>
      </c>
    </row>
    <row r="1226" spans="1:14" x14ac:dyDescent="0.25">
      <c r="A1226">
        <v>861.78054099999997</v>
      </c>
      <c r="B1226" s="1">
        <f>DATE(2012,9,8) + TIME(18,43,58)</f>
        <v>41160.780532407407</v>
      </c>
      <c r="C1226">
        <v>80</v>
      </c>
      <c r="D1226">
        <v>79.947319031000006</v>
      </c>
      <c r="E1226">
        <v>50</v>
      </c>
      <c r="F1226">
        <v>41.858802795000003</v>
      </c>
      <c r="G1226">
        <v>1375.9552002</v>
      </c>
      <c r="H1226">
        <v>1363.4813231999999</v>
      </c>
      <c r="I1226">
        <v>1287.8850098</v>
      </c>
      <c r="J1226">
        <v>1267.9838867000001</v>
      </c>
      <c r="K1226">
        <v>2200</v>
      </c>
      <c r="L1226">
        <v>0</v>
      </c>
      <c r="M1226">
        <v>0</v>
      </c>
      <c r="N1226">
        <v>2200</v>
      </c>
    </row>
    <row r="1227" spans="1:14" x14ac:dyDescent="0.25">
      <c r="A1227">
        <v>863.77422300000001</v>
      </c>
      <c r="B1227" s="1">
        <f>DATE(2012,9,10) + TIME(18,34,52)</f>
        <v>41162.774212962962</v>
      </c>
      <c r="C1227">
        <v>80</v>
      </c>
      <c r="D1227">
        <v>79.947372436999999</v>
      </c>
      <c r="E1227">
        <v>50</v>
      </c>
      <c r="F1227">
        <v>41.795429230000003</v>
      </c>
      <c r="G1227">
        <v>1375.8973389</v>
      </c>
      <c r="H1227">
        <v>1363.4302978999999</v>
      </c>
      <c r="I1227">
        <v>1287.8052978999999</v>
      </c>
      <c r="J1227">
        <v>1267.840332</v>
      </c>
      <c r="K1227">
        <v>2200</v>
      </c>
      <c r="L1227">
        <v>0</v>
      </c>
      <c r="M1227">
        <v>0</v>
      </c>
      <c r="N1227">
        <v>2200</v>
      </c>
    </row>
    <row r="1228" spans="1:14" x14ac:dyDescent="0.25">
      <c r="A1228">
        <v>865.79625199999998</v>
      </c>
      <c r="B1228" s="1">
        <f>DATE(2012,9,12) + TIME(19,6,36)</f>
        <v>41164.796249999999</v>
      </c>
      <c r="C1228">
        <v>80</v>
      </c>
      <c r="D1228">
        <v>79.947418213000006</v>
      </c>
      <c r="E1228">
        <v>50</v>
      </c>
      <c r="F1228">
        <v>41.738441467000001</v>
      </c>
      <c r="G1228">
        <v>1375.8393555</v>
      </c>
      <c r="H1228">
        <v>1363.3790283000001</v>
      </c>
      <c r="I1228">
        <v>1287.7272949000001</v>
      </c>
      <c r="J1228">
        <v>1267.6994629000001</v>
      </c>
      <c r="K1228">
        <v>2200</v>
      </c>
      <c r="L1228">
        <v>0</v>
      </c>
      <c r="M1228">
        <v>0</v>
      </c>
      <c r="N1228">
        <v>2200</v>
      </c>
    </row>
    <row r="1229" spans="1:14" x14ac:dyDescent="0.25">
      <c r="A1229">
        <v>867.84274800000003</v>
      </c>
      <c r="B1229" s="1">
        <f>DATE(2012,9,14) + TIME(20,13,33)</f>
        <v>41166.842743055553</v>
      </c>
      <c r="C1229">
        <v>80</v>
      </c>
      <c r="D1229">
        <v>79.947471618999998</v>
      </c>
      <c r="E1229">
        <v>50</v>
      </c>
      <c r="F1229">
        <v>41.688621521000002</v>
      </c>
      <c r="G1229">
        <v>1375.7808838000001</v>
      </c>
      <c r="H1229">
        <v>1363.3273925999999</v>
      </c>
      <c r="I1229">
        <v>1287.6511230000001</v>
      </c>
      <c r="J1229">
        <v>1267.5612793</v>
      </c>
      <c r="K1229">
        <v>2200</v>
      </c>
      <c r="L1229">
        <v>0</v>
      </c>
      <c r="M1229">
        <v>0</v>
      </c>
      <c r="N1229">
        <v>2200</v>
      </c>
    </row>
    <row r="1230" spans="1:14" x14ac:dyDescent="0.25">
      <c r="A1230">
        <v>869.93094699999995</v>
      </c>
      <c r="B1230" s="1">
        <f>DATE(2012,9,16) + TIME(22,20,33)</f>
        <v>41168.930937500001</v>
      </c>
      <c r="C1230">
        <v>80</v>
      </c>
      <c r="D1230">
        <v>79.947525024000001</v>
      </c>
      <c r="E1230">
        <v>50</v>
      </c>
      <c r="F1230">
        <v>41.646785735999998</v>
      </c>
      <c r="G1230">
        <v>1375.722168</v>
      </c>
      <c r="H1230">
        <v>1363.2753906</v>
      </c>
      <c r="I1230">
        <v>1287.5771483999999</v>
      </c>
      <c r="J1230">
        <v>1267.4265137</v>
      </c>
      <c r="K1230">
        <v>2200</v>
      </c>
      <c r="L1230">
        <v>0</v>
      </c>
      <c r="M1230">
        <v>0</v>
      </c>
      <c r="N1230">
        <v>2200</v>
      </c>
    </row>
    <row r="1231" spans="1:14" x14ac:dyDescent="0.25">
      <c r="A1231">
        <v>872.03673800000001</v>
      </c>
      <c r="B1231" s="1">
        <f>DATE(2012,9,19) + TIME(0,52,54)</f>
        <v>41171.036736111113</v>
      </c>
      <c r="C1231">
        <v>80</v>
      </c>
      <c r="D1231">
        <v>79.947578429999993</v>
      </c>
      <c r="E1231">
        <v>50</v>
      </c>
      <c r="F1231">
        <v>41.613971710000001</v>
      </c>
      <c r="G1231">
        <v>1375.6627197</v>
      </c>
      <c r="H1231">
        <v>1363.2226562000001</v>
      </c>
      <c r="I1231">
        <v>1287.5051269999999</v>
      </c>
      <c r="J1231">
        <v>1267.2954102000001</v>
      </c>
      <c r="K1231">
        <v>2200</v>
      </c>
      <c r="L1231">
        <v>0</v>
      </c>
      <c r="M1231">
        <v>0</v>
      </c>
      <c r="N1231">
        <v>2200</v>
      </c>
    </row>
    <row r="1232" spans="1:14" x14ac:dyDescent="0.25">
      <c r="A1232">
        <v>874.16510800000003</v>
      </c>
      <c r="B1232" s="1">
        <f>DATE(2012,9,21) + TIME(3,57,45)</f>
        <v>41173.16510416667</v>
      </c>
      <c r="C1232">
        <v>80</v>
      </c>
      <c r="D1232">
        <v>79.947631835999999</v>
      </c>
      <c r="E1232">
        <v>50</v>
      </c>
      <c r="F1232">
        <v>41.591308593999997</v>
      </c>
      <c r="G1232">
        <v>1375.6031493999999</v>
      </c>
      <c r="H1232">
        <v>1363.1697998</v>
      </c>
      <c r="I1232">
        <v>1287.4361572</v>
      </c>
      <c r="J1232">
        <v>1267.1694336</v>
      </c>
      <c r="K1232">
        <v>2200</v>
      </c>
      <c r="L1232">
        <v>0</v>
      </c>
      <c r="M1232">
        <v>0</v>
      </c>
      <c r="N1232">
        <v>2200</v>
      </c>
    </row>
    <row r="1233" spans="1:14" x14ac:dyDescent="0.25">
      <c r="A1233">
        <v>876.32173499999999</v>
      </c>
      <c r="B1233" s="1">
        <f>DATE(2012,9,23) + TIME(7,43,17)</f>
        <v>41175.32172453704</v>
      </c>
      <c r="C1233">
        <v>80</v>
      </c>
      <c r="D1233">
        <v>79.947692871000001</v>
      </c>
      <c r="E1233">
        <v>50</v>
      </c>
      <c r="F1233">
        <v>41.579784392999997</v>
      </c>
      <c r="G1233">
        <v>1375.543457</v>
      </c>
      <c r="H1233">
        <v>1363.1166992000001</v>
      </c>
      <c r="I1233">
        <v>1287.3703613</v>
      </c>
      <c r="J1233">
        <v>1267.0490723</v>
      </c>
      <c r="K1233">
        <v>2200</v>
      </c>
      <c r="L1233">
        <v>0</v>
      </c>
      <c r="M1233">
        <v>0</v>
      </c>
      <c r="N1233">
        <v>2200</v>
      </c>
    </row>
    <row r="1234" spans="1:14" x14ac:dyDescent="0.25">
      <c r="A1234">
        <v>878.51257899999996</v>
      </c>
      <c r="B1234" s="1">
        <f>DATE(2012,9,25) + TIME(12,18,6)</f>
        <v>41177.512569444443</v>
      </c>
      <c r="C1234">
        <v>80</v>
      </c>
      <c r="D1234">
        <v>79.947746276999993</v>
      </c>
      <c r="E1234">
        <v>50</v>
      </c>
      <c r="F1234">
        <v>41.580417633000003</v>
      </c>
      <c r="G1234">
        <v>1375.4833983999999</v>
      </c>
      <c r="H1234">
        <v>1363.0632324000001</v>
      </c>
      <c r="I1234">
        <v>1287.3077393000001</v>
      </c>
      <c r="J1234">
        <v>1266.9349365</v>
      </c>
      <c r="K1234">
        <v>2200</v>
      </c>
      <c r="L1234">
        <v>0</v>
      </c>
      <c r="M1234">
        <v>0</v>
      </c>
      <c r="N1234">
        <v>2200</v>
      </c>
    </row>
    <row r="1235" spans="1:14" x14ac:dyDescent="0.25">
      <c r="A1235">
        <v>880.74405200000001</v>
      </c>
      <c r="B1235" s="1">
        <f>DATE(2012,9,27) + TIME(17,51,26)</f>
        <v>41179.744050925925</v>
      </c>
      <c r="C1235">
        <v>80</v>
      </c>
      <c r="D1235">
        <v>79.947807311999995</v>
      </c>
      <c r="E1235">
        <v>50</v>
      </c>
      <c r="F1235">
        <v>41.594303130999997</v>
      </c>
      <c r="G1235">
        <v>1375.4229736</v>
      </c>
      <c r="H1235">
        <v>1363.0091553</v>
      </c>
      <c r="I1235">
        <v>1287.2485352000001</v>
      </c>
      <c r="J1235">
        <v>1266.8272704999999</v>
      </c>
      <c r="K1235">
        <v>2200</v>
      </c>
      <c r="L1235">
        <v>0</v>
      </c>
      <c r="M1235">
        <v>0</v>
      </c>
      <c r="N1235">
        <v>2200</v>
      </c>
    </row>
    <row r="1236" spans="1:14" x14ac:dyDescent="0.25">
      <c r="A1236">
        <v>881.86437000000001</v>
      </c>
      <c r="B1236" s="1">
        <f>DATE(2012,9,28) + TIME(20,44,41)</f>
        <v>41180.864363425928</v>
      </c>
      <c r="C1236">
        <v>80</v>
      </c>
      <c r="D1236">
        <v>79.947822571000003</v>
      </c>
      <c r="E1236">
        <v>50</v>
      </c>
      <c r="F1236">
        <v>41.616199493000003</v>
      </c>
      <c r="G1236">
        <v>1375.3618164</v>
      </c>
      <c r="H1236">
        <v>1362.9545897999999</v>
      </c>
      <c r="I1236">
        <v>1287.2003173999999</v>
      </c>
      <c r="J1236">
        <v>1266.7369385</v>
      </c>
      <c r="K1236">
        <v>2200</v>
      </c>
      <c r="L1236">
        <v>0</v>
      </c>
      <c r="M1236">
        <v>0</v>
      </c>
      <c r="N1236">
        <v>2200</v>
      </c>
    </row>
    <row r="1237" spans="1:14" x14ac:dyDescent="0.25">
      <c r="A1237">
        <v>884</v>
      </c>
      <c r="B1237" s="1">
        <f>DATE(2012,10,1) + TIME(0,0,0)</f>
        <v>41183</v>
      </c>
      <c r="C1237">
        <v>80</v>
      </c>
      <c r="D1237">
        <v>79.947891235</v>
      </c>
      <c r="E1237">
        <v>50</v>
      </c>
      <c r="F1237">
        <v>41.645740508999999</v>
      </c>
      <c r="G1237">
        <v>1375.3311768000001</v>
      </c>
      <c r="H1237">
        <v>1362.9270019999999</v>
      </c>
      <c r="I1237">
        <v>1287.1639404</v>
      </c>
      <c r="J1237">
        <v>1266.6762695</v>
      </c>
      <c r="K1237">
        <v>2200</v>
      </c>
      <c r="L1237">
        <v>0</v>
      </c>
      <c r="M1237">
        <v>0</v>
      </c>
      <c r="N1237">
        <v>2200</v>
      </c>
    </row>
    <row r="1238" spans="1:14" x14ac:dyDescent="0.25">
      <c r="A1238">
        <v>885.120317</v>
      </c>
      <c r="B1238" s="1">
        <f>DATE(2012,10,2) + TIME(2,53,15)</f>
        <v>41184.120312500003</v>
      </c>
      <c r="C1238">
        <v>80</v>
      </c>
      <c r="D1238">
        <v>79.947906493999994</v>
      </c>
      <c r="E1238">
        <v>50</v>
      </c>
      <c r="F1238">
        <v>41.682483673</v>
      </c>
      <c r="G1238">
        <v>1375.2735596</v>
      </c>
      <c r="H1238">
        <v>1362.8754882999999</v>
      </c>
      <c r="I1238">
        <v>1287.1262207</v>
      </c>
      <c r="J1238">
        <v>1266.6040039</v>
      </c>
      <c r="K1238">
        <v>2200</v>
      </c>
      <c r="L1238">
        <v>0</v>
      </c>
      <c r="M1238">
        <v>0</v>
      </c>
      <c r="N1238">
        <v>2200</v>
      </c>
    </row>
    <row r="1239" spans="1:14" x14ac:dyDescent="0.25">
      <c r="A1239">
        <v>886.240634</v>
      </c>
      <c r="B1239" s="1">
        <f>DATE(2012,10,3) + TIME(5,46,30)</f>
        <v>41185.240624999999</v>
      </c>
      <c r="C1239">
        <v>80</v>
      </c>
      <c r="D1239">
        <v>79.947937011999997</v>
      </c>
      <c r="E1239">
        <v>50</v>
      </c>
      <c r="F1239">
        <v>41.718475341999998</v>
      </c>
      <c r="G1239">
        <v>1375.2430420000001</v>
      </c>
      <c r="H1239">
        <v>1362.8480225000001</v>
      </c>
      <c r="I1239">
        <v>1287.1000977000001</v>
      </c>
      <c r="J1239">
        <v>1266.5601807</v>
      </c>
      <c r="K1239">
        <v>2200</v>
      </c>
      <c r="L1239">
        <v>0</v>
      </c>
      <c r="M1239">
        <v>0</v>
      </c>
      <c r="N1239">
        <v>2200</v>
      </c>
    </row>
    <row r="1240" spans="1:14" x14ac:dyDescent="0.25">
      <c r="A1240">
        <v>887.360952</v>
      </c>
      <c r="B1240" s="1">
        <f>DATE(2012,10,4) + TIME(8,39,46)</f>
        <v>41186.360949074071</v>
      </c>
      <c r="C1240">
        <v>80</v>
      </c>
      <c r="D1240">
        <v>79.947967528999996</v>
      </c>
      <c r="E1240">
        <v>50</v>
      </c>
      <c r="F1240">
        <v>41.756195067999997</v>
      </c>
      <c r="G1240">
        <v>1375.2131348</v>
      </c>
      <c r="H1240">
        <v>1362.8211670000001</v>
      </c>
      <c r="I1240">
        <v>1287.0773925999999</v>
      </c>
      <c r="J1240">
        <v>1266.5216064000001</v>
      </c>
      <c r="K1240">
        <v>2200</v>
      </c>
      <c r="L1240">
        <v>0</v>
      </c>
      <c r="M1240">
        <v>0</v>
      </c>
      <c r="N1240">
        <v>2200</v>
      </c>
    </row>
    <row r="1241" spans="1:14" x14ac:dyDescent="0.25">
      <c r="A1241">
        <v>889.601586</v>
      </c>
      <c r="B1241" s="1">
        <f>DATE(2012,10,6) + TIME(14,26,17)</f>
        <v>41188.601585648146</v>
      </c>
      <c r="C1241">
        <v>80</v>
      </c>
      <c r="D1241">
        <v>79.948036193999997</v>
      </c>
      <c r="E1241">
        <v>50</v>
      </c>
      <c r="F1241">
        <v>41.808383941999999</v>
      </c>
      <c r="G1241">
        <v>1375.1834716999999</v>
      </c>
      <c r="H1241">
        <v>1362.7944336</v>
      </c>
      <c r="I1241">
        <v>1287.0512695</v>
      </c>
      <c r="J1241">
        <v>1266.4818115</v>
      </c>
      <c r="K1241">
        <v>2200</v>
      </c>
      <c r="L1241">
        <v>0</v>
      </c>
      <c r="M1241">
        <v>0</v>
      </c>
      <c r="N1241">
        <v>2200</v>
      </c>
    </row>
    <row r="1242" spans="1:14" x14ac:dyDescent="0.25">
      <c r="A1242">
        <v>891.84572200000002</v>
      </c>
      <c r="B1242" s="1">
        <f>DATE(2012,10,8) + TIME(20,17,50)</f>
        <v>41190.845717592594</v>
      </c>
      <c r="C1242">
        <v>80</v>
      </c>
      <c r="D1242">
        <v>79.948097228999998</v>
      </c>
      <c r="E1242">
        <v>50</v>
      </c>
      <c r="F1242">
        <v>41.889957428000002</v>
      </c>
      <c r="G1242">
        <v>1375.1242675999999</v>
      </c>
      <c r="H1242">
        <v>1362.7413329999999</v>
      </c>
      <c r="I1242">
        <v>1287.0178223</v>
      </c>
      <c r="J1242">
        <v>1266.4230957</v>
      </c>
      <c r="K1242">
        <v>2200</v>
      </c>
      <c r="L1242">
        <v>0</v>
      </c>
      <c r="M1242">
        <v>0</v>
      </c>
      <c r="N1242">
        <v>2200</v>
      </c>
    </row>
    <row r="1243" spans="1:14" x14ac:dyDescent="0.25">
      <c r="A1243">
        <v>894.12921800000004</v>
      </c>
      <c r="B1243" s="1">
        <f>DATE(2012,10,11) + TIME(3,6,4)</f>
        <v>41193.129212962966</v>
      </c>
      <c r="C1243">
        <v>80</v>
      </c>
      <c r="D1243">
        <v>79.948158264</v>
      </c>
      <c r="E1243">
        <v>50</v>
      </c>
      <c r="F1243">
        <v>41.991115569999998</v>
      </c>
      <c r="G1243">
        <v>1375.0655518000001</v>
      </c>
      <c r="H1243">
        <v>1362.6884766000001</v>
      </c>
      <c r="I1243">
        <v>1286.9858397999999</v>
      </c>
      <c r="J1243">
        <v>1266.3707274999999</v>
      </c>
      <c r="K1243">
        <v>2200</v>
      </c>
      <c r="L1243">
        <v>0</v>
      </c>
      <c r="M1243">
        <v>0</v>
      </c>
      <c r="N1243">
        <v>2200</v>
      </c>
    </row>
    <row r="1244" spans="1:14" x14ac:dyDescent="0.25">
      <c r="A1244">
        <v>896.45766100000003</v>
      </c>
      <c r="B1244" s="1">
        <f>DATE(2012,10,13) + TIME(10,59,1)</f>
        <v>41195.457650462966</v>
      </c>
      <c r="C1244">
        <v>80</v>
      </c>
      <c r="D1244">
        <v>79.948219299000002</v>
      </c>
      <c r="E1244">
        <v>50</v>
      </c>
      <c r="F1244">
        <v>42.109775542999998</v>
      </c>
      <c r="G1244">
        <v>1375.0063477000001</v>
      </c>
      <c r="H1244">
        <v>1362.6351318</v>
      </c>
      <c r="I1244">
        <v>1286.9569091999999</v>
      </c>
      <c r="J1244">
        <v>1266.3262939000001</v>
      </c>
      <c r="K1244">
        <v>2200</v>
      </c>
      <c r="L1244">
        <v>0</v>
      </c>
      <c r="M1244">
        <v>0</v>
      </c>
      <c r="N1244">
        <v>2200</v>
      </c>
    </row>
    <row r="1245" spans="1:14" x14ac:dyDescent="0.25">
      <c r="A1245">
        <v>898.83777499999997</v>
      </c>
      <c r="B1245" s="1">
        <f>DATE(2012,10,15) + TIME(20,6,23)</f>
        <v>41197.837766203702</v>
      </c>
      <c r="C1245">
        <v>80</v>
      </c>
      <c r="D1245">
        <v>79.948280334000003</v>
      </c>
      <c r="E1245">
        <v>50</v>
      </c>
      <c r="F1245">
        <v>42.245632172000001</v>
      </c>
      <c r="G1245">
        <v>1374.9465332</v>
      </c>
      <c r="H1245">
        <v>1362.5812988</v>
      </c>
      <c r="I1245">
        <v>1286.9316406</v>
      </c>
      <c r="J1245">
        <v>1266.2905272999999</v>
      </c>
      <c r="K1245">
        <v>2200</v>
      </c>
      <c r="L1245">
        <v>0</v>
      </c>
      <c r="M1245">
        <v>0</v>
      </c>
      <c r="N1245">
        <v>2200</v>
      </c>
    </row>
    <row r="1246" spans="1:14" x14ac:dyDescent="0.25">
      <c r="A1246">
        <v>901.27708500000006</v>
      </c>
      <c r="B1246" s="1">
        <f>DATE(2012,10,18) + TIME(6,39,0)</f>
        <v>41200.277083333334</v>
      </c>
      <c r="C1246">
        <v>80</v>
      </c>
      <c r="D1246">
        <v>79.948348999000004</v>
      </c>
      <c r="E1246">
        <v>50</v>
      </c>
      <c r="F1246">
        <v>42.398880005000002</v>
      </c>
      <c r="G1246">
        <v>1374.8862305</v>
      </c>
      <c r="H1246">
        <v>1362.5267334</v>
      </c>
      <c r="I1246">
        <v>1286.9102783000001</v>
      </c>
      <c r="J1246">
        <v>1266.2635498</v>
      </c>
      <c r="K1246">
        <v>2200</v>
      </c>
      <c r="L1246">
        <v>0</v>
      </c>
      <c r="M1246">
        <v>0</v>
      </c>
      <c r="N1246">
        <v>2200</v>
      </c>
    </row>
    <row r="1247" spans="1:14" x14ac:dyDescent="0.25">
      <c r="A1247">
        <v>903.72498599999994</v>
      </c>
      <c r="B1247" s="1">
        <f>DATE(2012,10,20) + TIME(17,23,58)</f>
        <v>41202.724976851852</v>
      </c>
      <c r="C1247">
        <v>80</v>
      </c>
      <c r="D1247">
        <v>79.948410034000005</v>
      </c>
      <c r="E1247">
        <v>50</v>
      </c>
      <c r="F1247">
        <v>42.568725585999999</v>
      </c>
      <c r="G1247">
        <v>1374.8250731999999</v>
      </c>
      <c r="H1247">
        <v>1362.4715576000001</v>
      </c>
      <c r="I1247">
        <v>1286.8929443</v>
      </c>
      <c r="J1247">
        <v>1266.2457274999999</v>
      </c>
      <c r="K1247">
        <v>2200</v>
      </c>
      <c r="L1247">
        <v>0</v>
      </c>
      <c r="M1247">
        <v>0</v>
      </c>
      <c r="N1247">
        <v>2200</v>
      </c>
    </row>
    <row r="1248" spans="1:14" x14ac:dyDescent="0.25">
      <c r="A1248">
        <v>906.17506700000001</v>
      </c>
      <c r="B1248" s="1">
        <f>DATE(2012,10,23) + TIME(4,12,5)</f>
        <v>41205.175057870372</v>
      </c>
      <c r="C1248">
        <v>80</v>
      </c>
      <c r="D1248">
        <v>79.948478699000006</v>
      </c>
      <c r="E1248">
        <v>50</v>
      </c>
      <c r="F1248">
        <v>42.752452849999997</v>
      </c>
      <c r="G1248">
        <v>1374.7645264</v>
      </c>
      <c r="H1248">
        <v>1362.4168701000001</v>
      </c>
      <c r="I1248">
        <v>1286.8796387</v>
      </c>
      <c r="J1248">
        <v>1266.2371826000001</v>
      </c>
      <c r="K1248">
        <v>2200</v>
      </c>
      <c r="L1248">
        <v>0</v>
      </c>
      <c r="M1248">
        <v>0</v>
      </c>
      <c r="N1248">
        <v>2200</v>
      </c>
    </row>
    <row r="1249" spans="1:14" x14ac:dyDescent="0.25">
      <c r="A1249">
        <v>908.64326500000004</v>
      </c>
      <c r="B1249" s="1">
        <f>DATE(2012,10,25) + TIME(15,26,18)</f>
        <v>41207.643263888887</v>
      </c>
      <c r="C1249">
        <v>80</v>
      </c>
      <c r="D1249">
        <v>79.948539733999993</v>
      </c>
      <c r="E1249">
        <v>50</v>
      </c>
      <c r="F1249">
        <v>42.948112488</v>
      </c>
      <c r="G1249">
        <v>1374.7047118999999</v>
      </c>
      <c r="H1249">
        <v>1362.362793</v>
      </c>
      <c r="I1249">
        <v>1286.8702393000001</v>
      </c>
      <c r="J1249">
        <v>1266.2374268000001</v>
      </c>
      <c r="K1249">
        <v>2200</v>
      </c>
      <c r="L1249">
        <v>0</v>
      </c>
      <c r="M1249">
        <v>0</v>
      </c>
      <c r="N1249">
        <v>2200</v>
      </c>
    </row>
    <row r="1250" spans="1:14" x14ac:dyDescent="0.25">
      <c r="A1250">
        <v>911.13738899999998</v>
      </c>
      <c r="B1250" s="1">
        <f>DATE(2012,10,28) + TIME(3,17,50)</f>
        <v>41210.137384259258</v>
      </c>
      <c r="C1250">
        <v>80</v>
      </c>
      <c r="D1250">
        <v>79.948608398000005</v>
      </c>
      <c r="E1250">
        <v>50</v>
      </c>
      <c r="F1250">
        <v>43.154930114999999</v>
      </c>
      <c r="G1250">
        <v>1374.6453856999999</v>
      </c>
      <c r="H1250">
        <v>1362.309082</v>
      </c>
      <c r="I1250">
        <v>1286.8643798999999</v>
      </c>
      <c r="J1250">
        <v>1266.2458495999999</v>
      </c>
      <c r="K1250">
        <v>2200</v>
      </c>
      <c r="L1250">
        <v>0</v>
      </c>
      <c r="M1250">
        <v>0</v>
      </c>
      <c r="N1250">
        <v>2200</v>
      </c>
    </row>
    <row r="1251" spans="1:14" x14ac:dyDescent="0.25">
      <c r="A1251">
        <v>913.67926899999998</v>
      </c>
      <c r="B1251" s="1">
        <f>DATE(2012,10,30) + TIME(16,18,8)</f>
        <v>41212.679259259261</v>
      </c>
      <c r="C1251">
        <v>80</v>
      </c>
      <c r="D1251">
        <v>79.948677063000005</v>
      </c>
      <c r="E1251">
        <v>50</v>
      </c>
      <c r="F1251">
        <v>43.372406005999999</v>
      </c>
      <c r="G1251">
        <v>1374.5863036999999</v>
      </c>
      <c r="H1251">
        <v>1362.2554932</v>
      </c>
      <c r="I1251">
        <v>1286.8618164</v>
      </c>
      <c r="J1251">
        <v>1266.2615966999999</v>
      </c>
      <c r="K1251">
        <v>2200</v>
      </c>
      <c r="L1251">
        <v>0</v>
      </c>
      <c r="M1251">
        <v>0</v>
      </c>
      <c r="N1251">
        <v>2200</v>
      </c>
    </row>
    <row r="1252" spans="1:14" x14ac:dyDescent="0.25">
      <c r="A1252">
        <v>915</v>
      </c>
      <c r="B1252" s="1">
        <f>DATE(2012,11,1) + TIME(0,0,0)</f>
        <v>41214</v>
      </c>
      <c r="C1252">
        <v>80</v>
      </c>
      <c r="D1252">
        <v>79.948699950999995</v>
      </c>
      <c r="E1252">
        <v>50</v>
      </c>
      <c r="F1252">
        <v>43.555812836000001</v>
      </c>
      <c r="G1252">
        <v>1374.5272216999999</v>
      </c>
      <c r="H1252">
        <v>1362.2020264</v>
      </c>
      <c r="I1252">
        <v>1286.8712158000001</v>
      </c>
      <c r="J1252">
        <v>1266.2829589999999</v>
      </c>
      <c r="K1252">
        <v>2200</v>
      </c>
      <c r="L1252">
        <v>0</v>
      </c>
      <c r="M1252">
        <v>0</v>
      </c>
      <c r="N1252">
        <v>2200</v>
      </c>
    </row>
    <row r="1253" spans="1:14" x14ac:dyDescent="0.25">
      <c r="A1253">
        <v>915.000001</v>
      </c>
      <c r="B1253" s="1">
        <f>DATE(2012,11,1) + TIME(0,0,0)</f>
        <v>41214</v>
      </c>
      <c r="C1253">
        <v>80</v>
      </c>
      <c r="D1253">
        <v>79.948585510000001</v>
      </c>
      <c r="E1253">
        <v>50</v>
      </c>
      <c r="F1253">
        <v>43.555923462000003</v>
      </c>
      <c r="G1253">
        <v>1361.402832</v>
      </c>
      <c r="H1253">
        <v>1350.5230713000001</v>
      </c>
      <c r="I1253">
        <v>1308.3474120999999</v>
      </c>
      <c r="J1253">
        <v>1287.7170410000001</v>
      </c>
      <c r="K1253">
        <v>0</v>
      </c>
      <c r="L1253">
        <v>2200</v>
      </c>
      <c r="M1253">
        <v>2200</v>
      </c>
      <c r="N1253">
        <v>0</v>
      </c>
    </row>
    <row r="1254" spans="1:14" x14ac:dyDescent="0.25">
      <c r="A1254">
        <v>915.00000399999999</v>
      </c>
      <c r="B1254" s="1">
        <f>DATE(2012,11,1) + TIME(0,0,0)</f>
        <v>41214</v>
      </c>
      <c r="C1254">
        <v>80</v>
      </c>
      <c r="D1254">
        <v>79.948303222999996</v>
      </c>
      <c r="E1254">
        <v>50</v>
      </c>
      <c r="F1254">
        <v>43.556224823000001</v>
      </c>
      <c r="G1254">
        <v>1359.3840332</v>
      </c>
      <c r="H1254">
        <v>1348.5035399999999</v>
      </c>
      <c r="I1254">
        <v>1310.5457764</v>
      </c>
      <c r="J1254">
        <v>1289.9997559000001</v>
      </c>
      <c r="K1254">
        <v>0</v>
      </c>
      <c r="L1254">
        <v>2200</v>
      </c>
      <c r="M1254">
        <v>2200</v>
      </c>
      <c r="N1254">
        <v>0</v>
      </c>
    </row>
    <row r="1255" spans="1:14" x14ac:dyDescent="0.25">
      <c r="A1255">
        <v>915.00001299999997</v>
      </c>
      <c r="B1255" s="1">
        <f>DATE(2012,11,1) + TIME(0,0,1)</f>
        <v>41214.000011574077</v>
      </c>
      <c r="C1255">
        <v>80</v>
      </c>
      <c r="D1255">
        <v>79.947723389000004</v>
      </c>
      <c r="E1255">
        <v>50</v>
      </c>
      <c r="F1255">
        <v>43.556934357000003</v>
      </c>
      <c r="G1255">
        <v>1355.3083495999999</v>
      </c>
      <c r="H1255">
        <v>1344.4273682</v>
      </c>
      <c r="I1255">
        <v>1315.651001</v>
      </c>
      <c r="J1255">
        <v>1295.2503661999999</v>
      </c>
      <c r="K1255">
        <v>0</v>
      </c>
      <c r="L1255">
        <v>2200</v>
      </c>
      <c r="M1255">
        <v>2200</v>
      </c>
      <c r="N1255">
        <v>0</v>
      </c>
    </row>
    <row r="1256" spans="1:14" x14ac:dyDescent="0.25">
      <c r="A1256">
        <v>915.00004000000001</v>
      </c>
      <c r="B1256" s="1">
        <f>DATE(2012,11,1) + TIME(0,0,3)</f>
        <v>41214.000034722223</v>
      </c>
      <c r="C1256">
        <v>80</v>
      </c>
      <c r="D1256">
        <v>79.946868895999998</v>
      </c>
      <c r="E1256">
        <v>50</v>
      </c>
      <c r="F1256">
        <v>43.558235168000003</v>
      </c>
      <c r="G1256">
        <v>1349.3533935999999</v>
      </c>
      <c r="H1256">
        <v>1338.4746094</v>
      </c>
      <c r="I1256">
        <v>1324.5969238</v>
      </c>
      <c r="J1256">
        <v>1304.3001709</v>
      </c>
      <c r="K1256">
        <v>0</v>
      </c>
      <c r="L1256">
        <v>2200</v>
      </c>
      <c r="M1256">
        <v>2200</v>
      </c>
      <c r="N1256">
        <v>0</v>
      </c>
    </row>
    <row r="1257" spans="1:14" x14ac:dyDescent="0.25">
      <c r="A1257">
        <v>915.00012100000004</v>
      </c>
      <c r="B1257" s="1">
        <f>DATE(2012,11,1) + TIME(0,0,10)</f>
        <v>41214.000115740739</v>
      </c>
      <c r="C1257">
        <v>80</v>
      </c>
      <c r="D1257">
        <v>79.945915221999996</v>
      </c>
      <c r="E1257">
        <v>50</v>
      </c>
      <c r="F1257">
        <v>43.560218810999999</v>
      </c>
      <c r="G1257">
        <v>1342.7254639</v>
      </c>
      <c r="H1257">
        <v>1331.8520507999999</v>
      </c>
      <c r="I1257">
        <v>1336.0115966999999</v>
      </c>
      <c r="J1257">
        <v>1315.7263184000001</v>
      </c>
      <c r="K1257">
        <v>0</v>
      </c>
      <c r="L1257">
        <v>2200</v>
      </c>
      <c r="M1257">
        <v>2200</v>
      </c>
      <c r="N1257">
        <v>0</v>
      </c>
    </row>
    <row r="1258" spans="1:14" x14ac:dyDescent="0.25">
      <c r="A1258">
        <v>915.00036399999999</v>
      </c>
      <c r="B1258" s="1">
        <f>DATE(2012,11,1) + TIME(0,0,31)</f>
        <v>41214.000358796293</v>
      </c>
      <c r="C1258">
        <v>80</v>
      </c>
      <c r="D1258">
        <v>79.944915770999998</v>
      </c>
      <c r="E1258">
        <v>50</v>
      </c>
      <c r="F1258">
        <v>43.563453674000002</v>
      </c>
      <c r="G1258">
        <v>1336.0592041</v>
      </c>
      <c r="H1258">
        <v>1325.1915283000001</v>
      </c>
      <c r="I1258">
        <v>1348.0759277</v>
      </c>
      <c r="J1258">
        <v>1327.7874756000001</v>
      </c>
      <c r="K1258">
        <v>0</v>
      </c>
      <c r="L1258">
        <v>2200</v>
      </c>
      <c r="M1258">
        <v>2200</v>
      </c>
      <c r="N1258">
        <v>0</v>
      </c>
    </row>
    <row r="1259" spans="1:14" x14ac:dyDescent="0.25">
      <c r="A1259">
        <v>915.00109299999997</v>
      </c>
      <c r="B1259" s="1">
        <f>DATE(2012,11,1) + TIME(0,1,34)</f>
        <v>41214.001087962963</v>
      </c>
      <c r="C1259">
        <v>80</v>
      </c>
      <c r="D1259">
        <v>79.943801879999995</v>
      </c>
      <c r="E1259">
        <v>50</v>
      </c>
      <c r="F1259">
        <v>43.570228577000002</v>
      </c>
      <c r="G1259">
        <v>1329.3316649999999</v>
      </c>
      <c r="H1259">
        <v>1318.4348144999999</v>
      </c>
      <c r="I1259">
        <v>1360.3825684000001</v>
      </c>
      <c r="J1259">
        <v>1340.083374</v>
      </c>
      <c r="K1259">
        <v>0</v>
      </c>
      <c r="L1259">
        <v>2200</v>
      </c>
      <c r="M1259">
        <v>2200</v>
      </c>
      <c r="N1259">
        <v>0</v>
      </c>
    </row>
    <row r="1260" spans="1:14" x14ac:dyDescent="0.25">
      <c r="A1260">
        <v>915.00328000000002</v>
      </c>
      <c r="B1260" s="1">
        <f>DATE(2012,11,1) + TIME(0,4,43)</f>
        <v>41214.003275462965</v>
      </c>
      <c r="C1260">
        <v>80</v>
      </c>
      <c r="D1260">
        <v>79.942321777000004</v>
      </c>
      <c r="E1260">
        <v>50</v>
      </c>
      <c r="F1260">
        <v>43.587574005</v>
      </c>
      <c r="G1260">
        <v>1322.3240966999999</v>
      </c>
      <c r="H1260">
        <v>1311.3031006000001</v>
      </c>
      <c r="I1260">
        <v>1372.831543</v>
      </c>
      <c r="J1260">
        <v>1352.4639893000001</v>
      </c>
      <c r="K1260">
        <v>0</v>
      </c>
      <c r="L1260">
        <v>2200</v>
      </c>
      <c r="M1260">
        <v>2200</v>
      </c>
      <c r="N1260">
        <v>0</v>
      </c>
    </row>
    <row r="1261" spans="1:14" x14ac:dyDescent="0.25">
      <c r="A1261">
        <v>915.00984100000005</v>
      </c>
      <c r="B1261" s="1">
        <f>DATE(2012,11,1) + TIME(0,14,10)</f>
        <v>41214.009837962964</v>
      </c>
      <c r="C1261">
        <v>80</v>
      </c>
      <c r="D1261">
        <v>79.939872742000006</v>
      </c>
      <c r="E1261">
        <v>50</v>
      </c>
      <c r="F1261">
        <v>43.636394500999998</v>
      </c>
      <c r="G1261">
        <v>1315.3143310999999</v>
      </c>
      <c r="H1261">
        <v>1304.1477050999999</v>
      </c>
      <c r="I1261">
        <v>1384.1566161999999</v>
      </c>
      <c r="J1261">
        <v>1363.6679687999999</v>
      </c>
      <c r="K1261">
        <v>0</v>
      </c>
      <c r="L1261">
        <v>2200</v>
      </c>
      <c r="M1261">
        <v>2200</v>
      </c>
      <c r="N1261">
        <v>0</v>
      </c>
    </row>
    <row r="1262" spans="1:14" x14ac:dyDescent="0.25">
      <c r="A1262">
        <v>915.02952400000004</v>
      </c>
      <c r="B1262" s="1">
        <f>DATE(2012,11,1) + TIME(0,42,30)</f>
        <v>41214.029513888891</v>
      </c>
      <c r="C1262">
        <v>80</v>
      </c>
      <c r="D1262">
        <v>79.934753418</v>
      </c>
      <c r="E1262">
        <v>50</v>
      </c>
      <c r="F1262">
        <v>43.777351379000002</v>
      </c>
      <c r="G1262">
        <v>1309.682251</v>
      </c>
      <c r="H1262">
        <v>1298.4467772999999</v>
      </c>
      <c r="I1262">
        <v>1391.9284668</v>
      </c>
      <c r="J1262">
        <v>1371.3688964999999</v>
      </c>
      <c r="K1262">
        <v>0</v>
      </c>
      <c r="L1262">
        <v>2200</v>
      </c>
      <c r="M1262">
        <v>2200</v>
      </c>
      <c r="N1262">
        <v>0</v>
      </c>
    </row>
    <row r="1263" spans="1:14" x14ac:dyDescent="0.25">
      <c r="A1263">
        <v>915.08804299999997</v>
      </c>
      <c r="B1263" s="1">
        <f>DATE(2012,11,1) + TIME(2,6,46)</f>
        <v>41214.08803240741</v>
      </c>
      <c r="C1263">
        <v>80</v>
      </c>
      <c r="D1263">
        <v>79.922073363999999</v>
      </c>
      <c r="E1263">
        <v>50</v>
      </c>
      <c r="F1263">
        <v>44.168613434000001</v>
      </c>
      <c r="G1263">
        <v>1306.7949219</v>
      </c>
      <c r="H1263">
        <v>1295.5408935999999</v>
      </c>
      <c r="I1263">
        <v>1394.8754882999999</v>
      </c>
      <c r="J1263">
        <v>1374.4086914</v>
      </c>
      <c r="K1263">
        <v>0</v>
      </c>
      <c r="L1263">
        <v>2200</v>
      </c>
      <c r="M1263">
        <v>2200</v>
      </c>
      <c r="N1263">
        <v>0</v>
      </c>
    </row>
    <row r="1264" spans="1:14" x14ac:dyDescent="0.25">
      <c r="A1264">
        <v>915.14952100000005</v>
      </c>
      <c r="B1264" s="1">
        <f>DATE(2012,11,1) + TIME(3,35,18)</f>
        <v>41214.149513888886</v>
      </c>
      <c r="C1264">
        <v>80</v>
      </c>
      <c r="D1264">
        <v>79.909332274999997</v>
      </c>
      <c r="E1264">
        <v>50</v>
      </c>
      <c r="F1264">
        <v>44.552410125999998</v>
      </c>
      <c r="G1264">
        <v>1306.15625</v>
      </c>
      <c r="H1264">
        <v>1294.8989257999999</v>
      </c>
      <c r="I1264">
        <v>1395.1251221</v>
      </c>
      <c r="J1264">
        <v>1374.7847899999999</v>
      </c>
      <c r="K1264">
        <v>0</v>
      </c>
      <c r="L1264">
        <v>2200</v>
      </c>
      <c r="M1264">
        <v>2200</v>
      </c>
      <c r="N1264">
        <v>0</v>
      </c>
    </row>
    <row r="1265" spans="1:14" x14ac:dyDescent="0.25">
      <c r="A1265">
        <v>915.21393499999999</v>
      </c>
      <c r="B1265" s="1">
        <f>DATE(2012,11,1) + TIME(5,8,3)</f>
        <v>41214.213923611111</v>
      </c>
      <c r="C1265">
        <v>80</v>
      </c>
      <c r="D1265">
        <v>79.896308899000005</v>
      </c>
      <c r="E1265">
        <v>50</v>
      </c>
      <c r="F1265">
        <v>44.926792145</v>
      </c>
      <c r="G1265">
        <v>1305.9959716999999</v>
      </c>
      <c r="H1265">
        <v>1294.7376709</v>
      </c>
      <c r="I1265">
        <v>1394.9434814000001</v>
      </c>
      <c r="J1265">
        <v>1374.7331543</v>
      </c>
      <c r="K1265">
        <v>0</v>
      </c>
      <c r="L1265">
        <v>2200</v>
      </c>
      <c r="M1265">
        <v>2200</v>
      </c>
      <c r="N1265">
        <v>0</v>
      </c>
    </row>
    <row r="1266" spans="1:14" x14ac:dyDescent="0.25">
      <c r="A1266">
        <v>915.28156300000001</v>
      </c>
      <c r="B1266" s="1">
        <f>DATE(2012,11,1) + TIME(6,45,27)</f>
        <v>41214.2815625</v>
      </c>
      <c r="C1266">
        <v>80</v>
      </c>
      <c r="D1266">
        <v>79.882934570000003</v>
      </c>
      <c r="E1266">
        <v>50</v>
      </c>
      <c r="F1266">
        <v>45.291465758999998</v>
      </c>
      <c r="G1266">
        <v>1305.9501952999999</v>
      </c>
      <c r="H1266">
        <v>1294.6912841999999</v>
      </c>
      <c r="I1266">
        <v>1394.706543</v>
      </c>
      <c r="J1266">
        <v>1374.6229248</v>
      </c>
      <c r="K1266">
        <v>0</v>
      </c>
      <c r="L1266">
        <v>2200</v>
      </c>
      <c r="M1266">
        <v>2200</v>
      </c>
      <c r="N1266">
        <v>0</v>
      </c>
    </row>
    <row r="1267" spans="1:14" x14ac:dyDescent="0.25">
      <c r="A1267">
        <v>915.35278100000005</v>
      </c>
      <c r="B1267" s="1">
        <f>DATE(2012,11,1) + TIME(8,28,0)</f>
        <v>41214.352777777778</v>
      </c>
      <c r="C1267">
        <v>80</v>
      </c>
      <c r="D1267">
        <v>79.869140625</v>
      </c>
      <c r="E1267">
        <v>50</v>
      </c>
      <c r="F1267">
        <v>45.646408080999997</v>
      </c>
      <c r="G1267">
        <v>1305.9344481999999</v>
      </c>
      <c r="H1267">
        <v>1294.6750488</v>
      </c>
      <c r="I1267">
        <v>1394.4726562000001</v>
      </c>
      <c r="J1267">
        <v>1374.5115966999999</v>
      </c>
      <c r="K1267">
        <v>0</v>
      </c>
      <c r="L1267">
        <v>2200</v>
      </c>
      <c r="M1267">
        <v>2200</v>
      </c>
      <c r="N1267">
        <v>0</v>
      </c>
    </row>
    <row r="1268" spans="1:14" x14ac:dyDescent="0.25">
      <c r="A1268">
        <v>915.42804599999999</v>
      </c>
      <c r="B1268" s="1">
        <f>DATE(2012,11,1) + TIME(10,16,23)</f>
        <v>41214.428043981483</v>
      </c>
      <c r="C1268">
        <v>80</v>
      </c>
      <c r="D1268">
        <v>79.854873656999999</v>
      </c>
      <c r="E1268">
        <v>50</v>
      </c>
      <c r="F1268">
        <v>45.991588593000003</v>
      </c>
      <c r="G1268">
        <v>1305.9273682</v>
      </c>
      <c r="H1268">
        <v>1294.6673584</v>
      </c>
      <c r="I1268">
        <v>1394.2476807</v>
      </c>
      <c r="J1268">
        <v>1374.4049072</v>
      </c>
      <c r="K1268">
        <v>0</v>
      </c>
      <c r="L1268">
        <v>2200</v>
      </c>
      <c r="M1268">
        <v>2200</v>
      </c>
      <c r="N1268">
        <v>0</v>
      </c>
    </row>
    <row r="1269" spans="1:14" x14ac:dyDescent="0.25">
      <c r="A1269">
        <v>915.50790400000005</v>
      </c>
      <c r="B1269" s="1">
        <f>DATE(2012,11,1) + TIME(12,11,22)</f>
        <v>41214.507893518516</v>
      </c>
      <c r="C1269">
        <v>80</v>
      </c>
      <c r="D1269">
        <v>79.840057372999993</v>
      </c>
      <c r="E1269">
        <v>50</v>
      </c>
      <c r="F1269">
        <v>46.326950072999999</v>
      </c>
      <c r="G1269">
        <v>1305.9227295000001</v>
      </c>
      <c r="H1269">
        <v>1294.6622314000001</v>
      </c>
      <c r="I1269">
        <v>1394.0302733999999</v>
      </c>
      <c r="J1269">
        <v>1374.3016356999999</v>
      </c>
      <c r="K1269">
        <v>0</v>
      </c>
      <c r="L1269">
        <v>2200</v>
      </c>
      <c r="M1269">
        <v>2200</v>
      </c>
      <c r="N1269">
        <v>0</v>
      </c>
    </row>
    <row r="1270" spans="1:14" x14ac:dyDescent="0.25">
      <c r="A1270">
        <v>915.59301400000004</v>
      </c>
      <c r="B1270" s="1">
        <f>DATE(2012,11,1) + TIME(14,13,56)</f>
        <v>41214.593009259261</v>
      </c>
      <c r="C1270">
        <v>80</v>
      </c>
      <c r="D1270">
        <v>79.824607849000003</v>
      </c>
      <c r="E1270">
        <v>50</v>
      </c>
      <c r="F1270">
        <v>46.652400970000002</v>
      </c>
      <c r="G1270">
        <v>1305.9188231999999</v>
      </c>
      <c r="H1270">
        <v>1294.6577147999999</v>
      </c>
      <c r="I1270">
        <v>1393.8194579999999</v>
      </c>
      <c r="J1270">
        <v>1374.2008057</v>
      </c>
      <c r="K1270">
        <v>0</v>
      </c>
      <c r="L1270">
        <v>2200</v>
      </c>
      <c r="M1270">
        <v>2200</v>
      </c>
      <c r="N1270">
        <v>0</v>
      </c>
    </row>
    <row r="1271" spans="1:14" x14ac:dyDescent="0.25">
      <c r="A1271">
        <v>915.68417699999998</v>
      </c>
      <c r="B1271" s="1">
        <f>DATE(2012,11,1) + TIME(16,25,12)</f>
        <v>41214.684166666666</v>
      </c>
      <c r="C1271">
        <v>80</v>
      </c>
      <c r="D1271">
        <v>79.808425903</v>
      </c>
      <c r="E1271">
        <v>50</v>
      </c>
      <c r="F1271">
        <v>46.967796325999998</v>
      </c>
      <c r="G1271">
        <v>1305.9149170000001</v>
      </c>
      <c r="H1271">
        <v>1294.6531981999999</v>
      </c>
      <c r="I1271">
        <v>1393.6145019999999</v>
      </c>
      <c r="J1271">
        <v>1374.1016846</v>
      </c>
      <c r="K1271">
        <v>0</v>
      </c>
      <c r="L1271">
        <v>2200</v>
      </c>
      <c r="M1271">
        <v>2200</v>
      </c>
      <c r="N1271">
        <v>0</v>
      </c>
    </row>
    <row r="1272" spans="1:14" x14ac:dyDescent="0.25">
      <c r="A1272">
        <v>915.78238599999997</v>
      </c>
      <c r="B1272" s="1">
        <f>DATE(2012,11,1) + TIME(18,46,38)</f>
        <v>41214.782384259262</v>
      </c>
      <c r="C1272">
        <v>80</v>
      </c>
      <c r="D1272">
        <v>79.791381835999999</v>
      </c>
      <c r="E1272">
        <v>50</v>
      </c>
      <c r="F1272">
        <v>47.272945403999998</v>
      </c>
      <c r="G1272">
        <v>1305.9107666</v>
      </c>
      <c r="H1272">
        <v>1294.6484375</v>
      </c>
      <c r="I1272">
        <v>1393.4147949000001</v>
      </c>
      <c r="J1272">
        <v>1374.0041504000001</v>
      </c>
      <c r="K1272">
        <v>0</v>
      </c>
      <c r="L1272">
        <v>2200</v>
      </c>
      <c r="M1272">
        <v>2200</v>
      </c>
      <c r="N1272">
        <v>0</v>
      </c>
    </row>
    <row r="1273" spans="1:14" x14ac:dyDescent="0.25">
      <c r="A1273">
        <v>915.88888599999996</v>
      </c>
      <c r="B1273" s="1">
        <f>DATE(2012,11,1) + TIME(21,19,59)</f>
        <v>41214.888877314814</v>
      </c>
      <c r="C1273">
        <v>80</v>
      </c>
      <c r="D1273">
        <v>79.773345946999996</v>
      </c>
      <c r="E1273">
        <v>50</v>
      </c>
      <c r="F1273">
        <v>47.567577362000002</v>
      </c>
      <c r="G1273">
        <v>1305.9063721</v>
      </c>
      <c r="H1273">
        <v>1294.6434326000001</v>
      </c>
      <c r="I1273">
        <v>1393.2200928</v>
      </c>
      <c r="J1273">
        <v>1373.9075928</v>
      </c>
      <c r="K1273">
        <v>0</v>
      </c>
      <c r="L1273">
        <v>2200</v>
      </c>
      <c r="M1273">
        <v>2200</v>
      </c>
      <c r="N1273">
        <v>0</v>
      </c>
    </row>
    <row r="1274" spans="1:14" x14ac:dyDescent="0.25">
      <c r="A1274">
        <v>916.00524399999995</v>
      </c>
      <c r="B1274" s="1">
        <f>DATE(2012,11,2) + TIME(0,7,33)</f>
        <v>41215.005243055559</v>
      </c>
      <c r="C1274">
        <v>80</v>
      </c>
      <c r="D1274">
        <v>79.754112243999998</v>
      </c>
      <c r="E1274">
        <v>50</v>
      </c>
      <c r="F1274">
        <v>47.851295471</v>
      </c>
      <c r="G1274">
        <v>1305.9017334</v>
      </c>
      <c r="H1274">
        <v>1294.6379394999999</v>
      </c>
      <c r="I1274">
        <v>1393.0300293</v>
      </c>
      <c r="J1274">
        <v>1373.8120117000001</v>
      </c>
      <c r="K1274">
        <v>0</v>
      </c>
      <c r="L1274">
        <v>2200</v>
      </c>
      <c r="M1274">
        <v>2200</v>
      </c>
      <c r="N1274">
        <v>0</v>
      </c>
    </row>
    <row r="1275" spans="1:14" x14ac:dyDescent="0.25">
      <c r="A1275">
        <v>916.13354100000004</v>
      </c>
      <c r="B1275" s="1">
        <f>DATE(2012,11,2) + TIME(3,12,17)</f>
        <v>41215.133530092593</v>
      </c>
      <c r="C1275">
        <v>80</v>
      </c>
      <c r="D1275">
        <v>79.733444214000002</v>
      </c>
      <c r="E1275">
        <v>50</v>
      </c>
      <c r="F1275">
        <v>48.123687744000001</v>
      </c>
      <c r="G1275">
        <v>1305.8966064000001</v>
      </c>
      <c r="H1275">
        <v>1294.6319579999999</v>
      </c>
      <c r="I1275">
        <v>1392.8443603999999</v>
      </c>
      <c r="J1275">
        <v>1373.7169189000001</v>
      </c>
      <c r="K1275">
        <v>0</v>
      </c>
      <c r="L1275">
        <v>2200</v>
      </c>
      <c r="M1275">
        <v>2200</v>
      </c>
      <c r="N1275">
        <v>0</v>
      </c>
    </row>
    <row r="1276" spans="1:14" x14ac:dyDescent="0.25">
      <c r="A1276">
        <v>916.27654199999995</v>
      </c>
      <c r="B1276" s="1">
        <f>DATE(2012,11,2) + TIME(6,38,13)</f>
        <v>41215.276539351849</v>
      </c>
      <c r="C1276">
        <v>80</v>
      </c>
      <c r="D1276">
        <v>79.711029053000004</v>
      </c>
      <c r="E1276">
        <v>50</v>
      </c>
      <c r="F1276">
        <v>48.384185791</v>
      </c>
      <c r="G1276">
        <v>1305.8909911999999</v>
      </c>
      <c r="H1276">
        <v>1294.6254882999999</v>
      </c>
      <c r="I1276">
        <v>1392.6625977000001</v>
      </c>
      <c r="J1276">
        <v>1373.6220702999999</v>
      </c>
      <c r="K1276">
        <v>0</v>
      </c>
      <c r="L1276">
        <v>2200</v>
      </c>
      <c r="M1276">
        <v>2200</v>
      </c>
      <c r="N1276">
        <v>0</v>
      </c>
    </row>
    <row r="1277" spans="1:14" x14ac:dyDescent="0.25">
      <c r="A1277">
        <v>916.43803100000002</v>
      </c>
      <c r="B1277" s="1">
        <f>DATE(2012,11,2) + TIME(10,30,45)</f>
        <v>41215.438020833331</v>
      </c>
      <c r="C1277">
        <v>80</v>
      </c>
      <c r="D1277">
        <v>79.686439514</v>
      </c>
      <c r="E1277">
        <v>50</v>
      </c>
      <c r="F1277">
        <v>48.632038115999997</v>
      </c>
      <c r="G1277">
        <v>1305.8846435999999</v>
      </c>
      <c r="H1277">
        <v>1294.6182861</v>
      </c>
      <c r="I1277">
        <v>1392.4844971</v>
      </c>
      <c r="J1277">
        <v>1373.5270995999999</v>
      </c>
      <c r="K1277">
        <v>0</v>
      </c>
      <c r="L1277">
        <v>2200</v>
      </c>
      <c r="M1277">
        <v>2200</v>
      </c>
      <c r="N1277">
        <v>0</v>
      </c>
    </row>
    <row r="1278" spans="1:14" x14ac:dyDescent="0.25">
      <c r="A1278">
        <v>916.62337600000001</v>
      </c>
      <c r="B1278" s="1">
        <f>DATE(2012,11,2) + TIME(14,57,39)</f>
        <v>41215.623368055552</v>
      </c>
      <c r="C1278">
        <v>80</v>
      </c>
      <c r="D1278">
        <v>79.659095764</v>
      </c>
      <c r="E1278">
        <v>50</v>
      </c>
      <c r="F1278">
        <v>48.866264342999997</v>
      </c>
      <c r="G1278">
        <v>1305.8776855000001</v>
      </c>
      <c r="H1278">
        <v>1294.6102295000001</v>
      </c>
      <c r="I1278">
        <v>1392.3096923999999</v>
      </c>
      <c r="J1278">
        <v>1373.4313964999999</v>
      </c>
      <c r="K1278">
        <v>0</v>
      </c>
      <c r="L1278">
        <v>2200</v>
      </c>
      <c r="M1278">
        <v>2200</v>
      </c>
      <c r="N1278">
        <v>0</v>
      </c>
    </row>
    <row r="1279" spans="1:14" x14ac:dyDescent="0.25">
      <c r="A1279">
        <v>916.84050200000001</v>
      </c>
      <c r="B1279" s="1">
        <f>DATE(2012,11,2) + TIME(20,10,19)</f>
        <v>41215.840497685182</v>
      </c>
      <c r="C1279">
        <v>80</v>
      </c>
      <c r="D1279">
        <v>79.628181458</v>
      </c>
      <c r="E1279">
        <v>50</v>
      </c>
      <c r="F1279">
        <v>49.085575104</v>
      </c>
      <c r="G1279">
        <v>1305.869751</v>
      </c>
      <c r="H1279">
        <v>1294.6010742000001</v>
      </c>
      <c r="I1279">
        <v>1392.1374512</v>
      </c>
      <c r="J1279">
        <v>1373.3343506000001</v>
      </c>
      <c r="K1279">
        <v>0</v>
      </c>
      <c r="L1279">
        <v>2200</v>
      </c>
      <c r="M1279">
        <v>2200</v>
      </c>
      <c r="N1279">
        <v>0</v>
      </c>
    </row>
    <row r="1280" spans="1:14" x14ac:dyDescent="0.25">
      <c r="A1280">
        <v>917.07161499999995</v>
      </c>
      <c r="B1280" s="1">
        <f>DATE(2012,11,3) + TIME(1,43,7)</f>
        <v>41216.071608796294</v>
      </c>
      <c r="C1280">
        <v>80</v>
      </c>
      <c r="D1280">
        <v>79.595764160000002</v>
      </c>
      <c r="E1280">
        <v>50</v>
      </c>
      <c r="F1280">
        <v>49.269798279</v>
      </c>
      <c r="G1280">
        <v>1305.8604736</v>
      </c>
      <c r="H1280">
        <v>1294.5905762</v>
      </c>
      <c r="I1280">
        <v>1391.980957</v>
      </c>
      <c r="J1280">
        <v>1373.2418213000001</v>
      </c>
      <c r="K1280">
        <v>0</v>
      </c>
      <c r="L1280">
        <v>2200</v>
      </c>
      <c r="M1280">
        <v>2200</v>
      </c>
      <c r="N1280">
        <v>0</v>
      </c>
    </row>
    <row r="1281" spans="1:14" x14ac:dyDescent="0.25">
      <c r="A1281">
        <v>917.30545800000004</v>
      </c>
      <c r="B1281" s="1">
        <f>DATE(2012,11,3) + TIME(7,19,51)</f>
        <v>41216.305451388886</v>
      </c>
      <c r="C1281">
        <v>80</v>
      </c>
      <c r="D1281">
        <v>79.563079834000007</v>
      </c>
      <c r="E1281">
        <v>50</v>
      </c>
      <c r="F1281">
        <v>49.416564940999997</v>
      </c>
      <c r="G1281">
        <v>1305.8504639</v>
      </c>
      <c r="H1281">
        <v>1294.5794678</v>
      </c>
      <c r="I1281">
        <v>1391.8442382999999</v>
      </c>
      <c r="J1281">
        <v>1373.1575928</v>
      </c>
      <c r="K1281">
        <v>0</v>
      </c>
      <c r="L1281">
        <v>2200</v>
      </c>
      <c r="M1281">
        <v>2200</v>
      </c>
      <c r="N1281">
        <v>0</v>
      </c>
    </row>
    <row r="1282" spans="1:14" x14ac:dyDescent="0.25">
      <c r="A1282">
        <v>917.54573900000003</v>
      </c>
      <c r="B1282" s="1">
        <f>DATE(2012,11,3) + TIME(13,5,51)</f>
        <v>41216.545729166668</v>
      </c>
      <c r="C1282">
        <v>80</v>
      </c>
      <c r="D1282">
        <v>79.529754639000004</v>
      </c>
      <c r="E1282">
        <v>50</v>
      </c>
      <c r="F1282">
        <v>49.534645081000001</v>
      </c>
      <c r="G1282">
        <v>1305.8404541</v>
      </c>
      <c r="H1282">
        <v>1294.5682373</v>
      </c>
      <c r="I1282">
        <v>1391.723999</v>
      </c>
      <c r="J1282">
        <v>1373.0809326000001</v>
      </c>
      <c r="K1282">
        <v>0</v>
      </c>
      <c r="L1282">
        <v>2200</v>
      </c>
      <c r="M1282">
        <v>2200</v>
      </c>
      <c r="N1282">
        <v>0</v>
      </c>
    </row>
    <row r="1283" spans="1:14" x14ac:dyDescent="0.25">
      <c r="A1283">
        <v>917.79485999999997</v>
      </c>
      <c r="B1283" s="1">
        <f>DATE(2012,11,3) + TIME(19,4,35)</f>
        <v>41216.794849537036</v>
      </c>
      <c r="C1283">
        <v>80</v>
      </c>
      <c r="D1283">
        <v>79.495552063000005</v>
      </c>
      <c r="E1283">
        <v>50</v>
      </c>
      <c r="F1283">
        <v>49.629768372000001</v>
      </c>
      <c r="G1283">
        <v>1305.8303223</v>
      </c>
      <c r="H1283">
        <v>1294.5567627</v>
      </c>
      <c r="I1283">
        <v>1391.6164550999999</v>
      </c>
      <c r="J1283">
        <v>1373.0101318</v>
      </c>
      <c r="K1283">
        <v>0</v>
      </c>
      <c r="L1283">
        <v>2200</v>
      </c>
      <c r="M1283">
        <v>2200</v>
      </c>
      <c r="N1283">
        <v>0</v>
      </c>
    </row>
    <row r="1284" spans="1:14" x14ac:dyDescent="0.25">
      <c r="A1284">
        <v>918.05546600000002</v>
      </c>
      <c r="B1284" s="1">
        <f>DATE(2012,11,4) + TIME(1,19,52)</f>
        <v>41217.055462962962</v>
      </c>
      <c r="C1284">
        <v>80</v>
      </c>
      <c r="D1284">
        <v>79.460189818999993</v>
      </c>
      <c r="E1284">
        <v>50</v>
      </c>
      <c r="F1284">
        <v>49.706336974999999</v>
      </c>
      <c r="G1284">
        <v>1305.8198242000001</v>
      </c>
      <c r="H1284">
        <v>1294.5449219</v>
      </c>
      <c r="I1284">
        <v>1391.5192870999999</v>
      </c>
      <c r="J1284">
        <v>1372.9440918</v>
      </c>
      <c r="K1284">
        <v>0</v>
      </c>
      <c r="L1284">
        <v>2200</v>
      </c>
      <c r="M1284">
        <v>2200</v>
      </c>
      <c r="N1284">
        <v>0</v>
      </c>
    </row>
    <row r="1285" spans="1:14" x14ac:dyDescent="0.25">
      <c r="A1285">
        <v>918.33050800000001</v>
      </c>
      <c r="B1285" s="1">
        <f>DATE(2012,11,4) + TIME(7,55,55)</f>
        <v>41217.330497685187</v>
      </c>
      <c r="C1285">
        <v>80</v>
      </c>
      <c r="D1285">
        <v>79.423362732000001</v>
      </c>
      <c r="E1285">
        <v>50</v>
      </c>
      <c r="F1285">
        <v>49.767761229999998</v>
      </c>
      <c r="G1285">
        <v>1305.8089600000001</v>
      </c>
      <c r="H1285">
        <v>1294.5325928</v>
      </c>
      <c r="I1285">
        <v>1391.4301757999999</v>
      </c>
      <c r="J1285">
        <v>1372.8815918</v>
      </c>
      <c r="K1285">
        <v>0</v>
      </c>
      <c r="L1285">
        <v>2200</v>
      </c>
      <c r="M1285">
        <v>2200</v>
      </c>
      <c r="N1285">
        <v>0</v>
      </c>
    </row>
    <row r="1286" spans="1:14" x14ac:dyDescent="0.25">
      <c r="A1286">
        <v>918.62343399999997</v>
      </c>
      <c r="B1286" s="1">
        <f>DATE(2012,11,4) + TIME(14,57,44)</f>
        <v>41217.623425925929</v>
      </c>
      <c r="C1286">
        <v>80</v>
      </c>
      <c r="D1286">
        <v>79.384719849000007</v>
      </c>
      <c r="E1286">
        <v>50</v>
      </c>
      <c r="F1286">
        <v>49.816761016999997</v>
      </c>
      <c r="G1286">
        <v>1305.7974853999999</v>
      </c>
      <c r="H1286">
        <v>1294.5196533000001</v>
      </c>
      <c r="I1286">
        <v>1391.3475341999999</v>
      </c>
      <c r="J1286">
        <v>1372.8217772999999</v>
      </c>
      <c r="K1286">
        <v>0</v>
      </c>
      <c r="L1286">
        <v>2200</v>
      </c>
      <c r="M1286">
        <v>2200</v>
      </c>
      <c r="N1286">
        <v>0</v>
      </c>
    </row>
    <row r="1287" spans="1:14" x14ac:dyDescent="0.25">
      <c r="A1287">
        <v>918.93838700000003</v>
      </c>
      <c r="B1287" s="1">
        <f>DATE(2012,11,4) + TIME(22,31,16)</f>
        <v>41217.938379629632</v>
      </c>
      <c r="C1287">
        <v>80</v>
      </c>
      <c r="D1287">
        <v>79.343849182</v>
      </c>
      <c r="E1287">
        <v>50</v>
      </c>
      <c r="F1287">
        <v>49.855525970000002</v>
      </c>
      <c r="G1287">
        <v>1305.7854004000001</v>
      </c>
      <c r="H1287">
        <v>1294.5058594</v>
      </c>
      <c r="I1287">
        <v>1391.2697754000001</v>
      </c>
      <c r="J1287">
        <v>1372.7639160000001</v>
      </c>
      <c r="K1287">
        <v>0</v>
      </c>
      <c r="L1287">
        <v>2200</v>
      </c>
      <c r="M1287">
        <v>2200</v>
      </c>
      <c r="N1287">
        <v>0</v>
      </c>
    </row>
    <row r="1288" spans="1:14" x14ac:dyDescent="0.25">
      <c r="A1288">
        <v>919.27813600000002</v>
      </c>
      <c r="B1288" s="1">
        <f>DATE(2012,11,5) + TIME(6,40,30)</f>
        <v>41218.278124999997</v>
      </c>
      <c r="C1288">
        <v>80</v>
      </c>
      <c r="D1288">
        <v>79.300468445000007</v>
      </c>
      <c r="E1288">
        <v>50</v>
      </c>
      <c r="F1288">
        <v>49.885707855</v>
      </c>
      <c r="G1288">
        <v>1305.7724608999999</v>
      </c>
      <c r="H1288">
        <v>1294.4912108999999</v>
      </c>
      <c r="I1288">
        <v>1391.1956786999999</v>
      </c>
      <c r="J1288">
        <v>1372.7073975000001</v>
      </c>
      <c r="K1288">
        <v>0</v>
      </c>
      <c r="L1288">
        <v>2200</v>
      </c>
      <c r="M1288">
        <v>2200</v>
      </c>
      <c r="N1288">
        <v>0</v>
      </c>
    </row>
    <row r="1289" spans="1:14" x14ac:dyDescent="0.25">
      <c r="A1289">
        <v>919.64310899999998</v>
      </c>
      <c r="B1289" s="1">
        <f>DATE(2012,11,5) + TIME(15,26,4)</f>
        <v>41218.643101851849</v>
      </c>
      <c r="C1289">
        <v>80</v>
      </c>
      <c r="D1289">
        <v>79.254501343000001</v>
      </c>
      <c r="E1289">
        <v>50</v>
      </c>
      <c r="F1289">
        <v>49.908672332999998</v>
      </c>
      <c r="G1289">
        <v>1305.7584228999999</v>
      </c>
      <c r="H1289">
        <v>1294.4754639</v>
      </c>
      <c r="I1289">
        <v>1391.1246338000001</v>
      </c>
      <c r="J1289">
        <v>1372.6517334</v>
      </c>
      <c r="K1289">
        <v>0</v>
      </c>
      <c r="L1289">
        <v>2200</v>
      </c>
      <c r="M1289">
        <v>2200</v>
      </c>
      <c r="N1289">
        <v>0</v>
      </c>
    </row>
    <row r="1290" spans="1:14" x14ac:dyDescent="0.25">
      <c r="A1290">
        <v>920.03929500000004</v>
      </c>
      <c r="B1290" s="1">
        <f>DATE(2012,11,6) + TIME(0,56,35)</f>
        <v>41219.039293981485</v>
      </c>
      <c r="C1290">
        <v>80</v>
      </c>
      <c r="D1290">
        <v>79.205413817999997</v>
      </c>
      <c r="E1290">
        <v>50</v>
      </c>
      <c r="F1290">
        <v>49.925941467000001</v>
      </c>
      <c r="G1290">
        <v>1305.7435303</v>
      </c>
      <c r="H1290">
        <v>1294.4584961</v>
      </c>
      <c r="I1290">
        <v>1391.0560303</v>
      </c>
      <c r="J1290">
        <v>1372.5970459</v>
      </c>
      <c r="K1290">
        <v>0</v>
      </c>
      <c r="L1290">
        <v>2200</v>
      </c>
      <c r="M1290">
        <v>2200</v>
      </c>
      <c r="N1290">
        <v>0</v>
      </c>
    </row>
    <row r="1291" spans="1:14" x14ac:dyDescent="0.25">
      <c r="A1291">
        <v>920.47390900000005</v>
      </c>
      <c r="B1291" s="1">
        <f>DATE(2012,11,6) + TIME(11,22,25)</f>
        <v>41219.473900462966</v>
      </c>
      <c r="C1291">
        <v>80</v>
      </c>
      <c r="D1291">
        <v>79.152557372999993</v>
      </c>
      <c r="E1291">
        <v>50</v>
      </c>
      <c r="F1291">
        <v>49.938724518000001</v>
      </c>
      <c r="G1291">
        <v>1305.7274170000001</v>
      </c>
      <c r="H1291">
        <v>1294.4403076000001</v>
      </c>
      <c r="I1291">
        <v>1390.9887695</v>
      </c>
      <c r="J1291">
        <v>1372.5424805</v>
      </c>
      <c r="K1291">
        <v>0</v>
      </c>
      <c r="L1291">
        <v>2200</v>
      </c>
      <c r="M1291">
        <v>2200</v>
      </c>
      <c r="N1291">
        <v>0</v>
      </c>
    </row>
    <row r="1292" spans="1:14" x14ac:dyDescent="0.25">
      <c r="A1292">
        <v>920.95653200000004</v>
      </c>
      <c r="B1292" s="1">
        <f>DATE(2012,11,6) + TIME(22,57,24)</f>
        <v>41219.95652777778</v>
      </c>
      <c r="C1292">
        <v>80</v>
      </c>
      <c r="D1292">
        <v>79.095069885000001</v>
      </c>
      <c r="E1292">
        <v>50</v>
      </c>
      <c r="F1292">
        <v>49.948017120000003</v>
      </c>
      <c r="G1292">
        <v>1305.7098389</v>
      </c>
      <c r="H1292">
        <v>1294.4202881000001</v>
      </c>
      <c r="I1292">
        <v>1390.9217529</v>
      </c>
      <c r="J1292">
        <v>1372.4875488</v>
      </c>
      <c r="K1292">
        <v>0</v>
      </c>
      <c r="L1292">
        <v>2200</v>
      </c>
      <c r="M1292">
        <v>2200</v>
      </c>
      <c r="N1292">
        <v>0</v>
      </c>
    </row>
    <row r="1293" spans="1:14" x14ac:dyDescent="0.25">
      <c r="A1293">
        <v>921.45000400000004</v>
      </c>
      <c r="B1293" s="1">
        <f>DATE(2012,11,7) + TIME(10,48,0)</f>
        <v>41220.449999999997</v>
      </c>
      <c r="C1293">
        <v>80</v>
      </c>
      <c r="D1293">
        <v>79.035644531000003</v>
      </c>
      <c r="E1293">
        <v>50</v>
      </c>
      <c r="F1293">
        <v>49.954219817999999</v>
      </c>
      <c r="G1293">
        <v>1305.6901855000001</v>
      </c>
      <c r="H1293">
        <v>1294.3981934000001</v>
      </c>
      <c r="I1293">
        <v>1390.8543701000001</v>
      </c>
      <c r="J1293">
        <v>1372.4315185999999</v>
      </c>
      <c r="K1293">
        <v>0</v>
      </c>
      <c r="L1293">
        <v>2200</v>
      </c>
      <c r="M1293">
        <v>2200</v>
      </c>
      <c r="N1293">
        <v>0</v>
      </c>
    </row>
    <row r="1294" spans="1:14" x14ac:dyDescent="0.25">
      <c r="A1294">
        <v>921.95928000000004</v>
      </c>
      <c r="B1294" s="1">
        <f>DATE(2012,11,7) + TIME(23,1,21)</f>
        <v>41220.959270833337</v>
      </c>
      <c r="C1294">
        <v>80</v>
      </c>
      <c r="D1294">
        <v>78.974319457999997</v>
      </c>
      <c r="E1294">
        <v>50</v>
      </c>
      <c r="F1294">
        <v>49.958385468000003</v>
      </c>
      <c r="G1294">
        <v>1305.6701660000001</v>
      </c>
      <c r="H1294">
        <v>1294.3756103999999</v>
      </c>
      <c r="I1294">
        <v>1390.7908935999999</v>
      </c>
      <c r="J1294">
        <v>1372.3786620999999</v>
      </c>
      <c r="K1294">
        <v>0</v>
      </c>
      <c r="L1294">
        <v>2200</v>
      </c>
      <c r="M1294">
        <v>2200</v>
      </c>
      <c r="N1294">
        <v>0</v>
      </c>
    </row>
    <row r="1295" spans="1:14" x14ac:dyDescent="0.25">
      <c r="A1295">
        <v>922.48174900000004</v>
      </c>
      <c r="B1295" s="1">
        <f>DATE(2012,11,8) + TIME(11,33,43)</f>
        <v>41221.481747685182</v>
      </c>
      <c r="C1295">
        <v>80</v>
      </c>
      <c r="D1295">
        <v>78.911514281999999</v>
      </c>
      <c r="E1295">
        <v>50</v>
      </c>
      <c r="F1295">
        <v>49.961170197000001</v>
      </c>
      <c r="G1295">
        <v>1305.6495361</v>
      </c>
      <c r="H1295">
        <v>1294.3524170000001</v>
      </c>
      <c r="I1295">
        <v>1390.7304687999999</v>
      </c>
      <c r="J1295">
        <v>1372.3280029</v>
      </c>
      <c r="K1295">
        <v>0</v>
      </c>
      <c r="L1295">
        <v>2200</v>
      </c>
      <c r="M1295">
        <v>2200</v>
      </c>
      <c r="N1295">
        <v>0</v>
      </c>
    </row>
    <row r="1296" spans="1:14" x14ac:dyDescent="0.25">
      <c r="A1296">
        <v>923.01975500000003</v>
      </c>
      <c r="B1296" s="1">
        <f>DATE(2012,11,9) + TIME(0,28,26)</f>
        <v>41222.019745370373</v>
      </c>
      <c r="C1296">
        <v>80</v>
      </c>
      <c r="D1296">
        <v>78.847244262999993</v>
      </c>
      <c r="E1296">
        <v>50</v>
      </c>
      <c r="F1296">
        <v>49.963039397999999</v>
      </c>
      <c r="G1296">
        <v>1305.628418</v>
      </c>
      <c r="H1296">
        <v>1294.3284911999999</v>
      </c>
      <c r="I1296">
        <v>1390.6729736</v>
      </c>
      <c r="J1296">
        <v>1372.2797852000001</v>
      </c>
      <c r="K1296">
        <v>0</v>
      </c>
      <c r="L1296">
        <v>2200</v>
      </c>
      <c r="M1296">
        <v>2200</v>
      </c>
      <c r="N1296">
        <v>0</v>
      </c>
    </row>
    <row r="1297" spans="1:14" x14ac:dyDescent="0.25">
      <c r="A1297">
        <v>923.57899799999996</v>
      </c>
      <c r="B1297" s="1">
        <f>DATE(2012,11,9) + TIME(13,53,45)</f>
        <v>41222.578993055555</v>
      </c>
      <c r="C1297">
        <v>80</v>
      </c>
      <c r="D1297">
        <v>78.781196593999994</v>
      </c>
      <c r="E1297">
        <v>50</v>
      </c>
      <c r="F1297">
        <v>49.964305877999998</v>
      </c>
      <c r="G1297">
        <v>1305.6068115</v>
      </c>
      <c r="H1297">
        <v>1294.3039550999999</v>
      </c>
      <c r="I1297">
        <v>1390.6175536999999</v>
      </c>
      <c r="J1297">
        <v>1372.2333983999999</v>
      </c>
      <c r="K1297">
        <v>0</v>
      </c>
      <c r="L1297">
        <v>2200</v>
      </c>
      <c r="M1297">
        <v>2200</v>
      </c>
      <c r="N1297">
        <v>0</v>
      </c>
    </row>
    <row r="1298" spans="1:14" x14ac:dyDescent="0.25">
      <c r="A1298">
        <v>924.16557899999998</v>
      </c>
      <c r="B1298" s="1">
        <f>DATE(2012,11,10) + TIME(3,58,26)</f>
        <v>41223.165578703702</v>
      </c>
      <c r="C1298">
        <v>80</v>
      </c>
      <c r="D1298">
        <v>78.712944031000006</v>
      </c>
      <c r="E1298">
        <v>50</v>
      </c>
      <c r="F1298">
        <v>49.965175629000001</v>
      </c>
      <c r="G1298">
        <v>1305.5843506000001</v>
      </c>
      <c r="H1298">
        <v>1294.2783202999999</v>
      </c>
      <c r="I1298">
        <v>1390.5637207</v>
      </c>
      <c r="J1298">
        <v>1372.1883545000001</v>
      </c>
      <c r="K1298">
        <v>0</v>
      </c>
      <c r="L1298">
        <v>2200</v>
      </c>
      <c r="M1298">
        <v>2200</v>
      </c>
      <c r="N1298">
        <v>0</v>
      </c>
    </row>
    <row r="1299" spans="1:14" x14ac:dyDescent="0.25">
      <c r="A1299">
        <v>924.78650800000003</v>
      </c>
      <c r="B1299" s="1">
        <f>DATE(2012,11,10) + TIME(18,52,34)</f>
        <v>41223.786504629628</v>
      </c>
      <c r="C1299">
        <v>80</v>
      </c>
      <c r="D1299">
        <v>78.641914368000002</v>
      </c>
      <c r="E1299">
        <v>50</v>
      </c>
      <c r="F1299">
        <v>49.965778350999997</v>
      </c>
      <c r="G1299">
        <v>1305.5606689000001</v>
      </c>
      <c r="H1299">
        <v>1294.2514647999999</v>
      </c>
      <c r="I1299">
        <v>1390.5106201000001</v>
      </c>
      <c r="J1299">
        <v>1372.1439209</v>
      </c>
      <c r="K1299">
        <v>0</v>
      </c>
      <c r="L1299">
        <v>2200</v>
      </c>
      <c r="M1299">
        <v>2200</v>
      </c>
      <c r="N1299">
        <v>0</v>
      </c>
    </row>
    <row r="1300" spans="1:14" x14ac:dyDescent="0.25">
      <c r="A1300">
        <v>925.45011799999997</v>
      </c>
      <c r="B1300" s="1">
        <f>DATE(2012,11,11) + TIME(10,48,10)</f>
        <v>41224.450115740743</v>
      </c>
      <c r="C1300">
        <v>80</v>
      </c>
      <c r="D1300">
        <v>78.567436217999997</v>
      </c>
      <c r="E1300">
        <v>50</v>
      </c>
      <c r="F1300">
        <v>49.966201781999999</v>
      </c>
      <c r="G1300">
        <v>1305.5357666</v>
      </c>
      <c r="H1300">
        <v>1294.2230225000001</v>
      </c>
      <c r="I1300">
        <v>1390.4578856999999</v>
      </c>
      <c r="J1300">
        <v>1372.0999756000001</v>
      </c>
      <c r="K1300">
        <v>0</v>
      </c>
      <c r="L1300">
        <v>2200</v>
      </c>
      <c r="M1300">
        <v>2200</v>
      </c>
      <c r="N1300">
        <v>0</v>
      </c>
    </row>
    <row r="1301" spans="1:14" x14ac:dyDescent="0.25">
      <c r="A1301">
        <v>926.16715899999997</v>
      </c>
      <c r="B1301" s="1">
        <f>DATE(2012,11,12) + TIME(4,0,42)</f>
        <v>41225.16715277778</v>
      </c>
      <c r="C1301">
        <v>80</v>
      </c>
      <c r="D1301">
        <v>78.488639832000004</v>
      </c>
      <c r="E1301">
        <v>50</v>
      </c>
      <c r="F1301">
        <v>49.966503142999997</v>
      </c>
      <c r="G1301">
        <v>1305.5091553</v>
      </c>
      <c r="H1301">
        <v>1294.1926269999999</v>
      </c>
      <c r="I1301">
        <v>1390.4049072</v>
      </c>
      <c r="J1301">
        <v>1372.0557861</v>
      </c>
      <c r="K1301">
        <v>0</v>
      </c>
      <c r="L1301">
        <v>2200</v>
      </c>
      <c r="M1301">
        <v>2200</v>
      </c>
      <c r="N1301">
        <v>0</v>
      </c>
    </row>
    <row r="1302" spans="1:14" x14ac:dyDescent="0.25">
      <c r="A1302">
        <v>926.92198599999995</v>
      </c>
      <c r="B1302" s="1">
        <f>DATE(2012,11,12) + TIME(22,7,39)</f>
        <v>41225.921979166669</v>
      </c>
      <c r="C1302">
        <v>80</v>
      </c>
      <c r="D1302">
        <v>78.406166076999995</v>
      </c>
      <c r="E1302">
        <v>50</v>
      </c>
      <c r="F1302">
        <v>49.966716765999998</v>
      </c>
      <c r="G1302">
        <v>1305.4802245999999</v>
      </c>
      <c r="H1302">
        <v>1294.159668</v>
      </c>
      <c r="I1302">
        <v>1390.3510742000001</v>
      </c>
      <c r="J1302">
        <v>1372.0109863</v>
      </c>
      <c r="K1302">
        <v>0</v>
      </c>
      <c r="L1302">
        <v>2200</v>
      </c>
      <c r="M1302">
        <v>2200</v>
      </c>
      <c r="N1302">
        <v>0</v>
      </c>
    </row>
    <row r="1303" spans="1:14" x14ac:dyDescent="0.25">
      <c r="A1303">
        <v>927.69529399999999</v>
      </c>
      <c r="B1303" s="1">
        <f>DATE(2012,11,13) + TIME(16,41,13)</f>
        <v>41226.695289351854</v>
      </c>
      <c r="C1303">
        <v>80</v>
      </c>
      <c r="D1303">
        <v>78.321357727000006</v>
      </c>
      <c r="E1303">
        <v>50</v>
      </c>
      <c r="F1303">
        <v>49.966869354000004</v>
      </c>
      <c r="G1303">
        <v>1305.4495850000001</v>
      </c>
      <c r="H1303">
        <v>1294.125</v>
      </c>
      <c r="I1303">
        <v>1390.2977295000001</v>
      </c>
      <c r="J1303">
        <v>1371.9666748</v>
      </c>
      <c r="K1303">
        <v>0</v>
      </c>
      <c r="L1303">
        <v>2200</v>
      </c>
      <c r="M1303">
        <v>2200</v>
      </c>
      <c r="N1303">
        <v>0</v>
      </c>
    </row>
    <row r="1304" spans="1:14" x14ac:dyDescent="0.25">
      <c r="A1304">
        <v>928.49749199999997</v>
      </c>
      <c r="B1304" s="1">
        <f>DATE(2012,11,14) + TIME(11,56,23)</f>
        <v>41227.497488425928</v>
      </c>
      <c r="C1304">
        <v>80</v>
      </c>
      <c r="D1304">
        <v>78.234184264999996</v>
      </c>
      <c r="E1304">
        <v>50</v>
      </c>
      <c r="F1304">
        <v>49.966976166000002</v>
      </c>
      <c r="G1304">
        <v>1305.4182129000001</v>
      </c>
      <c r="H1304">
        <v>1294.0891113</v>
      </c>
      <c r="I1304">
        <v>1390.2463379000001</v>
      </c>
      <c r="J1304">
        <v>1371.9241943</v>
      </c>
      <c r="K1304">
        <v>0</v>
      </c>
      <c r="L1304">
        <v>2200</v>
      </c>
      <c r="M1304">
        <v>2200</v>
      </c>
      <c r="N1304">
        <v>0</v>
      </c>
    </row>
    <row r="1305" spans="1:14" x14ac:dyDescent="0.25">
      <c r="A1305">
        <v>929.33932800000002</v>
      </c>
      <c r="B1305" s="1">
        <f>DATE(2012,11,15) + TIME(8,8,37)</f>
        <v>41228.339317129627</v>
      </c>
      <c r="C1305">
        <v>80</v>
      </c>
      <c r="D1305">
        <v>78.144165039000001</v>
      </c>
      <c r="E1305">
        <v>50</v>
      </c>
      <c r="F1305">
        <v>49.967060089</v>
      </c>
      <c r="G1305">
        <v>1305.3856201000001</v>
      </c>
      <c r="H1305">
        <v>1294.0517577999999</v>
      </c>
      <c r="I1305">
        <v>1390.1960449000001</v>
      </c>
      <c r="J1305">
        <v>1371.8826904</v>
      </c>
      <c r="K1305">
        <v>0</v>
      </c>
      <c r="L1305">
        <v>2200</v>
      </c>
      <c r="M1305">
        <v>2200</v>
      </c>
      <c r="N1305">
        <v>0</v>
      </c>
    </row>
    <row r="1306" spans="1:14" x14ac:dyDescent="0.25">
      <c r="A1306">
        <v>930.20145200000002</v>
      </c>
      <c r="B1306" s="1">
        <f>DATE(2012,11,16) + TIME(4,50,5)</f>
        <v>41229.20144675926</v>
      </c>
      <c r="C1306">
        <v>80</v>
      </c>
      <c r="D1306">
        <v>78.052223205999994</v>
      </c>
      <c r="E1306">
        <v>50</v>
      </c>
      <c r="F1306">
        <v>49.967121124000002</v>
      </c>
      <c r="G1306">
        <v>1305.3511963000001</v>
      </c>
      <c r="H1306">
        <v>1294.0123291</v>
      </c>
      <c r="I1306">
        <v>1390.1462402</v>
      </c>
      <c r="J1306">
        <v>1371.8415527</v>
      </c>
      <c r="K1306">
        <v>0</v>
      </c>
      <c r="L1306">
        <v>2200</v>
      </c>
      <c r="M1306">
        <v>2200</v>
      </c>
      <c r="N1306">
        <v>0</v>
      </c>
    </row>
    <row r="1307" spans="1:14" x14ac:dyDescent="0.25">
      <c r="A1307">
        <v>931.090508</v>
      </c>
      <c r="B1307" s="1">
        <f>DATE(2012,11,17) + TIME(2,10,19)</f>
        <v>41230.090497685182</v>
      </c>
      <c r="C1307">
        <v>80</v>
      </c>
      <c r="D1307">
        <v>77.958419800000001</v>
      </c>
      <c r="E1307">
        <v>50</v>
      </c>
      <c r="F1307">
        <v>49.967170715000002</v>
      </c>
      <c r="G1307">
        <v>1305.315918</v>
      </c>
      <c r="H1307">
        <v>1293.9716797000001</v>
      </c>
      <c r="I1307">
        <v>1390.0980225000001</v>
      </c>
      <c r="J1307">
        <v>1371.8018798999999</v>
      </c>
      <c r="K1307">
        <v>0</v>
      </c>
      <c r="L1307">
        <v>2200</v>
      </c>
      <c r="M1307">
        <v>2200</v>
      </c>
      <c r="N1307">
        <v>0</v>
      </c>
    </row>
    <row r="1308" spans="1:14" x14ac:dyDescent="0.25">
      <c r="A1308">
        <v>932.01602700000001</v>
      </c>
      <c r="B1308" s="1">
        <f>DATE(2012,11,18) + TIME(0,23,4)</f>
        <v>41231.016018518516</v>
      </c>
      <c r="C1308">
        <v>80</v>
      </c>
      <c r="D1308">
        <v>77.862350464000002</v>
      </c>
      <c r="E1308">
        <v>50</v>
      </c>
      <c r="F1308">
        <v>49.967208862</v>
      </c>
      <c r="G1308">
        <v>1305.2791748</v>
      </c>
      <c r="H1308">
        <v>1293.9294434000001</v>
      </c>
      <c r="I1308">
        <v>1390.0509033000001</v>
      </c>
      <c r="J1308">
        <v>1371.7631836</v>
      </c>
      <c r="K1308">
        <v>0</v>
      </c>
      <c r="L1308">
        <v>2200</v>
      </c>
      <c r="M1308">
        <v>2200</v>
      </c>
      <c r="N1308">
        <v>0</v>
      </c>
    </row>
    <row r="1309" spans="1:14" x14ac:dyDescent="0.25">
      <c r="A1309">
        <v>932.98866099999998</v>
      </c>
      <c r="B1309" s="1">
        <f>DATE(2012,11,18) + TIME(23,43,40)</f>
        <v>41231.988657407404</v>
      </c>
      <c r="C1309">
        <v>80</v>
      </c>
      <c r="D1309">
        <v>77.763336182000003</v>
      </c>
      <c r="E1309">
        <v>50</v>
      </c>
      <c r="F1309">
        <v>49.967243195000002</v>
      </c>
      <c r="G1309">
        <v>1305.2408447</v>
      </c>
      <c r="H1309">
        <v>1293.8851318</v>
      </c>
      <c r="I1309">
        <v>1390.0043945</v>
      </c>
      <c r="J1309">
        <v>1371.7249756000001</v>
      </c>
      <c r="K1309">
        <v>0</v>
      </c>
      <c r="L1309">
        <v>2200</v>
      </c>
      <c r="M1309">
        <v>2200</v>
      </c>
      <c r="N1309">
        <v>0</v>
      </c>
    </row>
    <row r="1310" spans="1:14" x14ac:dyDescent="0.25">
      <c r="A1310">
        <v>934.02088600000002</v>
      </c>
      <c r="B1310" s="1">
        <f>DATE(2012,11,20) + TIME(0,30,4)</f>
        <v>41233.020879629628</v>
      </c>
      <c r="C1310">
        <v>80</v>
      </c>
      <c r="D1310">
        <v>77.660499572999996</v>
      </c>
      <c r="E1310">
        <v>50</v>
      </c>
      <c r="F1310">
        <v>49.967273712000001</v>
      </c>
      <c r="G1310">
        <v>1305.2003173999999</v>
      </c>
      <c r="H1310">
        <v>1293.8380127</v>
      </c>
      <c r="I1310">
        <v>1389.9580077999999</v>
      </c>
      <c r="J1310">
        <v>1371.6870117000001</v>
      </c>
      <c r="K1310">
        <v>0</v>
      </c>
      <c r="L1310">
        <v>2200</v>
      </c>
      <c r="M1310">
        <v>2200</v>
      </c>
      <c r="N1310">
        <v>0</v>
      </c>
    </row>
    <row r="1311" spans="1:14" x14ac:dyDescent="0.25">
      <c r="A1311">
        <v>935.10727099999997</v>
      </c>
      <c r="B1311" s="1">
        <f>DATE(2012,11,21) + TIME(2,34,28)</f>
        <v>41234.107268518521</v>
      </c>
      <c r="C1311">
        <v>80</v>
      </c>
      <c r="D1311">
        <v>77.553665160999998</v>
      </c>
      <c r="E1311">
        <v>50</v>
      </c>
      <c r="F1311">
        <v>49.967300414999997</v>
      </c>
      <c r="G1311">
        <v>1305.1568603999999</v>
      </c>
      <c r="H1311">
        <v>1293.7877197</v>
      </c>
      <c r="I1311">
        <v>1389.9112548999999</v>
      </c>
      <c r="J1311">
        <v>1371.6488036999999</v>
      </c>
      <c r="K1311">
        <v>0</v>
      </c>
      <c r="L1311">
        <v>2200</v>
      </c>
      <c r="M1311">
        <v>2200</v>
      </c>
      <c r="N1311">
        <v>0</v>
      </c>
    </row>
    <row r="1312" spans="1:14" x14ac:dyDescent="0.25">
      <c r="A1312">
        <v>936.24538199999995</v>
      </c>
      <c r="B1312" s="1">
        <f>DATE(2012,11,22) + TIME(5,53,20)</f>
        <v>41235.245370370372</v>
      </c>
      <c r="C1312">
        <v>80</v>
      </c>
      <c r="D1312">
        <v>77.442970275999997</v>
      </c>
      <c r="E1312">
        <v>50</v>
      </c>
      <c r="F1312">
        <v>49.967323303000001</v>
      </c>
      <c r="G1312">
        <v>1305.1108397999999</v>
      </c>
      <c r="H1312">
        <v>1293.7341309000001</v>
      </c>
      <c r="I1312">
        <v>1389.8645019999999</v>
      </c>
      <c r="J1312">
        <v>1371.6107178</v>
      </c>
      <c r="K1312">
        <v>0</v>
      </c>
      <c r="L1312">
        <v>2200</v>
      </c>
      <c r="M1312">
        <v>2200</v>
      </c>
      <c r="N1312">
        <v>0</v>
      </c>
    </row>
    <row r="1313" spans="1:14" x14ac:dyDescent="0.25">
      <c r="A1313">
        <v>937.43671500000005</v>
      </c>
      <c r="B1313" s="1">
        <f>DATE(2012,11,23) + TIME(10,28,52)</f>
        <v>41236.436712962961</v>
      </c>
      <c r="C1313">
        <v>80</v>
      </c>
      <c r="D1313">
        <v>77.328514099000003</v>
      </c>
      <c r="E1313">
        <v>50</v>
      </c>
      <c r="F1313">
        <v>49.967350005999997</v>
      </c>
      <c r="G1313">
        <v>1305.0621338000001</v>
      </c>
      <c r="H1313">
        <v>1293.677124</v>
      </c>
      <c r="I1313">
        <v>1389.8179932</v>
      </c>
      <c r="J1313">
        <v>1371.5727539</v>
      </c>
      <c r="K1313">
        <v>0</v>
      </c>
      <c r="L1313">
        <v>2200</v>
      </c>
      <c r="M1313">
        <v>2200</v>
      </c>
      <c r="N1313">
        <v>0</v>
      </c>
    </row>
    <row r="1314" spans="1:14" x14ac:dyDescent="0.25">
      <c r="A1314">
        <v>938.64282400000002</v>
      </c>
      <c r="B1314" s="1">
        <f>DATE(2012,11,24) + TIME(15,25,39)</f>
        <v>41237.642812500002</v>
      </c>
      <c r="C1314">
        <v>80</v>
      </c>
      <c r="D1314">
        <v>77.212020874000004</v>
      </c>
      <c r="E1314">
        <v>50</v>
      </c>
      <c r="F1314">
        <v>49.967372894</v>
      </c>
      <c r="G1314">
        <v>1305.0104980000001</v>
      </c>
      <c r="H1314">
        <v>1293.6168213000001</v>
      </c>
      <c r="I1314">
        <v>1389.7717285000001</v>
      </c>
      <c r="J1314">
        <v>1371.5350341999999</v>
      </c>
      <c r="K1314">
        <v>0</v>
      </c>
      <c r="L1314">
        <v>2200</v>
      </c>
      <c r="M1314">
        <v>2200</v>
      </c>
      <c r="N1314">
        <v>0</v>
      </c>
    </row>
    <row r="1315" spans="1:14" x14ac:dyDescent="0.25">
      <c r="A1315">
        <v>939.87664700000005</v>
      </c>
      <c r="B1315" s="1">
        <f>DATE(2012,11,25) + TIME(21,2,22)</f>
        <v>41238.876643518517</v>
      </c>
      <c r="C1315">
        <v>80</v>
      </c>
      <c r="D1315">
        <v>77.094215392999999</v>
      </c>
      <c r="E1315">
        <v>50</v>
      </c>
      <c r="F1315">
        <v>49.967399596999996</v>
      </c>
      <c r="G1315">
        <v>1304.9575195</v>
      </c>
      <c r="H1315">
        <v>1293.5546875</v>
      </c>
      <c r="I1315">
        <v>1389.7271728999999</v>
      </c>
      <c r="J1315">
        <v>1371.4987793</v>
      </c>
      <c r="K1315">
        <v>0</v>
      </c>
      <c r="L1315">
        <v>2200</v>
      </c>
      <c r="M1315">
        <v>2200</v>
      </c>
      <c r="N1315">
        <v>0</v>
      </c>
    </row>
    <row r="1316" spans="1:14" x14ac:dyDescent="0.25">
      <c r="A1316">
        <v>941.15131299999996</v>
      </c>
      <c r="B1316" s="1">
        <f>DATE(2012,11,27) + TIME(3,37,53)</f>
        <v>41240.151307870372</v>
      </c>
      <c r="C1316">
        <v>80</v>
      </c>
      <c r="D1316">
        <v>76.974777222</v>
      </c>
      <c r="E1316">
        <v>50</v>
      </c>
      <c r="F1316">
        <v>49.967422485</v>
      </c>
      <c r="G1316">
        <v>1304.902832</v>
      </c>
      <c r="H1316">
        <v>1293.4899902</v>
      </c>
      <c r="I1316">
        <v>1389.6838379000001</v>
      </c>
      <c r="J1316">
        <v>1371.463501</v>
      </c>
      <c r="K1316">
        <v>0</v>
      </c>
      <c r="L1316">
        <v>2200</v>
      </c>
      <c r="M1316">
        <v>2200</v>
      </c>
      <c r="N1316">
        <v>0</v>
      </c>
    </row>
    <row r="1317" spans="1:14" x14ac:dyDescent="0.25">
      <c r="A1317">
        <v>942.48106299999995</v>
      </c>
      <c r="B1317" s="1">
        <f>DATE(2012,11,28) + TIME(11,32,43)</f>
        <v>41241.481053240743</v>
      </c>
      <c r="C1317">
        <v>80</v>
      </c>
      <c r="D1317">
        <v>76.852897643999995</v>
      </c>
      <c r="E1317">
        <v>50</v>
      </c>
      <c r="F1317">
        <v>49.967449188000003</v>
      </c>
      <c r="G1317">
        <v>1304.8455810999999</v>
      </c>
      <c r="H1317">
        <v>1293.4219971</v>
      </c>
      <c r="I1317">
        <v>1389.6409911999999</v>
      </c>
      <c r="J1317">
        <v>1371.4288329999999</v>
      </c>
      <c r="K1317">
        <v>0</v>
      </c>
      <c r="L1317">
        <v>2200</v>
      </c>
      <c r="M1317">
        <v>2200</v>
      </c>
      <c r="N1317">
        <v>0</v>
      </c>
    </row>
    <row r="1318" spans="1:14" x14ac:dyDescent="0.25">
      <c r="A1318">
        <v>943.88229899999999</v>
      </c>
      <c r="B1318" s="1">
        <f>DATE(2012,11,29) + TIME(21,10,30)</f>
        <v>41242.882291666669</v>
      </c>
      <c r="C1318">
        <v>80</v>
      </c>
      <c r="D1318">
        <v>76.727485657000003</v>
      </c>
      <c r="E1318">
        <v>50</v>
      </c>
      <c r="F1318">
        <v>49.967475890999999</v>
      </c>
      <c r="G1318">
        <v>1304.7850341999999</v>
      </c>
      <c r="H1318">
        <v>1293.3498535000001</v>
      </c>
      <c r="I1318">
        <v>1389.5983887</v>
      </c>
      <c r="J1318">
        <v>1371.3941649999999</v>
      </c>
      <c r="K1318">
        <v>0</v>
      </c>
      <c r="L1318">
        <v>2200</v>
      </c>
      <c r="M1318">
        <v>2200</v>
      </c>
      <c r="N1318">
        <v>0</v>
      </c>
    </row>
    <row r="1319" spans="1:14" x14ac:dyDescent="0.25">
      <c r="A1319">
        <v>945</v>
      </c>
      <c r="B1319" s="1">
        <f>DATE(2012,12,1) + TIME(0,0,0)</f>
        <v>41244</v>
      </c>
      <c r="C1319">
        <v>80</v>
      </c>
      <c r="D1319">
        <v>76.612197875999996</v>
      </c>
      <c r="E1319">
        <v>50</v>
      </c>
      <c r="F1319">
        <v>49.967494965</v>
      </c>
      <c r="G1319">
        <v>1304.7198486</v>
      </c>
      <c r="H1319">
        <v>1293.2734375</v>
      </c>
      <c r="I1319">
        <v>1389.5551757999999</v>
      </c>
      <c r="J1319">
        <v>1371.3591309000001</v>
      </c>
      <c r="K1319">
        <v>0</v>
      </c>
      <c r="L1319">
        <v>2200</v>
      </c>
      <c r="M1319">
        <v>2200</v>
      </c>
      <c r="N1319">
        <v>0</v>
      </c>
    </row>
    <row r="1320" spans="1:14" x14ac:dyDescent="0.25">
      <c r="A1320">
        <v>946.45502099999999</v>
      </c>
      <c r="B1320" s="1">
        <f>DATE(2012,12,2) + TIME(10,55,13)</f>
        <v>41245.455011574071</v>
      </c>
      <c r="C1320">
        <v>80</v>
      </c>
      <c r="D1320">
        <v>76.492050171000002</v>
      </c>
      <c r="E1320">
        <v>50</v>
      </c>
      <c r="F1320">
        <v>49.967529296999999</v>
      </c>
      <c r="G1320">
        <v>1304.6673584</v>
      </c>
      <c r="H1320">
        <v>1293.2082519999999</v>
      </c>
      <c r="I1320">
        <v>1389.5225829999999</v>
      </c>
      <c r="J1320">
        <v>1371.3327637</v>
      </c>
      <c r="K1320">
        <v>0</v>
      </c>
      <c r="L1320">
        <v>2200</v>
      </c>
      <c r="M1320">
        <v>2200</v>
      </c>
      <c r="N1320">
        <v>0</v>
      </c>
    </row>
    <row r="1321" spans="1:14" x14ac:dyDescent="0.25">
      <c r="A1321">
        <v>948.05044699999996</v>
      </c>
      <c r="B1321" s="1">
        <f>DATE(2012,12,4) + TIME(1,12,38)</f>
        <v>41247.050439814811</v>
      </c>
      <c r="C1321">
        <v>80</v>
      </c>
      <c r="D1321">
        <v>76.361656189000001</v>
      </c>
      <c r="E1321">
        <v>50</v>
      </c>
      <c r="F1321">
        <v>49.967559813999998</v>
      </c>
      <c r="G1321">
        <v>1304.5983887</v>
      </c>
      <c r="H1321">
        <v>1293.1252440999999</v>
      </c>
      <c r="I1321">
        <v>1389.4815673999999</v>
      </c>
      <c r="J1321">
        <v>1371.2994385</v>
      </c>
      <c r="K1321">
        <v>0</v>
      </c>
      <c r="L1321">
        <v>2200</v>
      </c>
      <c r="M1321">
        <v>2200</v>
      </c>
      <c r="N1321">
        <v>0</v>
      </c>
    </row>
    <row r="1322" spans="1:14" x14ac:dyDescent="0.25">
      <c r="A1322">
        <v>949.66706999999997</v>
      </c>
      <c r="B1322" s="1">
        <f>DATE(2012,12,5) + TIME(16,0,34)</f>
        <v>41248.667060185187</v>
      </c>
      <c r="C1322">
        <v>80</v>
      </c>
      <c r="D1322">
        <v>76.224578856999997</v>
      </c>
      <c r="E1322">
        <v>50</v>
      </c>
      <c r="F1322">
        <v>49.967594147</v>
      </c>
      <c r="G1322">
        <v>1304.5211182</v>
      </c>
      <c r="H1322">
        <v>1293.0323486</v>
      </c>
      <c r="I1322">
        <v>1389.4382324000001</v>
      </c>
      <c r="J1322">
        <v>1371.2644043</v>
      </c>
      <c r="K1322">
        <v>0</v>
      </c>
      <c r="L1322">
        <v>2200</v>
      </c>
      <c r="M1322">
        <v>2200</v>
      </c>
      <c r="N1322">
        <v>0</v>
      </c>
    </row>
    <row r="1323" spans="1:14" x14ac:dyDescent="0.25">
      <c r="A1323">
        <v>951.31513500000005</v>
      </c>
      <c r="B1323" s="1">
        <f>DATE(2012,12,7) + TIME(7,33,47)</f>
        <v>41250.315127314818</v>
      </c>
      <c r="C1323">
        <v>80</v>
      </c>
      <c r="D1323">
        <v>76.084930420000006</v>
      </c>
      <c r="E1323">
        <v>50</v>
      </c>
      <c r="F1323">
        <v>49.967628478999998</v>
      </c>
      <c r="G1323">
        <v>1304.4412841999999</v>
      </c>
      <c r="H1323">
        <v>1292.9353027</v>
      </c>
      <c r="I1323">
        <v>1389.3963623</v>
      </c>
      <c r="J1323">
        <v>1371.2304687999999</v>
      </c>
      <c r="K1323">
        <v>0</v>
      </c>
      <c r="L1323">
        <v>2200</v>
      </c>
      <c r="M1323">
        <v>2200</v>
      </c>
      <c r="N1323">
        <v>0</v>
      </c>
    </row>
    <row r="1324" spans="1:14" x14ac:dyDescent="0.25">
      <c r="A1324">
        <v>953.00720000000001</v>
      </c>
      <c r="B1324" s="1">
        <f>DATE(2012,12,9) + TIME(0,10,22)</f>
        <v>41252.007199074076</v>
      </c>
      <c r="C1324">
        <v>80</v>
      </c>
      <c r="D1324">
        <v>75.943634032999995</v>
      </c>
      <c r="E1324">
        <v>50</v>
      </c>
      <c r="F1324">
        <v>49.967662810999997</v>
      </c>
      <c r="G1324">
        <v>1304.3582764</v>
      </c>
      <c r="H1324">
        <v>1292.8337402</v>
      </c>
      <c r="I1324">
        <v>1389.3554687999999</v>
      </c>
      <c r="J1324">
        <v>1371.1973877</v>
      </c>
      <c r="K1324">
        <v>0</v>
      </c>
      <c r="L1324">
        <v>2200</v>
      </c>
      <c r="M1324">
        <v>2200</v>
      </c>
      <c r="N1324">
        <v>0</v>
      </c>
    </row>
    <row r="1325" spans="1:14" x14ac:dyDescent="0.25">
      <c r="A1325">
        <v>954.76150600000005</v>
      </c>
      <c r="B1325" s="1">
        <f>DATE(2012,12,10) + TIME(18,16,34)</f>
        <v>41253.761504629627</v>
      </c>
      <c r="C1325">
        <v>80</v>
      </c>
      <c r="D1325">
        <v>75.800262450999995</v>
      </c>
      <c r="E1325">
        <v>50</v>
      </c>
      <c r="F1325">
        <v>49.967700958000002</v>
      </c>
      <c r="G1325">
        <v>1304.2713623</v>
      </c>
      <c r="H1325">
        <v>1292.7268065999999</v>
      </c>
      <c r="I1325">
        <v>1389.3153076000001</v>
      </c>
      <c r="J1325">
        <v>1371.1647949000001</v>
      </c>
      <c r="K1325">
        <v>0</v>
      </c>
      <c r="L1325">
        <v>2200</v>
      </c>
      <c r="M1325">
        <v>2200</v>
      </c>
      <c r="N1325">
        <v>0</v>
      </c>
    </row>
    <row r="1326" spans="1:14" x14ac:dyDescent="0.25">
      <c r="A1326">
        <v>956.56903199999999</v>
      </c>
      <c r="B1326" s="1">
        <f>DATE(2012,12,12) + TIME(13,39,24)</f>
        <v>41255.569027777776</v>
      </c>
      <c r="C1326">
        <v>80</v>
      </c>
      <c r="D1326">
        <v>75.654525757000002</v>
      </c>
      <c r="E1326">
        <v>50</v>
      </c>
      <c r="F1326">
        <v>49.967739105</v>
      </c>
      <c r="G1326">
        <v>1304.1793213000001</v>
      </c>
      <c r="H1326">
        <v>1292.6132812000001</v>
      </c>
      <c r="I1326">
        <v>1389.2752685999999</v>
      </c>
      <c r="J1326">
        <v>1371.1323242000001</v>
      </c>
      <c r="K1326">
        <v>0</v>
      </c>
      <c r="L1326">
        <v>2200</v>
      </c>
      <c r="M1326">
        <v>2200</v>
      </c>
      <c r="N1326">
        <v>0</v>
      </c>
    </row>
    <row r="1327" spans="1:14" x14ac:dyDescent="0.25">
      <c r="A1327">
        <v>958.41305199999999</v>
      </c>
      <c r="B1327" s="1">
        <f>DATE(2012,12,14) + TIME(9,54,47)</f>
        <v>41257.413043981483</v>
      </c>
      <c r="C1327">
        <v>80</v>
      </c>
      <c r="D1327">
        <v>75.507080078000001</v>
      </c>
      <c r="E1327">
        <v>50</v>
      </c>
      <c r="F1327">
        <v>49.967777251999998</v>
      </c>
      <c r="G1327">
        <v>1304.0823975000001</v>
      </c>
      <c r="H1327">
        <v>1292.4930420000001</v>
      </c>
      <c r="I1327">
        <v>1389.2355957</v>
      </c>
      <c r="J1327">
        <v>1371.1002197</v>
      </c>
      <c r="K1327">
        <v>0</v>
      </c>
      <c r="L1327">
        <v>2200</v>
      </c>
      <c r="M1327">
        <v>2200</v>
      </c>
      <c r="N1327">
        <v>0</v>
      </c>
    </row>
    <row r="1328" spans="1:14" x14ac:dyDescent="0.25">
      <c r="A1328">
        <v>960.29816500000004</v>
      </c>
      <c r="B1328" s="1">
        <f>DATE(2012,12,16) + TIME(7,9,21)</f>
        <v>41259.298159722224</v>
      </c>
      <c r="C1328">
        <v>80</v>
      </c>
      <c r="D1328">
        <v>75.358467102000006</v>
      </c>
      <c r="E1328">
        <v>50</v>
      </c>
      <c r="F1328">
        <v>49.967819214000002</v>
      </c>
      <c r="G1328">
        <v>1303.9813231999999</v>
      </c>
      <c r="H1328">
        <v>1292.3669434000001</v>
      </c>
      <c r="I1328">
        <v>1389.1967772999999</v>
      </c>
      <c r="J1328">
        <v>1371.0687256000001</v>
      </c>
      <c r="K1328">
        <v>0</v>
      </c>
      <c r="L1328">
        <v>2200</v>
      </c>
      <c r="M1328">
        <v>2200</v>
      </c>
      <c r="N1328">
        <v>0</v>
      </c>
    </row>
    <row r="1329" spans="1:14" x14ac:dyDescent="0.25">
      <c r="A1329">
        <v>962.22877800000003</v>
      </c>
      <c r="B1329" s="1">
        <f>DATE(2012,12,18) + TIME(5,29,26)</f>
        <v>41261.228773148148</v>
      </c>
      <c r="C1329">
        <v>80</v>
      </c>
      <c r="D1329">
        <v>75.208671570000007</v>
      </c>
      <c r="E1329">
        <v>50</v>
      </c>
      <c r="F1329">
        <v>49.967861176</v>
      </c>
      <c r="G1329">
        <v>1303.8757324000001</v>
      </c>
      <c r="H1329">
        <v>1292.2344971</v>
      </c>
      <c r="I1329">
        <v>1389.1585693</v>
      </c>
      <c r="J1329">
        <v>1371.0378418</v>
      </c>
      <c r="K1329">
        <v>0</v>
      </c>
      <c r="L1329">
        <v>2200</v>
      </c>
      <c r="M1329">
        <v>2200</v>
      </c>
      <c r="N1329">
        <v>0</v>
      </c>
    </row>
    <row r="1330" spans="1:14" x14ac:dyDescent="0.25">
      <c r="A1330">
        <v>964.19852600000002</v>
      </c>
      <c r="B1330" s="1">
        <f>DATE(2012,12,20) + TIME(4,45,52)</f>
        <v>41263.198518518519</v>
      </c>
      <c r="C1330">
        <v>80</v>
      </c>
      <c r="D1330">
        <v>75.057777404999996</v>
      </c>
      <c r="E1330">
        <v>50</v>
      </c>
      <c r="F1330">
        <v>49.967903137</v>
      </c>
      <c r="G1330">
        <v>1303.7650146000001</v>
      </c>
      <c r="H1330">
        <v>1292.0949707</v>
      </c>
      <c r="I1330">
        <v>1389.1209716999999</v>
      </c>
      <c r="J1330">
        <v>1371.0072021000001</v>
      </c>
      <c r="K1330">
        <v>0</v>
      </c>
      <c r="L1330">
        <v>2200</v>
      </c>
      <c r="M1330">
        <v>2200</v>
      </c>
      <c r="N1330">
        <v>0</v>
      </c>
    </row>
    <row r="1331" spans="1:14" x14ac:dyDescent="0.25">
      <c r="A1331">
        <v>966.19668899999999</v>
      </c>
      <c r="B1331" s="1">
        <f>DATE(2012,12,22) + TIME(4,43,13)</f>
        <v>41265.19667824074</v>
      </c>
      <c r="C1331">
        <v>80</v>
      </c>
      <c r="D1331">
        <v>74.906166076999995</v>
      </c>
      <c r="E1331">
        <v>50</v>
      </c>
      <c r="F1331">
        <v>49.967945098999998</v>
      </c>
      <c r="G1331">
        <v>1303.6494141000001</v>
      </c>
      <c r="H1331">
        <v>1291.9487305</v>
      </c>
      <c r="I1331">
        <v>1389.0839844</v>
      </c>
      <c r="J1331">
        <v>1370.9771728999999</v>
      </c>
      <c r="K1331">
        <v>0</v>
      </c>
      <c r="L1331">
        <v>2200</v>
      </c>
      <c r="M1331">
        <v>2200</v>
      </c>
      <c r="N1331">
        <v>0</v>
      </c>
    </row>
    <row r="1332" spans="1:14" x14ac:dyDescent="0.25">
      <c r="A1332">
        <v>968.22754399999997</v>
      </c>
      <c r="B1332" s="1">
        <f>DATE(2012,12,24) + TIME(5,27,39)</f>
        <v>41267.227534722224</v>
      </c>
      <c r="C1332">
        <v>80</v>
      </c>
      <c r="D1332">
        <v>74.754142760999997</v>
      </c>
      <c r="E1332">
        <v>50</v>
      </c>
      <c r="F1332">
        <v>49.967990874999998</v>
      </c>
      <c r="G1332">
        <v>1303.5294189000001</v>
      </c>
      <c r="H1332">
        <v>1291.7960204999999</v>
      </c>
      <c r="I1332">
        <v>1389.0477295000001</v>
      </c>
      <c r="J1332">
        <v>1370.9476318</v>
      </c>
      <c r="K1332">
        <v>0</v>
      </c>
      <c r="L1332">
        <v>2200</v>
      </c>
      <c r="M1332">
        <v>2200</v>
      </c>
      <c r="N1332">
        <v>0</v>
      </c>
    </row>
    <row r="1333" spans="1:14" x14ac:dyDescent="0.25">
      <c r="A1333">
        <v>970.28401599999995</v>
      </c>
      <c r="B1333" s="1">
        <f>DATE(2012,12,26) + TIME(6,48,59)</f>
        <v>41269.284016203703</v>
      </c>
      <c r="C1333">
        <v>80</v>
      </c>
      <c r="D1333">
        <v>74.601829529</v>
      </c>
      <c r="E1333">
        <v>50</v>
      </c>
      <c r="F1333">
        <v>49.968036652000002</v>
      </c>
      <c r="G1333">
        <v>1303.4045410000001</v>
      </c>
      <c r="H1333">
        <v>1291.6363524999999</v>
      </c>
      <c r="I1333">
        <v>1389.012207</v>
      </c>
      <c r="J1333">
        <v>1370.9188231999999</v>
      </c>
      <c r="K1333">
        <v>0</v>
      </c>
      <c r="L1333">
        <v>2200</v>
      </c>
      <c r="M1333">
        <v>2200</v>
      </c>
      <c r="N1333">
        <v>0</v>
      </c>
    </row>
    <row r="1334" spans="1:14" x14ac:dyDescent="0.25">
      <c r="A1334">
        <v>972.36081999999999</v>
      </c>
      <c r="B1334" s="1">
        <f>DATE(2012,12,28) + TIME(8,39,34)</f>
        <v>41271.360810185186</v>
      </c>
      <c r="C1334">
        <v>80</v>
      </c>
      <c r="D1334">
        <v>74.449531554999993</v>
      </c>
      <c r="E1334">
        <v>50</v>
      </c>
      <c r="F1334">
        <v>49.968082428000002</v>
      </c>
      <c r="G1334">
        <v>1303.2751464999999</v>
      </c>
      <c r="H1334">
        <v>1291.4702147999999</v>
      </c>
      <c r="I1334">
        <v>1388.9774170000001</v>
      </c>
      <c r="J1334">
        <v>1370.8903809000001</v>
      </c>
      <c r="K1334">
        <v>0</v>
      </c>
      <c r="L1334">
        <v>2200</v>
      </c>
      <c r="M1334">
        <v>2200</v>
      </c>
      <c r="N1334">
        <v>0</v>
      </c>
    </row>
    <row r="1335" spans="1:14" x14ac:dyDescent="0.25">
      <c r="A1335">
        <v>974.46373900000003</v>
      </c>
      <c r="B1335" s="1">
        <f>DATE(2012,12,30) + TIME(11,7,47)</f>
        <v>41273.463738425926</v>
      </c>
      <c r="C1335">
        <v>80</v>
      </c>
      <c r="D1335">
        <v>74.297286987000007</v>
      </c>
      <c r="E1335">
        <v>50</v>
      </c>
      <c r="F1335">
        <v>49.968128204000003</v>
      </c>
      <c r="G1335">
        <v>1303.1414795000001</v>
      </c>
      <c r="H1335">
        <v>1291.2976074000001</v>
      </c>
      <c r="I1335">
        <v>1388.9433594</v>
      </c>
      <c r="J1335">
        <v>1370.8626709</v>
      </c>
      <c r="K1335">
        <v>0</v>
      </c>
      <c r="L1335">
        <v>2200</v>
      </c>
      <c r="M1335">
        <v>2200</v>
      </c>
      <c r="N1335">
        <v>0</v>
      </c>
    </row>
    <row r="1336" spans="1:14" x14ac:dyDescent="0.25">
      <c r="A1336">
        <v>976</v>
      </c>
      <c r="B1336" s="1">
        <f>DATE(2013,1,1) + TIME(0,0,0)</f>
        <v>41275</v>
      </c>
      <c r="C1336">
        <v>80</v>
      </c>
      <c r="D1336">
        <v>74.160964965999995</v>
      </c>
      <c r="E1336">
        <v>50</v>
      </c>
      <c r="F1336">
        <v>49.968158721999998</v>
      </c>
      <c r="G1336">
        <v>1303.0039062000001</v>
      </c>
      <c r="H1336">
        <v>1291.1218262</v>
      </c>
      <c r="I1336">
        <v>1388.909668</v>
      </c>
      <c r="J1336">
        <v>1370.8352050999999</v>
      </c>
      <c r="K1336">
        <v>0</v>
      </c>
      <c r="L1336">
        <v>2200</v>
      </c>
      <c r="M1336">
        <v>2200</v>
      </c>
      <c r="N1336">
        <v>0</v>
      </c>
    </row>
    <row r="1337" spans="1:14" x14ac:dyDescent="0.25">
      <c r="A1337">
        <v>978.13356599999997</v>
      </c>
      <c r="B1337" s="1">
        <f>DATE(2013,1,3) + TIME(3,12,20)</f>
        <v>41277.133564814816</v>
      </c>
      <c r="C1337">
        <v>80</v>
      </c>
      <c r="D1337">
        <v>74.026817321999999</v>
      </c>
      <c r="E1337">
        <v>50</v>
      </c>
      <c r="F1337">
        <v>49.968208312999998</v>
      </c>
      <c r="G1337">
        <v>1302.8969727000001</v>
      </c>
      <c r="H1337">
        <v>1290.9782714999999</v>
      </c>
      <c r="I1337">
        <v>1388.8864745999999</v>
      </c>
      <c r="J1337">
        <v>1370.8161620999999</v>
      </c>
      <c r="K1337">
        <v>0</v>
      </c>
      <c r="L1337">
        <v>2200</v>
      </c>
      <c r="M1337">
        <v>2200</v>
      </c>
      <c r="N1337">
        <v>0</v>
      </c>
    </row>
    <row r="1338" spans="1:14" x14ac:dyDescent="0.25">
      <c r="A1338">
        <v>980.33096999999998</v>
      </c>
      <c r="B1338" s="1">
        <f>DATE(2013,1,5) + TIME(7,56,35)</f>
        <v>41279.330960648149</v>
      </c>
      <c r="C1338">
        <v>80</v>
      </c>
      <c r="D1338">
        <v>73.879333496000001</v>
      </c>
      <c r="E1338">
        <v>50</v>
      </c>
      <c r="F1338">
        <v>49.968257903999998</v>
      </c>
      <c r="G1338">
        <v>1302.7526855000001</v>
      </c>
      <c r="H1338">
        <v>1290.7910156</v>
      </c>
      <c r="I1338">
        <v>1388.8543701000001</v>
      </c>
      <c r="J1338">
        <v>1370.7900391000001</v>
      </c>
      <c r="K1338">
        <v>0</v>
      </c>
      <c r="L1338">
        <v>2200</v>
      </c>
      <c r="M1338">
        <v>2200</v>
      </c>
      <c r="N1338">
        <v>0</v>
      </c>
    </row>
    <row r="1339" spans="1:14" x14ac:dyDescent="0.25">
      <c r="A1339">
        <v>982.57018100000005</v>
      </c>
      <c r="B1339" s="1">
        <f>DATE(2013,1,7) + TIME(13,41,3)</f>
        <v>41281.570173611108</v>
      </c>
      <c r="C1339">
        <v>80</v>
      </c>
      <c r="D1339">
        <v>73.725944518999995</v>
      </c>
      <c r="E1339">
        <v>50</v>
      </c>
      <c r="F1339">
        <v>49.968307494999998</v>
      </c>
      <c r="G1339">
        <v>1302.5996094</v>
      </c>
      <c r="H1339">
        <v>1290.5908202999999</v>
      </c>
      <c r="I1339">
        <v>1388.8222656</v>
      </c>
      <c r="J1339">
        <v>1370.7637939000001</v>
      </c>
      <c r="K1339">
        <v>0</v>
      </c>
      <c r="L1339">
        <v>2200</v>
      </c>
      <c r="M1339">
        <v>2200</v>
      </c>
      <c r="N1339">
        <v>0</v>
      </c>
    </row>
    <row r="1340" spans="1:14" x14ac:dyDescent="0.25">
      <c r="A1340">
        <v>984.84298200000001</v>
      </c>
      <c r="B1340" s="1">
        <f>DATE(2013,1,9) + TIME(20,13,53)</f>
        <v>41283.842974537038</v>
      </c>
      <c r="C1340">
        <v>80</v>
      </c>
      <c r="D1340">
        <v>73.569671631000006</v>
      </c>
      <c r="E1340">
        <v>50</v>
      </c>
      <c r="F1340">
        <v>49.968360900999997</v>
      </c>
      <c r="G1340">
        <v>1302.4396973</v>
      </c>
      <c r="H1340">
        <v>1290.3806152</v>
      </c>
      <c r="I1340">
        <v>1388.7906493999999</v>
      </c>
      <c r="J1340">
        <v>1370.737793</v>
      </c>
      <c r="K1340">
        <v>0</v>
      </c>
      <c r="L1340">
        <v>2200</v>
      </c>
      <c r="M1340">
        <v>2200</v>
      </c>
      <c r="N1340">
        <v>0</v>
      </c>
    </row>
    <row r="1341" spans="1:14" x14ac:dyDescent="0.25">
      <c r="A1341">
        <v>987.14733200000001</v>
      </c>
      <c r="B1341" s="1">
        <f>DATE(2013,1,12) + TIME(3,32,9)</f>
        <v>41286.147326388891</v>
      </c>
      <c r="C1341">
        <v>80</v>
      </c>
      <c r="D1341">
        <v>73.411582946999999</v>
      </c>
      <c r="E1341">
        <v>50</v>
      </c>
      <c r="F1341">
        <v>49.968410491999997</v>
      </c>
      <c r="G1341">
        <v>1302.2735596</v>
      </c>
      <c r="H1341">
        <v>1290.1612548999999</v>
      </c>
      <c r="I1341">
        <v>1388.7592772999999</v>
      </c>
      <c r="J1341">
        <v>1370.7121582</v>
      </c>
      <c r="K1341">
        <v>0</v>
      </c>
      <c r="L1341">
        <v>2200</v>
      </c>
      <c r="M1341">
        <v>2200</v>
      </c>
      <c r="N1341">
        <v>0</v>
      </c>
    </row>
    <row r="1342" spans="1:14" x14ac:dyDescent="0.25">
      <c r="A1342">
        <v>989.475773</v>
      </c>
      <c r="B1342" s="1">
        <f>DATE(2013,1,14) + TIME(11,25,6)</f>
        <v>41288.475763888891</v>
      </c>
      <c r="C1342">
        <v>80</v>
      </c>
      <c r="D1342">
        <v>73.252082825000002</v>
      </c>
      <c r="E1342">
        <v>50</v>
      </c>
      <c r="F1342">
        <v>49.968463898000003</v>
      </c>
      <c r="G1342">
        <v>1302.1014404</v>
      </c>
      <c r="H1342">
        <v>1289.9329834</v>
      </c>
      <c r="I1342">
        <v>1388.7285156</v>
      </c>
      <c r="J1342">
        <v>1370.6868896000001</v>
      </c>
      <c r="K1342">
        <v>0</v>
      </c>
      <c r="L1342">
        <v>2200</v>
      </c>
      <c r="M1342">
        <v>2200</v>
      </c>
      <c r="N1342">
        <v>0</v>
      </c>
    </row>
    <row r="1343" spans="1:14" x14ac:dyDescent="0.25">
      <c r="A1343">
        <v>991.83358399999997</v>
      </c>
      <c r="B1343" s="1">
        <f>DATE(2013,1,16) + TIME(20,0,21)</f>
        <v>41290.83357638889</v>
      </c>
      <c r="C1343">
        <v>80</v>
      </c>
      <c r="D1343">
        <v>73.091239928999997</v>
      </c>
      <c r="E1343">
        <v>50</v>
      </c>
      <c r="F1343">
        <v>49.968513489000003</v>
      </c>
      <c r="G1343">
        <v>1301.9237060999999</v>
      </c>
      <c r="H1343">
        <v>1289.6962891000001</v>
      </c>
      <c r="I1343">
        <v>1388.6981201000001</v>
      </c>
      <c r="J1343">
        <v>1370.6619873</v>
      </c>
      <c r="K1343">
        <v>0</v>
      </c>
      <c r="L1343">
        <v>2200</v>
      </c>
      <c r="M1343">
        <v>2200</v>
      </c>
      <c r="N1343">
        <v>0</v>
      </c>
    </row>
    <row r="1344" spans="1:14" x14ac:dyDescent="0.25">
      <c r="A1344">
        <v>994.22548500000005</v>
      </c>
      <c r="B1344" s="1">
        <f>DATE(2013,1,19) + TIME(5,24,41)</f>
        <v>41293.225474537037</v>
      </c>
      <c r="C1344">
        <v>80</v>
      </c>
      <c r="D1344">
        <v>72.928657532000003</v>
      </c>
      <c r="E1344">
        <v>50</v>
      </c>
      <c r="F1344">
        <v>49.968566895000002</v>
      </c>
      <c r="G1344">
        <v>1301.7399902</v>
      </c>
      <c r="H1344">
        <v>1289.4508057</v>
      </c>
      <c r="I1344">
        <v>1388.6682129000001</v>
      </c>
      <c r="J1344">
        <v>1370.6373291</v>
      </c>
      <c r="K1344">
        <v>0</v>
      </c>
      <c r="L1344">
        <v>2200</v>
      </c>
      <c r="M1344">
        <v>2200</v>
      </c>
      <c r="N1344">
        <v>0</v>
      </c>
    </row>
    <row r="1345" spans="1:14" x14ac:dyDescent="0.25">
      <c r="A1345">
        <v>996.65116699999999</v>
      </c>
      <c r="B1345" s="1">
        <f>DATE(2013,1,21) + TIME(15,37,40)</f>
        <v>41295.65115740741</v>
      </c>
      <c r="C1345">
        <v>80</v>
      </c>
      <c r="D1345">
        <v>72.763900757000002</v>
      </c>
      <c r="E1345">
        <v>50</v>
      </c>
      <c r="F1345">
        <v>49.968624114999997</v>
      </c>
      <c r="G1345">
        <v>1301.5496826000001</v>
      </c>
      <c r="H1345">
        <v>1289.1956786999999</v>
      </c>
      <c r="I1345">
        <v>1388.6386719</v>
      </c>
      <c r="J1345">
        <v>1370.6130370999999</v>
      </c>
      <c r="K1345">
        <v>0</v>
      </c>
      <c r="L1345">
        <v>2200</v>
      </c>
      <c r="M1345">
        <v>2200</v>
      </c>
      <c r="N1345">
        <v>0</v>
      </c>
    </row>
    <row r="1346" spans="1:14" x14ac:dyDescent="0.25">
      <c r="A1346">
        <v>999.11211700000001</v>
      </c>
      <c r="B1346" s="1">
        <f>DATE(2013,1,24) + TIME(2,41,26)</f>
        <v>41298.11210648148</v>
      </c>
      <c r="C1346">
        <v>80</v>
      </c>
      <c r="D1346">
        <v>72.596626282000003</v>
      </c>
      <c r="E1346">
        <v>50</v>
      </c>
      <c r="F1346">
        <v>49.968677520999996</v>
      </c>
      <c r="G1346">
        <v>1301.3529053</v>
      </c>
      <c r="H1346">
        <v>1288.9307861</v>
      </c>
      <c r="I1346">
        <v>1388.609375</v>
      </c>
      <c r="J1346">
        <v>1370.5888672000001</v>
      </c>
      <c r="K1346">
        <v>0</v>
      </c>
      <c r="L1346">
        <v>2200</v>
      </c>
      <c r="M1346">
        <v>2200</v>
      </c>
      <c r="N1346">
        <v>0</v>
      </c>
    </row>
    <row r="1347" spans="1:14" x14ac:dyDescent="0.25">
      <c r="A1347">
        <v>1001.613334</v>
      </c>
      <c r="B1347" s="1">
        <f>DATE(2013,1,26) + TIME(14,43,12)</f>
        <v>41300.613333333335</v>
      </c>
      <c r="C1347">
        <v>80</v>
      </c>
      <c r="D1347">
        <v>72.426353454999997</v>
      </c>
      <c r="E1347">
        <v>50</v>
      </c>
      <c r="F1347">
        <v>49.968730927000003</v>
      </c>
      <c r="G1347">
        <v>1301.1492920000001</v>
      </c>
      <c r="H1347">
        <v>1288.6558838000001</v>
      </c>
      <c r="I1347">
        <v>1388.5804443</v>
      </c>
      <c r="J1347">
        <v>1370.5649414</v>
      </c>
      <c r="K1347">
        <v>0</v>
      </c>
      <c r="L1347">
        <v>2200</v>
      </c>
      <c r="M1347">
        <v>2200</v>
      </c>
      <c r="N1347">
        <v>0</v>
      </c>
    </row>
    <row r="1348" spans="1:14" x14ac:dyDescent="0.25">
      <c r="A1348">
        <v>1004.1598750000001</v>
      </c>
      <c r="B1348" s="1">
        <f>DATE(2013,1,29) + TIME(3,50,13)</f>
        <v>41303.159872685188</v>
      </c>
      <c r="C1348">
        <v>80</v>
      </c>
      <c r="D1348">
        <v>72.252464294000006</v>
      </c>
      <c r="E1348">
        <v>50</v>
      </c>
      <c r="F1348">
        <v>49.968788146999998</v>
      </c>
      <c r="G1348">
        <v>1300.9382324000001</v>
      </c>
      <c r="H1348">
        <v>1288.3699951000001</v>
      </c>
      <c r="I1348">
        <v>1388.5516356999999</v>
      </c>
      <c r="J1348">
        <v>1370.5411377</v>
      </c>
      <c r="K1348">
        <v>0</v>
      </c>
      <c r="L1348">
        <v>2200</v>
      </c>
      <c r="M1348">
        <v>2200</v>
      </c>
      <c r="N1348">
        <v>0</v>
      </c>
    </row>
    <row r="1349" spans="1:14" x14ac:dyDescent="0.25">
      <c r="A1349">
        <v>1006.748438</v>
      </c>
      <c r="B1349" s="1">
        <f>DATE(2013,1,31) + TIME(17,57,45)</f>
        <v>41305.748437499999</v>
      </c>
      <c r="C1349">
        <v>80</v>
      </c>
      <c r="D1349">
        <v>72.074378967000001</v>
      </c>
      <c r="E1349">
        <v>50</v>
      </c>
      <c r="F1349">
        <v>49.968845367</v>
      </c>
      <c r="G1349">
        <v>1300.7194824000001</v>
      </c>
      <c r="H1349">
        <v>1288.0726318</v>
      </c>
      <c r="I1349">
        <v>1388.5230713000001</v>
      </c>
      <c r="J1349">
        <v>1370.5174560999999</v>
      </c>
      <c r="K1349">
        <v>0</v>
      </c>
      <c r="L1349">
        <v>2200</v>
      </c>
      <c r="M1349">
        <v>2200</v>
      </c>
      <c r="N1349">
        <v>0</v>
      </c>
    </row>
    <row r="1350" spans="1:14" x14ac:dyDescent="0.25">
      <c r="A1350">
        <v>1007</v>
      </c>
      <c r="B1350" s="1">
        <f>DATE(2013,2,1) + TIME(0,0,0)</f>
        <v>41306</v>
      </c>
      <c r="C1350">
        <v>80</v>
      </c>
      <c r="D1350">
        <v>72.020858765</v>
      </c>
      <c r="E1350">
        <v>50</v>
      </c>
      <c r="F1350">
        <v>49.968845367</v>
      </c>
      <c r="G1350">
        <v>1300.5151367000001</v>
      </c>
      <c r="H1350">
        <v>1287.8200684000001</v>
      </c>
      <c r="I1350">
        <v>1388.4934082</v>
      </c>
      <c r="J1350">
        <v>1370.4927978999999</v>
      </c>
      <c r="K1350">
        <v>0</v>
      </c>
      <c r="L1350">
        <v>2200</v>
      </c>
      <c r="M1350">
        <v>2200</v>
      </c>
      <c r="N1350">
        <v>0</v>
      </c>
    </row>
    <row r="1351" spans="1:14" x14ac:dyDescent="0.25">
      <c r="A1351">
        <v>1009.614819</v>
      </c>
      <c r="B1351" s="1">
        <f>DATE(2013,2,3) + TIME(14,45,20)</f>
        <v>41308.614814814813</v>
      </c>
      <c r="C1351">
        <v>80</v>
      </c>
      <c r="D1351">
        <v>71.864868164000001</v>
      </c>
      <c r="E1351">
        <v>50</v>
      </c>
      <c r="F1351">
        <v>49.968906402999998</v>
      </c>
      <c r="G1351">
        <v>1300.4638672000001</v>
      </c>
      <c r="H1351">
        <v>1287.7207031</v>
      </c>
      <c r="I1351">
        <v>1388.4918213000001</v>
      </c>
      <c r="J1351">
        <v>1370.4914550999999</v>
      </c>
      <c r="K1351">
        <v>0</v>
      </c>
      <c r="L1351">
        <v>2200</v>
      </c>
      <c r="M1351">
        <v>2200</v>
      </c>
      <c r="N1351">
        <v>0</v>
      </c>
    </row>
    <row r="1352" spans="1:14" x14ac:dyDescent="0.25">
      <c r="A1352">
        <v>1012.265764</v>
      </c>
      <c r="B1352" s="1">
        <f>DATE(2013,2,6) + TIME(6,22,41)</f>
        <v>41311.265752314815</v>
      </c>
      <c r="C1352">
        <v>80</v>
      </c>
      <c r="D1352">
        <v>71.684814453000001</v>
      </c>
      <c r="E1352">
        <v>50</v>
      </c>
      <c r="F1352">
        <v>49.968967438</v>
      </c>
      <c r="G1352">
        <v>1300.2354736</v>
      </c>
      <c r="H1352">
        <v>1287.4104004000001</v>
      </c>
      <c r="I1352">
        <v>1388.4636230000001</v>
      </c>
      <c r="J1352">
        <v>1370.4681396000001</v>
      </c>
      <c r="K1352">
        <v>0</v>
      </c>
      <c r="L1352">
        <v>2200</v>
      </c>
      <c r="M1352">
        <v>2200</v>
      </c>
      <c r="N1352">
        <v>0</v>
      </c>
    </row>
    <row r="1353" spans="1:14" x14ac:dyDescent="0.25">
      <c r="A1353">
        <v>1014.95416</v>
      </c>
      <c r="B1353" s="1">
        <f>DATE(2013,2,8) + TIME(22,53,59)</f>
        <v>41313.954155092593</v>
      </c>
      <c r="C1353">
        <v>80</v>
      </c>
      <c r="D1353">
        <v>71.494628906000003</v>
      </c>
      <c r="E1353">
        <v>50</v>
      </c>
      <c r="F1353">
        <v>49.969024658000002</v>
      </c>
      <c r="G1353">
        <v>1299.9959716999999</v>
      </c>
      <c r="H1353">
        <v>1287.0820312000001</v>
      </c>
      <c r="I1353">
        <v>1388.4356689000001</v>
      </c>
      <c r="J1353">
        <v>1370.4448242000001</v>
      </c>
      <c r="K1353">
        <v>0</v>
      </c>
      <c r="L1353">
        <v>2200</v>
      </c>
      <c r="M1353">
        <v>2200</v>
      </c>
      <c r="N1353">
        <v>0</v>
      </c>
    </row>
    <row r="1354" spans="1:14" x14ac:dyDescent="0.25">
      <c r="A1354">
        <v>1017.683003</v>
      </c>
      <c r="B1354" s="1">
        <f>DATE(2013,2,11) + TIME(16,23,31)</f>
        <v>41316.682997685188</v>
      </c>
      <c r="C1354">
        <v>80</v>
      </c>
      <c r="D1354">
        <v>71.297401428000001</v>
      </c>
      <c r="E1354">
        <v>50</v>
      </c>
      <c r="F1354">
        <v>49.969081879000001</v>
      </c>
      <c r="G1354">
        <v>1299.7479248</v>
      </c>
      <c r="H1354">
        <v>1286.7404785000001</v>
      </c>
      <c r="I1354">
        <v>1388.4078368999999</v>
      </c>
      <c r="J1354">
        <v>1370.4216309000001</v>
      </c>
      <c r="K1354">
        <v>0</v>
      </c>
      <c r="L1354">
        <v>2200</v>
      </c>
      <c r="M1354">
        <v>2200</v>
      </c>
      <c r="N1354">
        <v>0</v>
      </c>
    </row>
    <row r="1355" spans="1:14" x14ac:dyDescent="0.25">
      <c r="A1355">
        <v>1020.456198</v>
      </c>
      <c r="B1355" s="1">
        <f>DATE(2013,2,14) + TIME(10,56,55)</f>
        <v>41319.456192129626</v>
      </c>
      <c r="C1355">
        <v>80</v>
      </c>
      <c r="D1355">
        <v>71.093338012999993</v>
      </c>
      <c r="E1355">
        <v>50</v>
      </c>
      <c r="F1355">
        <v>49.969142914000003</v>
      </c>
      <c r="G1355">
        <v>1299.4919434000001</v>
      </c>
      <c r="H1355">
        <v>1286.3867187999999</v>
      </c>
      <c r="I1355">
        <v>1388.3801269999999</v>
      </c>
      <c r="J1355">
        <v>1370.3985596</v>
      </c>
      <c r="K1355">
        <v>0</v>
      </c>
      <c r="L1355">
        <v>2200</v>
      </c>
      <c r="M1355">
        <v>2200</v>
      </c>
      <c r="N1355">
        <v>0</v>
      </c>
    </row>
    <row r="1356" spans="1:14" x14ac:dyDescent="0.25">
      <c r="A1356">
        <v>1023.26237</v>
      </c>
      <c r="B1356" s="1">
        <f>DATE(2013,2,17) + TIME(6,17,48)</f>
        <v>41322.262361111112</v>
      </c>
      <c r="C1356">
        <v>80</v>
      </c>
      <c r="D1356">
        <v>70.882049561000002</v>
      </c>
      <c r="E1356">
        <v>50</v>
      </c>
      <c r="F1356">
        <v>49.969203948999997</v>
      </c>
      <c r="G1356">
        <v>1299.2277832</v>
      </c>
      <c r="H1356">
        <v>1286.0203856999999</v>
      </c>
      <c r="I1356">
        <v>1388.3522949000001</v>
      </c>
      <c r="J1356">
        <v>1370.3753661999999</v>
      </c>
      <c r="K1356">
        <v>0</v>
      </c>
      <c r="L1356">
        <v>2200</v>
      </c>
      <c r="M1356">
        <v>2200</v>
      </c>
      <c r="N1356">
        <v>0</v>
      </c>
    </row>
    <row r="1357" spans="1:14" x14ac:dyDescent="0.25">
      <c r="A1357">
        <v>1026.095325</v>
      </c>
      <c r="B1357" s="1">
        <f>DATE(2013,2,20) + TIME(2,17,16)</f>
        <v>41325.095324074071</v>
      </c>
      <c r="C1357">
        <v>80</v>
      </c>
      <c r="D1357">
        <v>70.663528442</v>
      </c>
      <c r="E1357">
        <v>50</v>
      </c>
      <c r="F1357">
        <v>49.969264983999999</v>
      </c>
      <c r="G1357">
        <v>1298.9564209</v>
      </c>
      <c r="H1357">
        <v>1285.6428223</v>
      </c>
      <c r="I1357">
        <v>1388.324707</v>
      </c>
      <c r="J1357">
        <v>1370.3521728999999</v>
      </c>
      <c r="K1357">
        <v>0</v>
      </c>
      <c r="L1357">
        <v>2200</v>
      </c>
      <c r="M1357">
        <v>2200</v>
      </c>
      <c r="N1357">
        <v>0</v>
      </c>
    </row>
    <row r="1358" spans="1:14" x14ac:dyDescent="0.25">
      <c r="A1358">
        <v>1028.9613850000001</v>
      </c>
      <c r="B1358" s="1">
        <f>DATE(2013,2,22) + TIME(23,4,23)</f>
        <v>41327.961377314816</v>
      </c>
      <c r="C1358">
        <v>80</v>
      </c>
      <c r="D1358">
        <v>70.437438964999998</v>
      </c>
      <c r="E1358">
        <v>50</v>
      </c>
      <c r="F1358">
        <v>49.969326019</v>
      </c>
      <c r="G1358">
        <v>1298.6783447</v>
      </c>
      <c r="H1358">
        <v>1285.2547606999999</v>
      </c>
      <c r="I1358">
        <v>1388.2972411999999</v>
      </c>
      <c r="J1358">
        <v>1370.3291016000001</v>
      </c>
      <c r="K1358">
        <v>0</v>
      </c>
      <c r="L1358">
        <v>2200</v>
      </c>
      <c r="M1358">
        <v>2200</v>
      </c>
      <c r="N1358">
        <v>0</v>
      </c>
    </row>
    <row r="1359" spans="1:14" x14ac:dyDescent="0.25">
      <c r="A1359">
        <v>1031.8667129999999</v>
      </c>
      <c r="B1359" s="1">
        <f>DATE(2013,2,25) + TIME(20,48,3)</f>
        <v>41330.866701388892</v>
      </c>
      <c r="C1359">
        <v>80</v>
      </c>
      <c r="D1359">
        <v>70.202865600999999</v>
      </c>
      <c r="E1359">
        <v>50</v>
      </c>
      <c r="F1359">
        <v>49.969387054000002</v>
      </c>
      <c r="G1359">
        <v>1298.3931885</v>
      </c>
      <c r="H1359">
        <v>1284.8554687999999</v>
      </c>
      <c r="I1359">
        <v>1388.2697754000001</v>
      </c>
      <c r="J1359">
        <v>1370.3061522999999</v>
      </c>
      <c r="K1359">
        <v>0</v>
      </c>
      <c r="L1359">
        <v>2200</v>
      </c>
      <c r="M1359">
        <v>2200</v>
      </c>
      <c r="N1359">
        <v>0</v>
      </c>
    </row>
    <row r="1360" spans="1:14" x14ac:dyDescent="0.25">
      <c r="A1360">
        <v>1034.817466</v>
      </c>
      <c r="B1360" s="1">
        <f>DATE(2013,2,28) + TIME(19,37,9)</f>
        <v>41333.817465277774</v>
      </c>
      <c r="C1360">
        <v>80</v>
      </c>
      <c r="D1360">
        <v>69.958793639999996</v>
      </c>
      <c r="E1360">
        <v>50</v>
      </c>
      <c r="F1360">
        <v>49.96944809</v>
      </c>
      <c r="G1360">
        <v>1298.1007079999999</v>
      </c>
      <c r="H1360">
        <v>1284.4444579999999</v>
      </c>
      <c r="I1360">
        <v>1388.2423096</v>
      </c>
      <c r="J1360">
        <v>1370.2830810999999</v>
      </c>
      <c r="K1360">
        <v>0</v>
      </c>
      <c r="L1360">
        <v>2200</v>
      </c>
      <c r="M1360">
        <v>2200</v>
      </c>
      <c r="N1360">
        <v>0</v>
      </c>
    </row>
    <row r="1361" spans="1:14" x14ac:dyDescent="0.25">
      <c r="A1361">
        <v>1035</v>
      </c>
      <c r="B1361" s="1">
        <f>DATE(2013,3,1) + TIME(0,0,0)</f>
        <v>41334</v>
      </c>
      <c r="C1361">
        <v>80</v>
      </c>
      <c r="D1361">
        <v>69.901206970000004</v>
      </c>
      <c r="E1361">
        <v>50</v>
      </c>
      <c r="F1361">
        <v>49.96944809</v>
      </c>
      <c r="G1361">
        <v>1297.8350829999999</v>
      </c>
      <c r="H1361">
        <v>1284.1152344</v>
      </c>
      <c r="I1361">
        <v>1388.2138672000001</v>
      </c>
      <c r="J1361">
        <v>1370.2590332</v>
      </c>
      <c r="K1361">
        <v>0</v>
      </c>
      <c r="L1361">
        <v>2200</v>
      </c>
      <c r="M1361">
        <v>2200</v>
      </c>
      <c r="N1361">
        <v>0</v>
      </c>
    </row>
    <row r="1362" spans="1:14" x14ac:dyDescent="0.25">
      <c r="A1362">
        <v>1038.0023940000001</v>
      </c>
      <c r="B1362" s="1">
        <f>DATE(2013,3,4) + TIME(0,3,26)</f>
        <v>41337.002384259256</v>
      </c>
      <c r="C1362">
        <v>80</v>
      </c>
      <c r="D1362">
        <v>69.677917480000005</v>
      </c>
      <c r="E1362">
        <v>50</v>
      </c>
      <c r="F1362">
        <v>49.969516753999997</v>
      </c>
      <c r="G1362">
        <v>1297.7735596</v>
      </c>
      <c r="H1362">
        <v>1283.9797363</v>
      </c>
      <c r="I1362">
        <v>1388.2130127</v>
      </c>
      <c r="J1362">
        <v>1370.2583007999999</v>
      </c>
      <c r="K1362">
        <v>0</v>
      </c>
      <c r="L1362">
        <v>2200</v>
      </c>
      <c r="M1362">
        <v>2200</v>
      </c>
      <c r="N1362">
        <v>0</v>
      </c>
    </row>
    <row r="1363" spans="1:14" x14ac:dyDescent="0.25">
      <c r="A1363">
        <v>1041.053621</v>
      </c>
      <c r="B1363" s="1">
        <f>DATE(2013,3,7) + TIME(1,17,12)</f>
        <v>41340.053611111114</v>
      </c>
      <c r="C1363">
        <v>80</v>
      </c>
      <c r="D1363">
        <v>69.417243958</v>
      </c>
      <c r="E1363">
        <v>50</v>
      </c>
      <c r="F1363">
        <v>49.969577788999999</v>
      </c>
      <c r="G1363">
        <v>1297.4700928</v>
      </c>
      <c r="H1363">
        <v>1283.5533447</v>
      </c>
      <c r="I1363">
        <v>1388.1853027</v>
      </c>
      <c r="J1363">
        <v>1370.2348632999999</v>
      </c>
      <c r="K1363">
        <v>0</v>
      </c>
      <c r="L1363">
        <v>2200</v>
      </c>
      <c r="M1363">
        <v>2200</v>
      </c>
      <c r="N1363">
        <v>0</v>
      </c>
    </row>
    <row r="1364" spans="1:14" x14ac:dyDescent="0.25">
      <c r="A1364">
        <v>1044.150142</v>
      </c>
      <c r="B1364" s="1">
        <f>DATE(2013,3,10) + TIME(3,36,12)</f>
        <v>41343.150138888886</v>
      </c>
      <c r="C1364">
        <v>80</v>
      </c>
      <c r="D1364">
        <v>69.137893676999994</v>
      </c>
      <c r="E1364">
        <v>50</v>
      </c>
      <c r="F1364">
        <v>49.969642639</v>
      </c>
      <c r="G1364">
        <v>1297.1538086</v>
      </c>
      <c r="H1364">
        <v>1283.1051024999999</v>
      </c>
      <c r="I1364">
        <v>1388.1573486</v>
      </c>
      <c r="J1364">
        <v>1370.2111815999999</v>
      </c>
      <c r="K1364">
        <v>0</v>
      </c>
      <c r="L1364">
        <v>2200</v>
      </c>
      <c r="M1364">
        <v>2200</v>
      </c>
      <c r="N1364">
        <v>0</v>
      </c>
    </row>
    <row r="1365" spans="1:14" x14ac:dyDescent="0.25">
      <c r="A1365">
        <v>1047.2991320000001</v>
      </c>
      <c r="B1365" s="1">
        <f>DATE(2013,3,13) + TIME(7,10,45)</f>
        <v>41346.299131944441</v>
      </c>
      <c r="C1365">
        <v>80</v>
      </c>
      <c r="D1365">
        <v>68.843536377000007</v>
      </c>
      <c r="E1365">
        <v>50</v>
      </c>
      <c r="F1365">
        <v>49.969707489000001</v>
      </c>
      <c r="G1365">
        <v>1296.8286132999999</v>
      </c>
      <c r="H1365">
        <v>1282.6422118999999</v>
      </c>
      <c r="I1365">
        <v>1388.1291504000001</v>
      </c>
      <c r="J1365">
        <v>1370.1873779</v>
      </c>
      <c r="K1365">
        <v>0</v>
      </c>
      <c r="L1365">
        <v>2200</v>
      </c>
      <c r="M1365">
        <v>2200</v>
      </c>
      <c r="N1365">
        <v>0</v>
      </c>
    </row>
    <row r="1366" spans="1:14" x14ac:dyDescent="0.25">
      <c r="A1366">
        <v>1050.5079459999999</v>
      </c>
      <c r="B1366" s="1">
        <f>DATE(2013,3,16) + TIME(12,11,26)</f>
        <v>41349.507939814815</v>
      </c>
      <c r="C1366">
        <v>80</v>
      </c>
      <c r="D1366">
        <v>68.533798218000001</v>
      </c>
      <c r="E1366">
        <v>50</v>
      </c>
      <c r="F1366">
        <v>49.969772339000002</v>
      </c>
      <c r="G1366">
        <v>1296.4948730000001</v>
      </c>
      <c r="H1366">
        <v>1282.1654053</v>
      </c>
      <c r="I1366">
        <v>1388.1008300999999</v>
      </c>
      <c r="J1366">
        <v>1370.1632079999999</v>
      </c>
      <c r="K1366">
        <v>0</v>
      </c>
      <c r="L1366">
        <v>2200</v>
      </c>
      <c r="M1366">
        <v>2200</v>
      </c>
      <c r="N1366">
        <v>0</v>
      </c>
    </row>
    <row r="1367" spans="1:14" x14ac:dyDescent="0.25">
      <c r="A1367">
        <v>1053.761538</v>
      </c>
      <c r="B1367" s="1">
        <f>DATE(2013,3,19) + TIME(18,16,36)</f>
        <v>41352.76152777778</v>
      </c>
      <c r="C1367">
        <v>80</v>
      </c>
      <c r="D1367">
        <v>68.207778931000007</v>
      </c>
      <c r="E1367">
        <v>50</v>
      </c>
      <c r="F1367">
        <v>49.969841002999999</v>
      </c>
      <c r="G1367">
        <v>1296.1524658000001</v>
      </c>
      <c r="H1367">
        <v>1281.6744385</v>
      </c>
      <c r="I1367">
        <v>1388.0720214999999</v>
      </c>
      <c r="J1367">
        <v>1370.1386719</v>
      </c>
      <c r="K1367">
        <v>0</v>
      </c>
      <c r="L1367">
        <v>2200</v>
      </c>
      <c r="M1367">
        <v>2200</v>
      </c>
      <c r="N1367">
        <v>0</v>
      </c>
    </row>
    <row r="1368" spans="1:14" x14ac:dyDescent="0.25">
      <c r="A1368">
        <v>1057.062001</v>
      </c>
      <c r="B1368" s="1">
        <f>DATE(2013,3,23) + TIME(1,29,16)</f>
        <v>41356.061990740738</v>
      </c>
      <c r="C1368">
        <v>80</v>
      </c>
      <c r="D1368">
        <v>67.865531920999999</v>
      </c>
      <c r="E1368">
        <v>50</v>
      </c>
      <c r="F1368">
        <v>49.969905853</v>
      </c>
      <c r="G1368">
        <v>1295.8028564000001</v>
      </c>
      <c r="H1368">
        <v>1281.1712646000001</v>
      </c>
      <c r="I1368">
        <v>1388.0428466999999</v>
      </c>
      <c r="J1368">
        <v>1370.1137695</v>
      </c>
      <c r="K1368">
        <v>0</v>
      </c>
      <c r="L1368">
        <v>2200</v>
      </c>
      <c r="M1368">
        <v>2200</v>
      </c>
      <c r="N1368">
        <v>0</v>
      </c>
    </row>
    <row r="1369" spans="1:14" x14ac:dyDescent="0.25">
      <c r="A1369">
        <v>1060.417719</v>
      </c>
      <c r="B1369" s="1">
        <f>DATE(2013,3,26) + TIME(10,1,30)</f>
        <v>41359.417708333334</v>
      </c>
      <c r="C1369">
        <v>80</v>
      </c>
      <c r="D1369">
        <v>67.506217957000004</v>
      </c>
      <c r="E1369">
        <v>50</v>
      </c>
      <c r="F1369">
        <v>49.969974518000001</v>
      </c>
      <c r="G1369">
        <v>1295.4462891000001</v>
      </c>
      <c r="H1369">
        <v>1280.65625</v>
      </c>
      <c r="I1369">
        <v>1388.0134277</v>
      </c>
      <c r="J1369">
        <v>1370.0886230000001</v>
      </c>
      <c r="K1369">
        <v>0</v>
      </c>
      <c r="L1369">
        <v>2200</v>
      </c>
      <c r="M1369">
        <v>2200</v>
      </c>
      <c r="N1369">
        <v>0</v>
      </c>
    </row>
    <row r="1370" spans="1:14" x14ac:dyDescent="0.25">
      <c r="A1370">
        <v>1063.8374470000001</v>
      </c>
      <c r="B1370" s="1">
        <f>DATE(2013,3,29) + TIME(20,5,55)</f>
        <v>41362.837442129632</v>
      </c>
      <c r="C1370">
        <v>80</v>
      </c>
      <c r="D1370">
        <v>67.128425598000007</v>
      </c>
      <c r="E1370">
        <v>50</v>
      </c>
      <c r="F1370">
        <v>49.970043181999998</v>
      </c>
      <c r="G1370">
        <v>1295.0823975000001</v>
      </c>
      <c r="H1370">
        <v>1280.1285399999999</v>
      </c>
      <c r="I1370">
        <v>1387.9836425999999</v>
      </c>
      <c r="J1370">
        <v>1370.0628661999999</v>
      </c>
      <c r="K1370">
        <v>0</v>
      </c>
      <c r="L1370">
        <v>2200</v>
      </c>
      <c r="M1370">
        <v>2200</v>
      </c>
      <c r="N1370">
        <v>0</v>
      </c>
    </row>
    <row r="1371" spans="1:14" x14ac:dyDescent="0.25">
      <c r="A1371">
        <v>1066</v>
      </c>
      <c r="B1371" s="1">
        <f>DATE(2013,4,1) + TIME(0,0,0)</f>
        <v>41365</v>
      </c>
      <c r="C1371">
        <v>80</v>
      </c>
      <c r="D1371">
        <v>66.772155761999997</v>
      </c>
      <c r="E1371">
        <v>50</v>
      </c>
      <c r="F1371">
        <v>49.970081329000003</v>
      </c>
      <c r="G1371">
        <v>1294.7160644999999</v>
      </c>
      <c r="H1371">
        <v>1279.605957</v>
      </c>
      <c r="I1371">
        <v>1387.9527588000001</v>
      </c>
      <c r="J1371">
        <v>1370.0362548999999</v>
      </c>
      <c r="K1371">
        <v>0</v>
      </c>
      <c r="L1371">
        <v>2200</v>
      </c>
      <c r="M1371">
        <v>2200</v>
      </c>
      <c r="N1371">
        <v>0</v>
      </c>
    </row>
    <row r="1372" spans="1:14" x14ac:dyDescent="0.25">
      <c r="A1372">
        <v>1069.4931779999999</v>
      </c>
      <c r="B1372" s="1">
        <f>DATE(2013,4,4) + TIME(11,50,10)</f>
        <v>41368.493171296293</v>
      </c>
      <c r="C1372">
        <v>80</v>
      </c>
      <c r="D1372">
        <v>66.450706482000001</v>
      </c>
      <c r="E1372">
        <v>50</v>
      </c>
      <c r="F1372">
        <v>49.970153809000003</v>
      </c>
      <c r="G1372">
        <v>1294.4606934000001</v>
      </c>
      <c r="H1372">
        <v>1279.2147216999999</v>
      </c>
      <c r="I1372">
        <v>1387.9339600000001</v>
      </c>
      <c r="J1372">
        <v>1370.0201416</v>
      </c>
      <c r="K1372">
        <v>0</v>
      </c>
      <c r="L1372">
        <v>2200</v>
      </c>
      <c r="M1372">
        <v>2200</v>
      </c>
      <c r="N1372">
        <v>0</v>
      </c>
    </row>
    <row r="1373" spans="1:14" x14ac:dyDescent="0.25">
      <c r="A1373">
        <v>1073.0960250000001</v>
      </c>
      <c r="B1373" s="1">
        <f>DATE(2013,4,8) + TIME(2,18,16)</f>
        <v>41372.096018518518</v>
      </c>
      <c r="C1373">
        <v>80</v>
      </c>
      <c r="D1373">
        <v>66.038482665999993</v>
      </c>
      <c r="E1373">
        <v>50</v>
      </c>
      <c r="F1373">
        <v>49.970226287999999</v>
      </c>
      <c r="G1373">
        <v>1294.0919189000001</v>
      </c>
      <c r="H1373">
        <v>1278.6806641000001</v>
      </c>
      <c r="I1373">
        <v>1387.902832</v>
      </c>
      <c r="J1373">
        <v>1369.9931641000001</v>
      </c>
      <c r="K1373">
        <v>0</v>
      </c>
      <c r="L1373">
        <v>2200</v>
      </c>
      <c r="M1373">
        <v>2200</v>
      </c>
      <c r="N1373">
        <v>0</v>
      </c>
    </row>
    <row r="1374" spans="1:14" x14ac:dyDescent="0.25">
      <c r="A1374">
        <v>1076.7710890000001</v>
      </c>
      <c r="B1374" s="1">
        <f>DATE(2013,4,11) + TIME(18,30,22)</f>
        <v>41375.771087962959</v>
      </c>
      <c r="C1374">
        <v>80</v>
      </c>
      <c r="D1374">
        <v>65.587471007999994</v>
      </c>
      <c r="E1374">
        <v>50</v>
      </c>
      <c r="F1374">
        <v>49.970294952000003</v>
      </c>
      <c r="G1374">
        <v>1293.7028809000001</v>
      </c>
      <c r="H1374">
        <v>1278.1101074000001</v>
      </c>
      <c r="I1374">
        <v>1387.8706055</v>
      </c>
      <c r="J1374">
        <v>1369.9652100000001</v>
      </c>
      <c r="K1374">
        <v>0</v>
      </c>
      <c r="L1374">
        <v>2200</v>
      </c>
      <c r="M1374">
        <v>2200</v>
      </c>
      <c r="N1374">
        <v>0</v>
      </c>
    </row>
    <row r="1375" spans="1:14" x14ac:dyDescent="0.25">
      <c r="A1375">
        <v>1080.5306149999999</v>
      </c>
      <c r="B1375" s="1">
        <f>DATE(2013,4,15) + TIME(12,44,5)</f>
        <v>41379.530613425923</v>
      </c>
      <c r="C1375">
        <v>80</v>
      </c>
      <c r="D1375">
        <v>65.110504149999997</v>
      </c>
      <c r="E1375">
        <v>50</v>
      </c>
      <c r="F1375">
        <v>49.970367432000003</v>
      </c>
      <c r="G1375">
        <v>1293.3048096</v>
      </c>
      <c r="H1375">
        <v>1277.5225829999999</v>
      </c>
      <c r="I1375">
        <v>1387.8377685999999</v>
      </c>
      <c r="J1375">
        <v>1369.9365233999999</v>
      </c>
      <c r="K1375">
        <v>0</v>
      </c>
      <c r="L1375">
        <v>2200</v>
      </c>
      <c r="M1375">
        <v>2200</v>
      </c>
      <c r="N1375">
        <v>0</v>
      </c>
    </row>
    <row r="1376" spans="1:14" x14ac:dyDescent="0.25">
      <c r="A1376">
        <v>1084.387641</v>
      </c>
      <c r="B1376" s="1">
        <f>DATE(2013,4,19) + TIME(9,18,12)</f>
        <v>41383.387638888889</v>
      </c>
      <c r="C1376">
        <v>80</v>
      </c>
      <c r="D1376">
        <v>64.608825683999996</v>
      </c>
      <c r="E1376">
        <v>50</v>
      </c>
      <c r="F1376">
        <v>49.970443725999999</v>
      </c>
      <c r="G1376">
        <v>1292.8986815999999</v>
      </c>
      <c r="H1376">
        <v>1276.9205322</v>
      </c>
      <c r="I1376">
        <v>1387.8039550999999</v>
      </c>
      <c r="J1376">
        <v>1369.9069824000001</v>
      </c>
      <c r="K1376">
        <v>0</v>
      </c>
      <c r="L1376">
        <v>2200</v>
      </c>
      <c r="M1376">
        <v>2200</v>
      </c>
      <c r="N1376">
        <v>0</v>
      </c>
    </row>
    <row r="1377" spans="1:14" x14ac:dyDescent="0.25">
      <c r="A1377">
        <v>1088.3282469999999</v>
      </c>
      <c r="B1377" s="1">
        <f>DATE(2013,4,23) + TIME(7,52,40)</f>
        <v>41387.328240740739</v>
      </c>
      <c r="C1377">
        <v>80</v>
      </c>
      <c r="D1377">
        <v>64.081695557000003</v>
      </c>
      <c r="E1377">
        <v>50</v>
      </c>
      <c r="F1377">
        <v>49.970516205000003</v>
      </c>
      <c r="G1377">
        <v>1292.4846190999999</v>
      </c>
      <c r="H1377">
        <v>1276.3043213000001</v>
      </c>
      <c r="I1377">
        <v>1387.769043</v>
      </c>
      <c r="J1377">
        <v>1369.8764647999999</v>
      </c>
      <c r="K1377">
        <v>0</v>
      </c>
      <c r="L1377">
        <v>2200</v>
      </c>
      <c r="M1377">
        <v>2200</v>
      </c>
      <c r="N1377">
        <v>0</v>
      </c>
    </row>
    <row r="1378" spans="1:14" x14ac:dyDescent="0.25">
      <c r="A1378">
        <v>1092.3592490000001</v>
      </c>
      <c r="B1378" s="1">
        <f>DATE(2013,4,27) + TIME(8,37,19)</f>
        <v>41391.359247685185</v>
      </c>
      <c r="C1378">
        <v>80</v>
      </c>
      <c r="D1378">
        <v>63.530178069999998</v>
      </c>
      <c r="E1378">
        <v>50</v>
      </c>
      <c r="F1378">
        <v>49.970592498999999</v>
      </c>
      <c r="G1378">
        <v>1292.0646973</v>
      </c>
      <c r="H1378">
        <v>1275.6763916</v>
      </c>
      <c r="I1378">
        <v>1387.7332764</v>
      </c>
      <c r="J1378">
        <v>1369.8448486</v>
      </c>
      <c r="K1378">
        <v>0</v>
      </c>
      <c r="L1378">
        <v>2200</v>
      </c>
      <c r="M1378">
        <v>2200</v>
      </c>
      <c r="N1378">
        <v>0</v>
      </c>
    </row>
    <row r="1379" spans="1:14" x14ac:dyDescent="0.25">
      <c r="A1379">
        <v>1096</v>
      </c>
      <c r="B1379" s="1">
        <f>DATE(2013,5,1) + TIME(0,0,0)</f>
        <v>41395</v>
      </c>
      <c r="C1379">
        <v>80</v>
      </c>
      <c r="D1379">
        <v>62.966426849000001</v>
      </c>
      <c r="E1379">
        <v>50</v>
      </c>
      <c r="F1379">
        <v>49.970661163000003</v>
      </c>
      <c r="G1379">
        <v>1291.6402588000001</v>
      </c>
      <c r="H1379">
        <v>1275.0423584</v>
      </c>
      <c r="I1379">
        <v>1387.6962891000001</v>
      </c>
      <c r="J1379">
        <v>1369.8121338000001</v>
      </c>
      <c r="K1379">
        <v>0</v>
      </c>
      <c r="L1379">
        <v>2200</v>
      </c>
      <c r="M1379">
        <v>2200</v>
      </c>
      <c r="N1379">
        <v>0</v>
      </c>
    </row>
    <row r="1380" spans="1:14" x14ac:dyDescent="0.25">
      <c r="A1380">
        <v>1096.0000010000001</v>
      </c>
      <c r="B1380" s="1">
        <f>DATE(2013,5,1) + TIME(0,0,0)</f>
        <v>41395</v>
      </c>
      <c r="C1380">
        <v>80</v>
      </c>
      <c r="D1380">
        <v>62.966571807999998</v>
      </c>
      <c r="E1380">
        <v>50</v>
      </c>
      <c r="F1380">
        <v>49.970558167</v>
      </c>
      <c r="G1380">
        <v>1309.7498779</v>
      </c>
      <c r="H1380">
        <v>1292.5755615</v>
      </c>
      <c r="I1380">
        <v>1369.0106201000001</v>
      </c>
      <c r="J1380">
        <v>1351.7484131000001</v>
      </c>
      <c r="K1380">
        <v>2200</v>
      </c>
      <c r="L1380">
        <v>0</v>
      </c>
      <c r="M1380">
        <v>0</v>
      </c>
      <c r="N1380">
        <v>2200</v>
      </c>
    </row>
    <row r="1381" spans="1:14" x14ac:dyDescent="0.25">
      <c r="A1381">
        <v>1096.000004</v>
      </c>
      <c r="B1381" s="1">
        <f>DATE(2013,5,1) + TIME(0,0,0)</f>
        <v>41395</v>
      </c>
      <c r="C1381">
        <v>80</v>
      </c>
      <c r="D1381">
        <v>62.966960907000001</v>
      </c>
      <c r="E1381">
        <v>50</v>
      </c>
      <c r="F1381">
        <v>49.970291138</v>
      </c>
      <c r="G1381">
        <v>1311.9240723</v>
      </c>
      <c r="H1381">
        <v>1294.9973144999999</v>
      </c>
      <c r="I1381">
        <v>1366.8726807</v>
      </c>
      <c r="J1381">
        <v>1349.6097411999999</v>
      </c>
      <c r="K1381">
        <v>2200</v>
      </c>
      <c r="L1381">
        <v>0</v>
      </c>
      <c r="M1381">
        <v>0</v>
      </c>
      <c r="N1381">
        <v>2200</v>
      </c>
    </row>
    <row r="1382" spans="1:14" x14ac:dyDescent="0.25">
      <c r="A1382">
        <v>1096.0000130000001</v>
      </c>
      <c r="B1382" s="1">
        <f>DATE(2013,5,1) + TIME(0,0,1)</f>
        <v>41395.000011574077</v>
      </c>
      <c r="C1382">
        <v>80</v>
      </c>
      <c r="D1382">
        <v>62.967838286999999</v>
      </c>
      <c r="E1382">
        <v>50</v>
      </c>
      <c r="F1382">
        <v>49.969684600999997</v>
      </c>
      <c r="G1382">
        <v>1316.7242432</v>
      </c>
      <c r="H1382">
        <v>1300.1329346</v>
      </c>
      <c r="I1382">
        <v>1362.0765381000001</v>
      </c>
      <c r="J1382">
        <v>1344.8125</v>
      </c>
      <c r="K1382">
        <v>2200</v>
      </c>
      <c r="L1382">
        <v>0</v>
      </c>
      <c r="M1382">
        <v>0</v>
      </c>
      <c r="N1382">
        <v>2200</v>
      </c>
    </row>
    <row r="1383" spans="1:14" x14ac:dyDescent="0.25">
      <c r="A1383">
        <v>1096.0000399999999</v>
      </c>
      <c r="B1383" s="1">
        <f>DATE(2013,5,1) + TIME(0,0,3)</f>
        <v>41395.000034722223</v>
      </c>
      <c r="C1383">
        <v>80</v>
      </c>
      <c r="D1383">
        <v>62.969490051000001</v>
      </c>
      <c r="E1383">
        <v>50</v>
      </c>
      <c r="F1383">
        <v>49.968673705999997</v>
      </c>
      <c r="G1383">
        <v>1324.6027832</v>
      </c>
      <c r="H1383">
        <v>1308.1549072</v>
      </c>
      <c r="I1383">
        <v>1354.0610352000001</v>
      </c>
      <c r="J1383">
        <v>1336.7979736</v>
      </c>
      <c r="K1383">
        <v>2200</v>
      </c>
      <c r="L1383">
        <v>0</v>
      </c>
      <c r="M1383">
        <v>0</v>
      </c>
      <c r="N1383">
        <v>2200</v>
      </c>
    </row>
    <row r="1384" spans="1:14" x14ac:dyDescent="0.25">
      <c r="A1384">
        <v>1096.000121</v>
      </c>
      <c r="B1384" s="1">
        <f>DATE(2013,5,1) + TIME(0,0,10)</f>
        <v>41395.000115740739</v>
      </c>
      <c r="C1384">
        <v>80</v>
      </c>
      <c r="D1384">
        <v>62.972503662000001</v>
      </c>
      <c r="E1384">
        <v>50</v>
      </c>
      <c r="F1384">
        <v>49.967433929000002</v>
      </c>
      <c r="G1384">
        <v>1334.1586914</v>
      </c>
      <c r="H1384">
        <v>1317.6043701000001</v>
      </c>
      <c r="I1384">
        <v>1344.2755127</v>
      </c>
      <c r="J1384">
        <v>1327.0175781</v>
      </c>
      <c r="K1384">
        <v>2200</v>
      </c>
      <c r="L1384">
        <v>0</v>
      </c>
      <c r="M1384">
        <v>0</v>
      </c>
      <c r="N1384">
        <v>2200</v>
      </c>
    </row>
    <row r="1385" spans="1:14" x14ac:dyDescent="0.25">
      <c r="A1385">
        <v>1096.000364</v>
      </c>
      <c r="B1385" s="1">
        <f>DATE(2013,5,1) + TIME(0,0,31)</f>
        <v>41395.000358796293</v>
      </c>
      <c r="C1385">
        <v>80</v>
      </c>
      <c r="D1385">
        <v>62.979129790999998</v>
      </c>
      <c r="E1385">
        <v>50</v>
      </c>
      <c r="F1385">
        <v>49.966136931999998</v>
      </c>
      <c r="G1385">
        <v>1344.1096190999999</v>
      </c>
      <c r="H1385">
        <v>1327.3985596</v>
      </c>
      <c r="I1385">
        <v>1334.1999512</v>
      </c>
      <c r="J1385">
        <v>1316.9516602000001</v>
      </c>
      <c r="K1385">
        <v>2200</v>
      </c>
      <c r="L1385">
        <v>0</v>
      </c>
      <c r="M1385">
        <v>0</v>
      </c>
      <c r="N1385">
        <v>2200</v>
      </c>
    </row>
    <row r="1386" spans="1:14" x14ac:dyDescent="0.25">
      <c r="A1386">
        <v>1096.0010930000001</v>
      </c>
      <c r="B1386" s="1">
        <f>DATE(2013,5,1) + TIME(0,1,34)</f>
        <v>41395.001087962963</v>
      </c>
      <c r="C1386">
        <v>80</v>
      </c>
      <c r="D1386">
        <v>62.996582031000003</v>
      </c>
      <c r="E1386">
        <v>50</v>
      </c>
      <c r="F1386">
        <v>49.964778899999999</v>
      </c>
      <c r="G1386">
        <v>1354.3664550999999</v>
      </c>
      <c r="H1386">
        <v>1337.4822998</v>
      </c>
      <c r="I1386">
        <v>1324.1228027</v>
      </c>
      <c r="J1386">
        <v>1306.8834228999999</v>
      </c>
      <c r="K1386">
        <v>2200</v>
      </c>
      <c r="L1386">
        <v>0</v>
      </c>
      <c r="M1386">
        <v>0</v>
      </c>
      <c r="N1386">
        <v>2200</v>
      </c>
    </row>
    <row r="1387" spans="1:14" x14ac:dyDescent="0.25">
      <c r="A1387">
        <v>1096.0032799999999</v>
      </c>
      <c r="B1387" s="1">
        <f>DATE(2013,5,1) + TIME(0,4,43)</f>
        <v>41395.003275462965</v>
      </c>
      <c r="C1387">
        <v>80</v>
      </c>
      <c r="D1387">
        <v>63.046768188000001</v>
      </c>
      <c r="E1387">
        <v>50</v>
      </c>
      <c r="F1387">
        <v>49.963233948000003</v>
      </c>
      <c r="G1387">
        <v>1365.1590576000001</v>
      </c>
      <c r="H1387">
        <v>1348.0797118999999</v>
      </c>
      <c r="I1387">
        <v>1313.9710693</v>
      </c>
      <c r="J1387">
        <v>1296.7058105000001</v>
      </c>
      <c r="K1387">
        <v>2200</v>
      </c>
      <c r="L1387">
        <v>0</v>
      </c>
      <c r="M1387">
        <v>0</v>
      </c>
      <c r="N1387">
        <v>2200</v>
      </c>
    </row>
    <row r="1388" spans="1:14" x14ac:dyDescent="0.25">
      <c r="A1388">
        <v>1096.0098410000001</v>
      </c>
      <c r="B1388" s="1">
        <f>DATE(2013,5,1) + TIME(0,14,10)</f>
        <v>41395.009837962964</v>
      </c>
      <c r="C1388">
        <v>80</v>
      </c>
      <c r="D1388">
        <v>63.194782257</v>
      </c>
      <c r="E1388">
        <v>50</v>
      </c>
      <c r="F1388">
        <v>49.961196899000001</v>
      </c>
      <c r="G1388">
        <v>1375.7226562000001</v>
      </c>
      <c r="H1388">
        <v>1358.4938964999999</v>
      </c>
      <c r="I1388">
        <v>1304.1721190999999</v>
      </c>
      <c r="J1388">
        <v>1286.8350829999999</v>
      </c>
      <c r="K1388">
        <v>2200</v>
      </c>
      <c r="L1388">
        <v>0</v>
      </c>
      <c r="M1388">
        <v>0</v>
      </c>
      <c r="N1388">
        <v>2200</v>
      </c>
    </row>
    <row r="1389" spans="1:14" x14ac:dyDescent="0.25">
      <c r="A1389">
        <v>1096.029524</v>
      </c>
      <c r="B1389" s="1">
        <f>DATE(2013,5,1) + TIME(0,42,30)</f>
        <v>41395.029513888891</v>
      </c>
      <c r="C1389">
        <v>80</v>
      </c>
      <c r="D1389">
        <v>63.626838683999999</v>
      </c>
      <c r="E1389">
        <v>50</v>
      </c>
      <c r="F1389">
        <v>49.957870483000001</v>
      </c>
      <c r="G1389">
        <v>1383.7896728999999</v>
      </c>
      <c r="H1389">
        <v>1366.5703125</v>
      </c>
      <c r="I1389">
        <v>1296.6331786999999</v>
      </c>
      <c r="J1389">
        <v>1279.2373047000001</v>
      </c>
      <c r="K1389">
        <v>2200</v>
      </c>
      <c r="L1389">
        <v>0</v>
      </c>
      <c r="M1389">
        <v>0</v>
      </c>
      <c r="N1389">
        <v>2200</v>
      </c>
    </row>
    <row r="1390" spans="1:14" x14ac:dyDescent="0.25">
      <c r="A1390">
        <v>1096.058485</v>
      </c>
      <c r="B1390" s="1">
        <f>DATE(2013,5,1) + TIME(1,24,13)</f>
        <v>41395.058483796296</v>
      </c>
      <c r="C1390">
        <v>80</v>
      </c>
      <c r="D1390">
        <v>64.238670349000003</v>
      </c>
      <c r="E1390">
        <v>50</v>
      </c>
      <c r="F1390">
        <v>49.954044342000003</v>
      </c>
      <c r="G1390">
        <v>1386.9986572</v>
      </c>
      <c r="H1390">
        <v>1369.9034423999999</v>
      </c>
      <c r="I1390">
        <v>1293.7777100000001</v>
      </c>
      <c r="J1390">
        <v>1276.3623047000001</v>
      </c>
      <c r="K1390">
        <v>2200</v>
      </c>
      <c r="L1390">
        <v>0</v>
      </c>
      <c r="M1390">
        <v>0</v>
      </c>
      <c r="N1390">
        <v>2200</v>
      </c>
    </row>
    <row r="1391" spans="1:14" x14ac:dyDescent="0.25">
      <c r="A1391">
        <v>1096.088109</v>
      </c>
      <c r="B1391" s="1">
        <f>DATE(2013,5,1) + TIME(2,6,52)</f>
        <v>41395.088101851848</v>
      </c>
      <c r="C1391">
        <v>80</v>
      </c>
      <c r="D1391">
        <v>64.840850829999994</v>
      </c>
      <c r="E1391">
        <v>50</v>
      </c>
      <c r="F1391">
        <v>49.950428008999999</v>
      </c>
      <c r="G1391">
        <v>1388.0053711</v>
      </c>
      <c r="H1391">
        <v>1371.0432129000001</v>
      </c>
      <c r="I1391">
        <v>1292.9860839999999</v>
      </c>
      <c r="J1391">
        <v>1275.5651855000001</v>
      </c>
      <c r="K1391">
        <v>2200</v>
      </c>
      <c r="L1391">
        <v>0</v>
      </c>
      <c r="M1391">
        <v>0</v>
      </c>
      <c r="N1391">
        <v>2200</v>
      </c>
    </row>
    <row r="1392" spans="1:14" x14ac:dyDescent="0.25">
      <c r="A1392">
        <v>1096.1183470000001</v>
      </c>
      <c r="B1392" s="1">
        <f>DATE(2013,5,1) + TIME(2,50,25)</f>
        <v>41395.118344907409</v>
      </c>
      <c r="C1392">
        <v>80</v>
      </c>
      <c r="D1392">
        <v>65.431869507000002</v>
      </c>
      <c r="E1392">
        <v>50</v>
      </c>
      <c r="F1392">
        <v>49.946846008000001</v>
      </c>
      <c r="G1392">
        <v>1388.2781981999999</v>
      </c>
      <c r="H1392">
        <v>1371.4492187999999</v>
      </c>
      <c r="I1392">
        <v>1292.7945557</v>
      </c>
      <c r="J1392">
        <v>1275.3717041</v>
      </c>
      <c r="K1392">
        <v>2200</v>
      </c>
      <c r="L1392">
        <v>0</v>
      </c>
      <c r="M1392">
        <v>0</v>
      </c>
      <c r="N1392">
        <v>2200</v>
      </c>
    </row>
    <row r="1393" spans="1:14" x14ac:dyDescent="0.25">
      <c r="A1393">
        <v>1096.1492040000001</v>
      </c>
      <c r="B1393" s="1">
        <f>DATE(2013,5,1) + TIME(3,34,51)</f>
        <v>41395.149201388886</v>
      </c>
      <c r="C1393">
        <v>80</v>
      </c>
      <c r="D1393">
        <v>66.011322020999998</v>
      </c>
      <c r="E1393">
        <v>50</v>
      </c>
      <c r="F1393">
        <v>49.943248748999999</v>
      </c>
      <c r="G1393">
        <v>1388.2779541</v>
      </c>
      <c r="H1393">
        <v>1371.5787353999999</v>
      </c>
      <c r="I1393">
        <v>1292.7720947</v>
      </c>
      <c r="J1393">
        <v>1275.3485106999999</v>
      </c>
      <c r="K1393">
        <v>2200</v>
      </c>
      <c r="L1393">
        <v>0</v>
      </c>
      <c r="M1393">
        <v>0</v>
      </c>
      <c r="N1393">
        <v>2200</v>
      </c>
    </row>
    <row r="1394" spans="1:14" x14ac:dyDescent="0.25">
      <c r="A1394">
        <v>1096.180707</v>
      </c>
      <c r="B1394" s="1">
        <f>DATE(2013,5,1) + TIME(4,20,13)</f>
        <v>41395.180706018517</v>
      </c>
      <c r="C1394">
        <v>80</v>
      </c>
      <c r="D1394">
        <v>66.579139709000003</v>
      </c>
      <c r="E1394">
        <v>50</v>
      </c>
      <c r="F1394">
        <v>49.939617157000001</v>
      </c>
      <c r="G1394">
        <v>1388.1693115</v>
      </c>
      <c r="H1394">
        <v>1371.5957031</v>
      </c>
      <c r="I1394">
        <v>1292.7886963000001</v>
      </c>
      <c r="J1394">
        <v>1275.3647461</v>
      </c>
      <c r="K1394">
        <v>2200</v>
      </c>
      <c r="L1394">
        <v>0</v>
      </c>
      <c r="M1394">
        <v>0</v>
      </c>
      <c r="N1394">
        <v>2200</v>
      </c>
    </row>
    <row r="1395" spans="1:14" x14ac:dyDescent="0.25">
      <c r="A1395">
        <v>1096.2128869999999</v>
      </c>
      <c r="B1395" s="1">
        <f>DATE(2013,5,1) + TIME(5,6,33)</f>
        <v>41395.212881944448</v>
      </c>
      <c r="C1395">
        <v>80</v>
      </c>
      <c r="D1395">
        <v>67.135383606000005</v>
      </c>
      <c r="E1395">
        <v>50</v>
      </c>
      <c r="F1395">
        <v>49.935943604000002</v>
      </c>
      <c r="G1395">
        <v>1388.0166016000001</v>
      </c>
      <c r="H1395">
        <v>1371.5642089999999</v>
      </c>
      <c r="I1395">
        <v>1292.8078613</v>
      </c>
      <c r="J1395">
        <v>1275.3835449000001</v>
      </c>
      <c r="K1395">
        <v>2200</v>
      </c>
      <c r="L1395">
        <v>0</v>
      </c>
      <c r="M1395">
        <v>0</v>
      </c>
      <c r="N1395">
        <v>2200</v>
      </c>
    </row>
    <row r="1396" spans="1:14" x14ac:dyDescent="0.25">
      <c r="A1396">
        <v>1096.2457750000001</v>
      </c>
      <c r="B1396" s="1">
        <f>DATE(2013,5,1) + TIME(5,53,54)</f>
        <v>41395.245763888888</v>
      </c>
      <c r="C1396">
        <v>80</v>
      </c>
      <c r="D1396">
        <v>67.680038452000005</v>
      </c>
      <c r="E1396">
        <v>50</v>
      </c>
      <c r="F1396">
        <v>49.932224273999999</v>
      </c>
      <c r="G1396">
        <v>1387.8468018000001</v>
      </c>
      <c r="H1396">
        <v>1371.5113524999999</v>
      </c>
      <c r="I1396">
        <v>1292.8217772999999</v>
      </c>
      <c r="J1396">
        <v>1275.3972168</v>
      </c>
      <c r="K1396">
        <v>2200</v>
      </c>
      <c r="L1396">
        <v>0</v>
      </c>
      <c r="M1396">
        <v>0</v>
      </c>
      <c r="N1396">
        <v>2200</v>
      </c>
    </row>
    <row r="1397" spans="1:14" x14ac:dyDescent="0.25">
      <c r="A1397">
        <v>1096.279413</v>
      </c>
      <c r="B1397" s="1">
        <f>DATE(2013,5,1) + TIME(6,42,21)</f>
        <v>41395.279409722221</v>
      </c>
      <c r="C1397">
        <v>80</v>
      </c>
      <c r="D1397">
        <v>68.213249207000004</v>
      </c>
      <c r="E1397">
        <v>50</v>
      </c>
      <c r="F1397">
        <v>49.928459167</v>
      </c>
      <c r="G1397">
        <v>1387.6719971</v>
      </c>
      <c r="H1397">
        <v>1371.4490966999999</v>
      </c>
      <c r="I1397">
        <v>1292.8304443</v>
      </c>
      <c r="J1397">
        <v>1275.4056396000001</v>
      </c>
      <c r="K1397">
        <v>2200</v>
      </c>
      <c r="L1397">
        <v>0</v>
      </c>
      <c r="M1397">
        <v>0</v>
      </c>
      <c r="N1397">
        <v>2200</v>
      </c>
    </row>
    <row r="1398" spans="1:14" x14ac:dyDescent="0.25">
      <c r="A1398">
        <v>1096.313846</v>
      </c>
      <c r="B1398" s="1">
        <f>DATE(2013,5,1) + TIME(7,31,56)</f>
        <v>41395.313842592594</v>
      </c>
      <c r="C1398">
        <v>80</v>
      </c>
      <c r="D1398">
        <v>68.735115050999994</v>
      </c>
      <c r="E1398">
        <v>50</v>
      </c>
      <c r="F1398">
        <v>49.924640656000001</v>
      </c>
      <c r="G1398">
        <v>1387.4973144999999</v>
      </c>
      <c r="H1398">
        <v>1371.3831786999999</v>
      </c>
      <c r="I1398">
        <v>1292.8355713000001</v>
      </c>
      <c r="J1398">
        <v>1275.4104004000001</v>
      </c>
      <c r="K1398">
        <v>2200</v>
      </c>
      <c r="L1398">
        <v>0</v>
      </c>
      <c r="M1398">
        <v>0</v>
      </c>
      <c r="N1398">
        <v>2200</v>
      </c>
    </row>
    <row r="1399" spans="1:14" x14ac:dyDescent="0.25">
      <c r="A1399">
        <v>1096.3491200000001</v>
      </c>
      <c r="B1399" s="1">
        <f>DATE(2013,5,1) + TIME(8,22,43)</f>
        <v>41395.349108796298</v>
      </c>
      <c r="C1399">
        <v>80</v>
      </c>
      <c r="D1399">
        <v>69.245704650999997</v>
      </c>
      <c r="E1399">
        <v>50</v>
      </c>
      <c r="F1399">
        <v>49.920772552000003</v>
      </c>
      <c r="G1399">
        <v>1387.3255615</v>
      </c>
      <c r="H1399">
        <v>1371.3161620999999</v>
      </c>
      <c r="I1399">
        <v>1292.838501</v>
      </c>
      <c r="J1399">
        <v>1275.4129639</v>
      </c>
      <c r="K1399">
        <v>2200</v>
      </c>
      <c r="L1399">
        <v>0</v>
      </c>
      <c r="M1399">
        <v>0</v>
      </c>
      <c r="N1399">
        <v>2200</v>
      </c>
    </row>
    <row r="1400" spans="1:14" x14ac:dyDescent="0.25">
      <c r="A1400">
        <v>1096.3852830000001</v>
      </c>
      <c r="B1400" s="1">
        <f>DATE(2013,5,1) + TIME(9,14,48)</f>
        <v>41395.385277777779</v>
      </c>
      <c r="C1400">
        <v>80</v>
      </c>
      <c r="D1400">
        <v>69.745071410999998</v>
      </c>
      <c r="E1400">
        <v>50</v>
      </c>
      <c r="F1400">
        <v>49.916839600000003</v>
      </c>
      <c r="G1400">
        <v>1387.1578368999999</v>
      </c>
      <c r="H1400">
        <v>1371.2495117000001</v>
      </c>
      <c r="I1400">
        <v>1292.8399658000001</v>
      </c>
      <c r="J1400">
        <v>1275.4141846</v>
      </c>
      <c r="K1400">
        <v>2200</v>
      </c>
      <c r="L1400">
        <v>0</v>
      </c>
      <c r="M1400">
        <v>0</v>
      </c>
      <c r="N1400">
        <v>2200</v>
      </c>
    </row>
    <row r="1401" spans="1:14" x14ac:dyDescent="0.25">
      <c r="A1401">
        <v>1096.42239</v>
      </c>
      <c r="B1401" s="1">
        <f>DATE(2013,5,1) + TIME(10,8,14)</f>
        <v>41395.422384259262</v>
      </c>
      <c r="C1401">
        <v>80</v>
      </c>
      <c r="D1401">
        <v>70.233093261999997</v>
      </c>
      <c r="E1401">
        <v>50</v>
      </c>
      <c r="F1401">
        <v>49.912849426000001</v>
      </c>
      <c r="G1401">
        <v>1386.9946289</v>
      </c>
      <c r="H1401">
        <v>1371.1837158000001</v>
      </c>
      <c r="I1401">
        <v>1292.8406981999999</v>
      </c>
      <c r="J1401">
        <v>1275.4146728999999</v>
      </c>
      <c r="K1401">
        <v>2200</v>
      </c>
      <c r="L1401">
        <v>0</v>
      </c>
      <c r="M1401">
        <v>0</v>
      </c>
      <c r="N1401">
        <v>2200</v>
      </c>
    </row>
    <row r="1402" spans="1:14" x14ac:dyDescent="0.25">
      <c r="A1402">
        <v>1096.4604979999999</v>
      </c>
      <c r="B1402" s="1">
        <f>DATE(2013,5,1) + TIME(11,3,7)</f>
        <v>41395.460497685184</v>
      </c>
      <c r="C1402">
        <v>80</v>
      </c>
      <c r="D1402">
        <v>70.709785460999996</v>
      </c>
      <c r="E1402">
        <v>50</v>
      </c>
      <c r="F1402">
        <v>49.908790588000002</v>
      </c>
      <c r="G1402">
        <v>1386.8361815999999</v>
      </c>
      <c r="H1402">
        <v>1371.1191406</v>
      </c>
      <c r="I1402">
        <v>1292.8410644999999</v>
      </c>
      <c r="J1402">
        <v>1275.4145507999999</v>
      </c>
      <c r="K1402">
        <v>2200</v>
      </c>
      <c r="L1402">
        <v>0</v>
      </c>
      <c r="M1402">
        <v>0</v>
      </c>
      <c r="N1402">
        <v>2200</v>
      </c>
    </row>
    <row r="1403" spans="1:14" x14ac:dyDescent="0.25">
      <c r="A1403">
        <v>1096.4996699999999</v>
      </c>
      <c r="B1403" s="1">
        <f>DATE(2013,5,1) + TIME(11,59,31)</f>
        <v>41395.499664351853</v>
      </c>
      <c r="C1403">
        <v>80</v>
      </c>
      <c r="D1403">
        <v>71.175346375000004</v>
      </c>
      <c r="E1403">
        <v>50</v>
      </c>
      <c r="F1403">
        <v>49.904663085999999</v>
      </c>
      <c r="G1403">
        <v>1386.682251</v>
      </c>
      <c r="H1403">
        <v>1371.0557861</v>
      </c>
      <c r="I1403">
        <v>1292.8410644999999</v>
      </c>
      <c r="J1403">
        <v>1275.4143065999999</v>
      </c>
      <c r="K1403">
        <v>2200</v>
      </c>
      <c r="L1403">
        <v>0</v>
      </c>
      <c r="M1403">
        <v>0</v>
      </c>
      <c r="N1403">
        <v>2200</v>
      </c>
    </row>
    <row r="1404" spans="1:14" x14ac:dyDescent="0.25">
      <c r="A1404">
        <v>1096.5399749999999</v>
      </c>
      <c r="B1404" s="1">
        <f>DATE(2013,5,1) + TIME(12,57,33)</f>
        <v>41395.539965277778</v>
      </c>
      <c r="C1404">
        <v>80</v>
      </c>
      <c r="D1404">
        <v>71.629798889</v>
      </c>
      <c r="E1404">
        <v>50</v>
      </c>
      <c r="F1404">
        <v>49.900455475000001</v>
      </c>
      <c r="G1404">
        <v>1386.5328368999999</v>
      </c>
      <c r="H1404">
        <v>1370.9937743999999</v>
      </c>
      <c r="I1404">
        <v>1292.8410644999999</v>
      </c>
      <c r="J1404">
        <v>1275.4139404</v>
      </c>
      <c r="K1404">
        <v>2200</v>
      </c>
      <c r="L1404">
        <v>0</v>
      </c>
      <c r="M1404">
        <v>0</v>
      </c>
      <c r="N1404">
        <v>2200</v>
      </c>
    </row>
    <row r="1405" spans="1:14" x14ac:dyDescent="0.25">
      <c r="A1405">
        <v>1096.581486</v>
      </c>
      <c r="B1405" s="1">
        <f>DATE(2013,5,1) + TIME(13,57,20)</f>
        <v>41395.58148148148</v>
      </c>
      <c r="C1405">
        <v>80</v>
      </c>
      <c r="D1405">
        <v>72.073143005000006</v>
      </c>
      <c r="E1405">
        <v>50</v>
      </c>
      <c r="F1405">
        <v>49.896167755</v>
      </c>
      <c r="G1405">
        <v>1386.3876952999999</v>
      </c>
      <c r="H1405">
        <v>1370.9329834</v>
      </c>
      <c r="I1405">
        <v>1292.8408202999999</v>
      </c>
      <c r="J1405">
        <v>1275.4134521000001</v>
      </c>
      <c r="K1405">
        <v>2200</v>
      </c>
      <c r="L1405">
        <v>0</v>
      </c>
      <c r="M1405">
        <v>0</v>
      </c>
      <c r="N1405">
        <v>2200</v>
      </c>
    </row>
    <row r="1406" spans="1:14" x14ac:dyDescent="0.25">
      <c r="A1406">
        <v>1096.6242950000001</v>
      </c>
      <c r="B1406" s="1">
        <f>DATE(2013,5,1) + TIME(14,58,59)</f>
        <v>41395.624293981484</v>
      </c>
      <c r="C1406">
        <v>80</v>
      </c>
      <c r="D1406">
        <v>72.505470275999997</v>
      </c>
      <c r="E1406">
        <v>50</v>
      </c>
      <c r="F1406">
        <v>49.891788482999999</v>
      </c>
      <c r="G1406">
        <v>1386.2467041</v>
      </c>
      <c r="H1406">
        <v>1370.8734131000001</v>
      </c>
      <c r="I1406">
        <v>1292.8405762</v>
      </c>
      <c r="J1406">
        <v>1275.4127197</v>
      </c>
      <c r="K1406">
        <v>2200</v>
      </c>
      <c r="L1406">
        <v>0</v>
      </c>
      <c r="M1406">
        <v>0</v>
      </c>
      <c r="N1406">
        <v>2200</v>
      </c>
    </row>
    <row r="1407" spans="1:14" x14ac:dyDescent="0.25">
      <c r="A1407">
        <v>1096.6684949999999</v>
      </c>
      <c r="B1407" s="1">
        <f>DATE(2013,5,1) + TIME(16,2,37)</f>
        <v>41395.668483796297</v>
      </c>
      <c r="C1407">
        <v>80</v>
      </c>
      <c r="D1407">
        <v>72.926780700999998</v>
      </c>
      <c r="E1407">
        <v>50</v>
      </c>
      <c r="F1407">
        <v>49.887317656999997</v>
      </c>
      <c r="G1407">
        <v>1386.1094971</v>
      </c>
      <c r="H1407">
        <v>1370.8148193</v>
      </c>
      <c r="I1407">
        <v>1292.840332</v>
      </c>
      <c r="J1407">
        <v>1275.4121094</v>
      </c>
      <c r="K1407">
        <v>2200</v>
      </c>
      <c r="L1407">
        <v>0</v>
      </c>
      <c r="M1407">
        <v>0</v>
      </c>
      <c r="N1407">
        <v>2200</v>
      </c>
    </row>
    <row r="1408" spans="1:14" x14ac:dyDescent="0.25">
      <c r="A1408">
        <v>1096.7141730000001</v>
      </c>
      <c r="B1408" s="1">
        <f>DATE(2013,5,1) + TIME(17,8,24)</f>
        <v>41395.714166666665</v>
      </c>
      <c r="C1408">
        <v>80</v>
      </c>
      <c r="D1408">
        <v>73.336936950999998</v>
      </c>
      <c r="E1408">
        <v>50</v>
      </c>
      <c r="F1408">
        <v>49.882740020999996</v>
      </c>
      <c r="G1408">
        <v>1385.9760742000001</v>
      </c>
      <c r="H1408">
        <v>1370.7572021000001</v>
      </c>
      <c r="I1408">
        <v>1292.8399658000001</v>
      </c>
      <c r="J1408">
        <v>1275.4113769999999</v>
      </c>
      <c r="K1408">
        <v>2200</v>
      </c>
      <c r="L1408">
        <v>0</v>
      </c>
      <c r="M1408">
        <v>0</v>
      </c>
      <c r="N1408">
        <v>2200</v>
      </c>
    </row>
    <row r="1409" spans="1:14" x14ac:dyDescent="0.25">
      <c r="A1409">
        <v>1096.761438</v>
      </c>
      <c r="B1409" s="1">
        <f>DATE(2013,5,1) + TIME(18,16,28)</f>
        <v>41395.761435185188</v>
      </c>
      <c r="C1409">
        <v>80</v>
      </c>
      <c r="D1409">
        <v>73.735916137999993</v>
      </c>
      <c r="E1409">
        <v>50</v>
      </c>
      <c r="F1409">
        <v>49.878055572999997</v>
      </c>
      <c r="G1409">
        <v>1385.8461914</v>
      </c>
      <c r="H1409">
        <v>1370.7004394999999</v>
      </c>
      <c r="I1409">
        <v>1292.8394774999999</v>
      </c>
      <c r="J1409">
        <v>1275.4105225000001</v>
      </c>
      <c r="K1409">
        <v>2200</v>
      </c>
      <c r="L1409">
        <v>0</v>
      </c>
      <c r="M1409">
        <v>0</v>
      </c>
      <c r="N1409">
        <v>2200</v>
      </c>
    </row>
    <row r="1410" spans="1:14" x14ac:dyDescent="0.25">
      <c r="A1410">
        <v>1096.810412</v>
      </c>
      <c r="B1410" s="1">
        <f>DATE(2013,5,1) + TIME(19,26,59)</f>
        <v>41395.81040509259</v>
      </c>
      <c r="C1410">
        <v>80</v>
      </c>
      <c r="D1410">
        <v>74.123672485</v>
      </c>
      <c r="E1410">
        <v>50</v>
      </c>
      <c r="F1410">
        <v>49.873252868999998</v>
      </c>
      <c r="G1410">
        <v>1385.7196045000001</v>
      </c>
      <c r="H1410">
        <v>1370.6444091999999</v>
      </c>
      <c r="I1410">
        <v>1292.8391113</v>
      </c>
      <c r="J1410">
        <v>1275.409668</v>
      </c>
      <c r="K1410">
        <v>2200</v>
      </c>
      <c r="L1410">
        <v>0</v>
      </c>
      <c r="M1410">
        <v>0</v>
      </c>
      <c r="N1410">
        <v>2200</v>
      </c>
    </row>
    <row r="1411" spans="1:14" x14ac:dyDescent="0.25">
      <c r="A1411">
        <v>1096.861228</v>
      </c>
      <c r="B1411" s="1">
        <f>DATE(2013,5,1) + TIME(20,40,10)</f>
        <v>41395.861226851855</v>
      </c>
      <c r="C1411">
        <v>80</v>
      </c>
      <c r="D1411">
        <v>74.500160217000001</v>
      </c>
      <c r="E1411">
        <v>50</v>
      </c>
      <c r="F1411">
        <v>49.868316649999997</v>
      </c>
      <c r="G1411">
        <v>1385.5961914</v>
      </c>
      <c r="H1411">
        <v>1370.5889893000001</v>
      </c>
      <c r="I1411">
        <v>1292.838501</v>
      </c>
      <c r="J1411">
        <v>1275.4088135</v>
      </c>
      <c r="K1411">
        <v>2200</v>
      </c>
      <c r="L1411">
        <v>0</v>
      </c>
      <c r="M1411">
        <v>0</v>
      </c>
      <c r="N1411">
        <v>2200</v>
      </c>
    </row>
    <row r="1412" spans="1:14" x14ac:dyDescent="0.25">
      <c r="A1412">
        <v>1096.914037</v>
      </c>
      <c r="B1412" s="1">
        <f>DATE(2013,5,1) + TIME(21,56,12)</f>
        <v>41395.914027777777</v>
      </c>
      <c r="C1412">
        <v>80</v>
      </c>
      <c r="D1412">
        <v>74.865325928000004</v>
      </c>
      <c r="E1412">
        <v>50</v>
      </c>
      <c r="F1412">
        <v>49.863246918000002</v>
      </c>
      <c r="G1412">
        <v>1385.4757079999999</v>
      </c>
      <c r="H1412">
        <v>1370.5341797000001</v>
      </c>
      <c r="I1412">
        <v>1292.8380127</v>
      </c>
      <c r="J1412">
        <v>1275.4078368999999</v>
      </c>
      <c r="K1412">
        <v>2200</v>
      </c>
      <c r="L1412">
        <v>0</v>
      </c>
      <c r="M1412">
        <v>0</v>
      </c>
      <c r="N1412">
        <v>2200</v>
      </c>
    </row>
    <row r="1413" spans="1:14" x14ac:dyDescent="0.25">
      <c r="A1413">
        <v>1096.9690049999999</v>
      </c>
      <c r="B1413" s="1">
        <f>DATE(2013,5,1) + TIME(23,15,22)</f>
        <v>41395.969004629631</v>
      </c>
      <c r="C1413">
        <v>80</v>
      </c>
      <c r="D1413">
        <v>75.218917847</v>
      </c>
      <c r="E1413">
        <v>50</v>
      </c>
      <c r="F1413">
        <v>49.858024596999996</v>
      </c>
      <c r="G1413">
        <v>1385.3579102000001</v>
      </c>
      <c r="H1413">
        <v>1370.4797363</v>
      </c>
      <c r="I1413">
        <v>1292.8374022999999</v>
      </c>
      <c r="J1413">
        <v>1275.4067382999999</v>
      </c>
      <c r="K1413">
        <v>2200</v>
      </c>
      <c r="L1413">
        <v>0</v>
      </c>
      <c r="M1413">
        <v>0</v>
      </c>
      <c r="N1413">
        <v>2200</v>
      </c>
    </row>
    <row r="1414" spans="1:14" x14ac:dyDescent="0.25">
      <c r="A1414">
        <v>1097.0263239999999</v>
      </c>
      <c r="B1414" s="1">
        <f>DATE(2013,5,2) + TIME(0,37,54)</f>
        <v>41396.026319444441</v>
      </c>
      <c r="C1414">
        <v>80</v>
      </c>
      <c r="D1414">
        <v>75.560928344999994</v>
      </c>
      <c r="E1414">
        <v>50</v>
      </c>
      <c r="F1414">
        <v>49.852634430000002</v>
      </c>
      <c r="G1414">
        <v>1385.2427978999999</v>
      </c>
      <c r="H1414">
        <v>1370.4255370999999</v>
      </c>
      <c r="I1414">
        <v>1292.8367920000001</v>
      </c>
      <c r="J1414">
        <v>1275.4057617000001</v>
      </c>
      <c r="K1414">
        <v>2200</v>
      </c>
      <c r="L1414">
        <v>0</v>
      </c>
      <c r="M1414">
        <v>0</v>
      </c>
      <c r="N1414">
        <v>2200</v>
      </c>
    </row>
    <row r="1415" spans="1:14" x14ac:dyDescent="0.25">
      <c r="A1415">
        <v>1097.0862059999999</v>
      </c>
      <c r="B1415" s="1">
        <f>DATE(2013,5,2) + TIME(2,4,8)</f>
        <v>41396.0862037037</v>
      </c>
      <c r="C1415">
        <v>80</v>
      </c>
      <c r="D1415">
        <v>75.891372681000007</v>
      </c>
      <c r="E1415">
        <v>50</v>
      </c>
      <c r="F1415">
        <v>49.847064971999998</v>
      </c>
      <c r="G1415">
        <v>1385.1300048999999</v>
      </c>
      <c r="H1415">
        <v>1370.371582</v>
      </c>
      <c r="I1415">
        <v>1292.8360596</v>
      </c>
      <c r="J1415">
        <v>1275.4045410000001</v>
      </c>
      <c r="K1415">
        <v>2200</v>
      </c>
      <c r="L1415">
        <v>0</v>
      </c>
      <c r="M1415">
        <v>0</v>
      </c>
      <c r="N1415">
        <v>2200</v>
      </c>
    </row>
    <row r="1416" spans="1:14" x14ac:dyDescent="0.25">
      <c r="A1416">
        <v>1097.1488999999999</v>
      </c>
      <c r="B1416" s="1">
        <f>DATE(2013,5,2) + TIME(3,34,24)</f>
        <v>41396.148888888885</v>
      </c>
      <c r="C1416">
        <v>80</v>
      </c>
      <c r="D1416">
        <v>76.210166931000003</v>
      </c>
      <c r="E1416">
        <v>50</v>
      </c>
      <c r="F1416">
        <v>49.841300963999998</v>
      </c>
      <c r="G1416">
        <v>1385.0192870999999</v>
      </c>
      <c r="H1416">
        <v>1370.317749</v>
      </c>
      <c r="I1416">
        <v>1292.8353271000001</v>
      </c>
      <c r="J1416">
        <v>1275.4033202999999</v>
      </c>
      <c r="K1416">
        <v>2200</v>
      </c>
      <c r="L1416">
        <v>0</v>
      </c>
      <c r="M1416">
        <v>0</v>
      </c>
      <c r="N1416">
        <v>2200</v>
      </c>
    </row>
    <row r="1417" spans="1:14" x14ac:dyDescent="0.25">
      <c r="A1417">
        <v>1097.2147239999999</v>
      </c>
      <c r="B1417" s="1">
        <f>DATE(2013,5,2) + TIME(5,9,12)</f>
        <v>41396.214722222219</v>
      </c>
      <c r="C1417">
        <v>80</v>
      </c>
      <c r="D1417">
        <v>76.517372131000002</v>
      </c>
      <c r="E1417">
        <v>50</v>
      </c>
      <c r="F1417">
        <v>49.835315704000003</v>
      </c>
      <c r="G1417">
        <v>1384.9106445</v>
      </c>
      <c r="H1417">
        <v>1370.2637939000001</v>
      </c>
      <c r="I1417">
        <v>1292.8345947</v>
      </c>
      <c r="J1417">
        <v>1275.4020995999999</v>
      </c>
      <c r="K1417">
        <v>2200</v>
      </c>
      <c r="L1417">
        <v>0</v>
      </c>
      <c r="M1417">
        <v>0</v>
      </c>
      <c r="N1417">
        <v>2200</v>
      </c>
    </row>
    <row r="1418" spans="1:14" x14ac:dyDescent="0.25">
      <c r="A1418">
        <v>1097.283964</v>
      </c>
      <c r="B1418" s="1">
        <f>DATE(2013,5,2) + TIME(6,48,54)</f>
        <v>41396.283958333333</v>
      </c>
      <c r="C1418">
        <v>80</v>
      </c>
      <c r="D1418">
        <v>76.812683105000005</v>
      </c>
      <c r="E1418">
        <v>50</v>
      </c>
      <c r="F1418">
        <v>49.829090118000003</v>
      </c>
      <c r="G1418">
        <v>1384.8037108999999</v>
      </c>
      <c r="H1418">
        <v>1370.2095947</v>
      </c>
      <c r="I1418">
        <v>1292.8337402</v>
      </c>
      <c r="J1418">
        <v>1275.4007568</v>
      </c>
      <c r="K1418">
        <v>2200</v>
      </c>
      <c r="L1418">
        <v>0</v>
      </c>
      <c r="M1418">
        <v>0</v>
      </c>
      <c r="N1418">
        <v>2200</v>
      </c>
    </row>
    <row r="1419" spans="1:14" x14ac:dyDescent="0.25">
      <c r="A1419">
        <v>1097.356992</v>
      </c>
      <c r="B1419" s="1">
        <f>DATE(2013,5,2) + TIME(8,34,4)</f>
        <v>41396.356990740744</v>
      </c>
      <c r="C1419">
        <v>80</v>
      </c>
      <c r="D1419">
        <v>77.095985412999994</v>
      </c>
      <c r="E1419">
        <v>50</v>
      </c>
      <c r="F1419">
        <v>49.822597504000001</v>
      </c>
      <c r="G1419">
        <v>1384.6983643000001</v>
      </c>
      <c r="H1419">
        <v>1370.1551514</v>
      </c>
      <c r="I1419">
        <v>1292.8328856999999</v>
      </c>
      <c r="J1419">
        <v>1275.3992920000001</v>
      </c>
      <c r="K1419">
        <v>2200</v>
      </c>
      <c r="L1419">
        <v>0</v>
      </c>
      <c r="M1419">
        <v>0</v>
      </c>
      <c r="N1419">
        <v>2200</v>
      </c>
    </row>
    <row r="1420" spans="1:14" x14ac:dyDescent="0.25">
      <c r="A1420">
        <v>1097.4342469999999</v>
      </c>
      <c r="B1420" s="1">
        <f>DATE(2013,5,2) + TIME(10,25,18)</f>
        <v>41396.434236111112</v>
      </c>
      <c r="C1420">
        <v>80</v>
      </c>
      <c r="D1420">
        <v>77.367126464999998</v>
      </c>
      <c r="E1420">
        <v>50</v>
      </c>
      <c r="F1420">
        <v>49.815811156999999</v>
      </c>
      <c r="G1420">
        <v>1384.5944824000001</v>
      </c>
      <c r="H1420">
        <v>1370.1002197</v>
      </c>
      <c r="I1420">
        <v>1292.8319091999999</v>
      </c>
      <c r="J1420">
        <v>1275.3978271000001</v>
      </c>
      <c r="K1420">
        <v>2200</v>
      </c>
      <c r="L1420">
        <v>0</v>
      </c>
      <c r="M1420">
        <v>0</v>
      </c>
      <c r="N1420">
        <v>2200</v>
      </c>
    </row>
    <row r="1421" spans="1:14" x14ac:dyDescent="0.25">
      <c r="A1421">
        <v>1097.516243</v>
      </c>
      <c r="B1421" s="1">
        <f>DATE(2013,5,2) + TIME(12,23,23)</f>
        <v>41396.516238425924</v>
      </c>
      <c r="C1421">
        <v>80</v>
      </c>
      <c r="D1421">
        <v>77.625976562000005</v>
      </c>
      <c r="E1421">
        <v>50</v>
      </c>
      <c r="F1421">
        <v>49.808692932</v>
      </c>
      <c r="G1421">
        <v>1384.4916992000001</v>
      </c>
      <c r="H1421">
        <v>1370.0445557</v>
      </c>
      <c r="I1421">
        <v>1292.8309326000001</v>
      </c>
      <c r="J1421">
        <v>1275.3962402</v>
      </c>
      <c r="K1421">
        <v>2200</v>
      </c>
      <c r="L1421">
        <v>0</v>
      </c>
      <c r="M1421">
        <v>0</v>
      </c>
      <c r="N1421">
        <v>2200</v>
      </c>
    </row>
    <row r="1422" spans="1:14" x14ac:dyDescent="0.25">
      <c r="A1422">
        <v>1097.603572</v>
      </c>
      <c r="B1422" s="1">
        <f>DATE(2013,5,2) + TIME(14,29,8)</f>
        <v>41396.603564814817</v>
      </c>
      <c r="C1422">
        <v>80</v>
      </c>
      <c r="D1422">
        <v>77.872322083</v>
      </c>
      <c r="E1422">
        <v>50</v>
      </c>
      <c r="F1422">
        <v>49.801204681000002</v>
      </c>
      <c r="G1422">
        <v>1384.3897704999999</v>
      </c>
      <c r="H1422">
        <v>1369.9881591999999</v>
      </c>
      <c r="I1422">
        <v>1292.8298339999999</v>
      </c>
      <c r="J1422">
        <v>1275.3945312000001</v>
      </c>
      <c r="K1422">
        <v>2200</v>
      </c>
      <c r="L1422">
        <v>0</v>
      </c>
      <c r="M1422">
        <v>0</v>
      </c>
      <c r="N1422">
        <v>2200</v>
      </c>
    </row>
    <row r="1423" spans="1:14" x14ac:dyDescent="0.25">
      <c r="A1423">
        <v>1097.6969799999999</v>
      </c>
      <c r="B1423" s="1">
        <f>DATE(2013,5,2) + TIME(16,43,39)</f>
        <v>41396.696979166663</v>
      </c>
      <c r="C1423">
        <v>80</v>
      </c>
      <c r="D1423">
        <v>78.106040954999997</v>
      </c>
      <c r="E1423">
        <v>50</v>
      </c>
      <c r="F1423">
        <v>49.793292999000002</v>
      </c>
      <c r="G1423">
        <v>1384.2885742000001</v>
      </c>
      <c r="H1423">
        <v>1369.9307861</v>
      </c>
      <c r="I1423">
        <v>1292.8287353999999</v>
      </c>
      <c r="J1423">
        <v>1275.3928223</v>
      </c>
      <c r="K1423">
        <v>2200</v>
      </c>
      <c r="L1423">
        <v>0</v>
      </c>
      <c r="M1423">
        <v>0</v>
      </c>
      <c r="N1423">
        <v>2200</v>
      </c>
    </row>
    <row r="1424" spans="1:14" x14ac:dyDescent="0.25">
      <c r="A1424">
        <v>1097.7973609999999</v>
      </c>
      <c r="B1424" s="1">
        <f>DATE(2013,5,2) + TIME(19,8,12)</f>
        <v>41396.797361111108</v>
      </c>
      <c r="C1424">
        <v>80</v>
      </c>
      <c r="D1424">
        <v>78.326950073000006</v>
      </c>
      <c r="E1424">
        <v>50</v>
      </c>
      <c r="F1424">
        <v>49.784904480000002</v>
      </c>
      <c r="G1424">
        <v>1384.1877440999999</v>
      </c>
      <c r="H1424">
        <v>1369.8720702999999</v>
      </c>
      <c r="I1424">
        <v>1292.8273925999999</v>
      </c>
      <c r="J1424">
        <v>1275.3908690999999</v>
      </c>
      <c r="K1424">
        <v>2200</v>
      </c>
      <c r="L1424">
        <v>0</v>
      </c>
      <c r="M1424">
        <v>0</v>
      </c>
      <c r="N1424">
        <v>2200</v>
      </c>
    </row>
    <row r="1425" spans="1:14" x14ac:dyDescent="0.25">
      <c r="A1425">
        <v>1097.9058110000001</v>
      </c>
      <c r="B1425" s="1">
        <f>DATE(2013,5,2) + TIME(21,44,22)</f>
        <v>41396.905810185184</v>
      </c>
      <c r="C1425">
        <v>80</v>
      </c>
      <c r="D1425">
        <v>78.534858704000001</v>
      </c>
      <c r="E1425">
        <v>50</v>
      </c>
      <c r="F1425">
        <v>49.775962829999997</v>
      </c>
      <c r="G1425">
        <v>1384.0867920000001</v>
      </c>
      <c r="H1425">
        <v>1369.8120117000001</v>
      </c>
      <c r="I1425">
        <v>1292.8260498</v>
      </c>
      <c r="J1425">
        <v>1275.3887939000001</v>
      </c>
      <c r="K1425">
        <v>2200</v>
      </c>
      <c r="L1425">
        <v>0</v>
      </c>
      <c r="M1425">
        <v>0</v>
      </c>
      <c r="N1425">
        <v>2200</v>
      </c>
    </row>
    <row r="1426" spans="1:14" x14ac:dyDescent="0.25">
      <c r="A1426">
        <v>1098.023698</v>
      </c>
      <c r="B1426" s="1">
        <f>DATE(2013,5,3) + TIME(0,34,7)</f>
        <v>41397.023692129631</v>
      </c>
      <c r="C1426">
        <v>80</v>
      </c>
      <c r="D1426">
        <v>78.729568481000001</v>
      </c>
      <c r="E1426">
        <v>50</v>
      </c>
      <c r="F1426">
        <v>49.766380310000002</v>
      </c>
      <c r="G1426">
        <v>1383.9855957</v>
      </c>
      <c r="H1426">
        <v>1369.75</v>
      </c>
      <c r="I1426">
        <v>1292.824707</v>
      </c>
      <c r="J1426">
        <v>1275.3865966999999</v>
      </c>
      <c r="K1426">
        <v>2200</v>
      </c>
      <c r="L1426">
        <v>0</v>
      </c>
      <c r="M1426">
        <v>0</v>
      </c>
      <c r="N1426">
        <v>2200</v>
      </c>
    </row>
    <row r="1427" spans="1:14" x14ac:dyDescent="0.25">
      <c r="A1427">
        <v>1098.14717</v>
      </c>
      <c r="B1427" s="1">
        <f>DATE(2013,5,3) + TIME(3,31,55)</f>
        <v>41397.147164351853</v>
      </c>
      <c r="C1427">
        <v>80</v>
      </c>
      <c r="D1427">
        <v>78.904121399000005</v>
      </c>
      <c r="E1427">
        <v>50</v>
      </c>
      <c r="F1427">
        <v>49.756439209</v>
      </c>
      <c r="G1427">
        <v>1383.8870850000001</v>
      </c>
      <c r="H1427">
        <v>1369.6876221</v>
      </c>
      <c r="I1427">
        <v>1292.8229980000001</v>
      </c>
      <c r="J1427">
        <v>1275.3842772999999</v>
      </c>
      <c r="K1427">
        <v>2200</v>
      </c>
      <c r="L1427">
        <v>0</v>
      </c>
      <c r="M1427">
        <v>0</v>
      </c>
      <c r="N1427">
        <v>2200</v>
      </c>
    </row>
    <row r="1428" spans="1:14" x14ac:dyDescent="0.25">
      <c r="A1428">
        <v>1098.271283</v>
      </c>
      <c r="B1428" s="1">
        <f>DATE(2013,5,3) + TIME(6,30,38)</f>
        <v>41397.271273148152</v>
      </c>
      <c r="C1428">
        <v>80</v>
      </c>
      <c r="D1428">
        <v>79.054222107000001</v>
      </c>
      <c r="E1428">
        <v>50</v>
      </c>
      <c r="F1428">
        <v>49.746490479000002</v>
      </c>
      <c r="G1428">
        <v>1383.7941894999999</v>
      </c>
      <c r="H1428">
        <v>1369.6268310999999</v>
      </c>
      <c r="I1428">
        <v>1292.8212891000001</v>
      </c>
      <c r="J1428">
        <v>1275.3818358999999</v>
      </c>
      <c r="K1428">
        <v>2200</v>
      </c>
      <c r="L1428">
        <v>0</v>
      </c>
      <c r="M1428">
        <v>0</v>
      </c>
      <c r="N1428">
        <v>2200</v>
      </c>
    </row>
    <row r="1429" spans="1:14" x14ac:dyDescent="0.25">
      <c r="A1429">
        <v>1098.396506</v>
      </c>
      <c r="B1429" s="1">
        <f>DATE(2013,5,3) + TIME(9,30,58)</f>
        <v>41397.396504629629</v>
      </c>
      <c r="C1429">
        <v>80</v>
      </c>
      <c r="D1429">
        <v>79.183609008999994</v>
      </c>
      <c r="E1429">
        <v>50</v>
      </c>
      <c r="F1429">
        <v>49.736499786000003</v>
      </c>
      <c r="G1429">
        <v>1383.7062988</v>
      </c>
      <c r="H1429">
        <v>1369.5681152</v>
      </c>
      <c r="I1429">
        <v>1292.8195800999999</v>
      </c>
      <c r="J1429">
        <v>1275.3792725000001</v>
      </c>
      <c r="K1429">
        <v>2200</v>
      </c>
      <c r="L1429">
        <v>0</v>
      </c>
      <c r="M1429">
        <v>0</v>
      </c>
      <c r="N1429">
        <v>2200</v>
      </c>
    </row>
    <row r="1430" spans="1:14" x14ac:dyDescent="0.25">
      <c r="A1430">
        <v>1098.522747</v>
      </c>
      <c r="B1430" s="1">
        <f>DATE(2013,5,3) + TIME(12,32,45)</f>
        <v>41397.522743055553</v>
      </c>
      <c r="C1430">
        <v>80</v>
      </c>
      <c r="D1430">
        <v>79.294944763000004</v>
      </c>
      <c r="E1430">
        <v>50</v>
      </c>
      <c r="F1430">
        <v>49.726478577000002</v>
      </c>
      <c r="G1430">
        <v>1383.6230469</v>
      </c>
      <c r="H1430">
        <v>1369.5113524999999</v>
      </c>
      <c r="I1430">
        <v>1292.817749</v>
      </c>
      <c r="J1430">
        <v>1275.3768310999999</v>
      </c>
      <c r="K1430">
        <v>2200</v>
      </c>
      <c r="L1430">
        <v>0</v>
      </c>
      <c r="M1430">
        <v>0</v>
      </c>
      <c r="N1430">
        <v>2200</v>
      </c>
    </row>
    <row r="1431" spans="1:14" x14ac:dyDescent="0.25">
      <c r="A1431">
        <v>1098.6503319999999</v>
      </c>
      <c r="B1431" s="1">
        <f>DATE(2013,5,3) + TIME(15,36,28)</f>
        <v>41397.650324074071</v>
      </c>
      <c r="C1431">
        <v>80</v>
      </c>
      <c r="D1431">
        <v>79.390846252000003</v>
      </c>
      <c r="E1431">
        <v>50</v>
      </c>
      <c r="F1431">
        <v>49.716396332000002</v>
      </c>
      <c r="G1431">
        <v>1383.5438231999999</v>
      </c>
      <c r="H1431">
        <v>1369.4562988</v>
      </c>
      <c r="I1431">
        <v>1292.815918</v>
      </c>
      <c r="J1431">
        <v>1275.3742675999999</v>
      </c>
      <c r="K1431">
        <v>2200</v>
      </c>
      <c r="L1431">
        <v>0</v>
      </c>
      <c r="M1431">
        <v>0</v>
      </c>
      <c r="N1431">
        <v>2200</v>
      </c>
    </row>
    <row r="1432" spans="1:14" x14ac:dyDescent="0.25">
      <c r="A1432">
        <v>1098.7795599999999</v>
      </c>
      <c r="B1432" s="1">
        <f>DATE(2013,5,3) + TIME(18,42,33)</f>
        <v>41397.779548611114</v>
      </c>
      <c r="C1432">
        <v>80</v>
      </c>
      <c r="D1432">
        <v>79.473495482999994</v>
      </c>
      <c r="E1432">
        <v>50</v>
      </c>
      <c r="F1432">
        <v>49.706233978</v>
      </c>
      <c r="G1432">
        <v>1383.4680175999999</v>
      </c>
      <c r="H1432">
        <v>1369.4027100000001</v>
      </c>
      <c r="I1432">
        <v>1292.8140868999999</v>
      </c>
      <c r="J1432">
        <v>1275.3717041</v>
      </c>
      <c r="K1432">
        <v>2200</v>
      </c>
      <c r="L1432">
        <v>0</v>
      </c>
      <c r="M1432">
        <v>0</v>
      </c>
      <c r="N1432">
        <v>2200</v>
      </c>
    </row>
    <row r="1433" spans="1:14" x14ac:dyDescent="0.25">
      <c r="A1433">
        <v>1098.9107289999999</v>
      </c>
      <c r="B1433" s="1">
        <f>DATE(2013,5,3) + TIME(21,51,26)</f>
        <v>41397.910717592589</v>
      </c>
      <c r="C1433">
        <v>80</v>
      </c>
      <c r="D1433">
        <v>79.544731139999996</v>
      </c>
      <c r="E1433">
        <v>50</v>
      </c>
      <c r="F1433">
        <v>49.695972443000002</v>
      </c>
      <c r="G1433">
        <v>1383.3951416</v>
      </c>
      <c r="H1433">
        <v>1369.3503418</v>
      </c>
      <c r="I1433">
        <v>1292.8122559000001</v>
      </c>
      <c r="J1433">
        <v>1275.3690185999999</v>
      </c>
      <c r="K1433">
        <v>2200</v>
      </c>
      <c r="L1433">
        <v>0</v>
      </c>
      <c r="M1433">
        <v>0</v>
      </c>
      <c r="N1433">
        <v>2200</v>
      </c>
    </row>
    <row r="1434" spans="1:14" x14ac:dyDescent="0.25">
      <c r="A1434">
        <v>1099.044189</v>
      </c>
      <c r="B1434" s="1">
        <f>DATE(2013,5,4) + TIME(1,3,37)</f>
        <v>41398.044178240743</v>
      </c>
      <c r="C1434">
        <v>80</v>
      </c>
      <c r="D1434">
        <v>79.606140136999997</v>
      </c>
      <c r="E1434">
        <v>50</v>
      </c>
      <c r="F1434">
        <v>49.685588836999997</v>
      </c>
      <c r="G1434">
        <v>1383.3249512</v>
      </c>
      <c r="H1434">
        <v>1369.2991943</v>
      </c>
      <c r="I1434">
        <v>1292.8103027</v>
      </c>
      <c r="J1434">
        <v>1275.3663329999999</v>
      </c>
      <c r="K1434">
        <v>2200</v>
      </c>
      <c r="L1434">
        <v>0</v>
      </c>
      <c r="M1434">
        <v>0</v>
      </c>
      <c r="N1434">
        <v>2200</v>
      </c>
    </row>
    <row r="1435" spans="1:14" x14ac:dyDescent="0.25">
      <c r="A1435">
        <v>1099.180218</v>
      </c>
      <c r="B1435" s="1">
        <f>DATE(2013,5,4) + TIME(4,19,30)</f>
        <v>41398.180208333331</v>
      </c>
      <c r="C1435">
        <v>80</v>
      </c>
      <c r="D1435">
        <v>79.659011840999995</v>
      </c>
      <c r="E1435">
        <v>50</v>
      </c>
      <c r="F1435">
        <v>49.675064087000003</v>
      </c>
      <c r="G1435">
        <v>1383.2569579999999</v>
      </c>
      <c r="H1435">
        <v>1369.2490233999999</v>
      </c>
      <c r="I1435">
        <v>1292.8084716999999</v>
      </c>
      <c r="J1435">
        <v>1275.3636475000001</v>
      </c>
      <c r="K1435">
        <v>2200</v>
      </c>
      <c r="L1435">
        <v>0</v>
      </c>
      <c r="M1435">
        <v>0</v>
      </c>
      <c r="N1435">
        <v>2200</v>
      </c>
    </row>
    <row r="1436" spans="1:14" x14ac:dyDescent="0.25">
      <c r="A1436">
        <v>1099.3191280000001</v>
      </c>
      <c r="B1436" s="1">
        <f>DATE(2013,5,4) + TIME(7,39,32)</f>
        <v>41398.319120370368</v>
      </c>
      <c r="C1436">
        <v>80</v>
      </c>
      <c r="D1436">
        <v>79.704498290999993</v>
      </c>
      <c r="E1436">
        <v>50</v>
      </c>
      <c r="F1436">
        <v>49.664375305</v>
      </c>
      <c r="G1436">
        <v>1383.1907959</v>
      </c>
      <c r="H1436">
        <v>1369.199707</v>
      </c>
      <c r="I1436">
        <v>1292.8065185999999</v>
      </c>
      <c r="J1436">
        <v>1275.3609618999999</v>
      </c>
      <c r="K1436">
        <v>2200</v>
      </c>
      <c r="L1436">
        <v>0</v>
      </c>
      <c r="M1436">
        <v>0</v>
      </c>
      <c r="N1436">
        <v>2200</v>
      </c>
    </row>
    <row r="1437" spans="1:14" x14ac:dyDescent="0.25">
      <c r="A1437">
        <v>1099.461262</v>
      </c>
      <c r="B1437" s="1">
        <f>DATE(2013,5,4) + TIME(11,4,13)</f>
        <v>41398.461261574077</v>
      </c>
      <c r="C1437">
        <v>80</v>
      </c>
      <c r="D1437">
        <v>79.743576050000001</v>
      </c>
      <c r="E1437">
        <v>50</v>
      </c>
      <c r="F1437">
        <v>49.653499603</v>
      </c>
      <c r="G1437">
        <v>1383.1263428</v>
      </c>
      <c r="H1437">
        <v>1369.1511230000001</v>
      </c>
      <c r="I1437">
        <v>1292.8044434000001</v>
      </c>
      <c r="J1437">
        <v>1275.3580322</v>
      </c>
      <c r="K1437">
        <v>2200</v>
      </c>
      <c r="L1437">
        <v>0</v>
      </c>
      <c r="M1437">
        <v>0</v>
      </c>
      <c r="N1437">
        <v>2200</v>
      </c>
    </row>
    <row r="1438" spans="1:14" x14ac:dyDescent="0.25">
      <c r="A1438">
        <v>1099.6069849999999</v>
      </c>
      <c r="B1438" s="1">
        <f>DATE(2013,5,4) + TIME(14,34,3)</f>
        <v>41398.606979166667</v>
      </c>
      <c r="C1438">
        <v>80</v>
      </c>
      <c r="D1438">
        <v>79.777099609000004</v>
      </c>
      <c r="E1438">
        <v>50</v>
      </c>
      <c r="F1438">
        <v>49.642414092999999</v>
      </c>
      <c r="G1438">
        <v>1383.0633545000001</v>
      </c>
      <c r="H1438">
        <v>1369.1031493999999</v>
      </c>
      <c r="I1438">
        <v>1292.8023682</v>
      </c>
      <c r="J1438">
        <v>1275.3552245999999</v>
      </c>
      <c r="K1438">
        <v>2200</v>
      </c>
      <c r="L1438">
        <v>0</v>
      </c>
      <c r="M1438">
        <v>0</v>
      </c>
      <c r="N1438">
        <v>2200</v>
      </c>
    </row>
    <row r="1439" spans="1:14" x14ac:dyDescent="0.25">
      <c r="A1439">
        <v>1099.756691</v>
      </c>
      <c r="B1439" s="1">
        <f>DATE(2013,5,4) + TIME(18,9,38)</f>
        <v>41398.756689814814</v>
      </c>
      <c r="C1439">
        <v>80</v>
      </c>
      <c r="D1439">
        <v>79.805793761999993</v>
      </c>
      <c r="E1439">
        <v>50</v>
      </c>
      <c r="F1439">
        <v>49.631092072000001</v>
      </c>
      <c r="G1439">
        <v>1383.0013428</v>
      </c>
      <c r="H1439">
        <v>1369.0555420000001</v>
      </c>
      <c r="I1439">
        <v>1292.800293</v>
      </c>
      <c r="J1439">
        <v>1275.3521728999999</v>
      </c>
      <c r="K1439">
        <v>2200</v>
      </c>
      <c r="L1439">
        <v>0</v>
      </c>
      <c r="M1439">
        <v>0</v>
      </c>
      <c r="N1439">
        <v>2200</v>
      </c>
    </row>
    <row r="1440" spans="1:14" x14ac:dyDescent="0.25">
      <c r="A1440">
        <v>1099.910809</v>
      </c>
      <c r="B1440" s="1">
        <f>DATE(2013,5,4) + TIME(21,51,33)</f>
        <v>41398.910798611112</v>
      </c>
      <c r="C1440">
        <v>80</v>
      </c>
      <c r="D1440">
        <v>79.830307007000002</v>
      </c>
      <c r="E1440">
        <v>50</v>
      </c>
      <c r="F1440">
        <v>49.619506835999999</v>
      </c>
      <c r="G1440">
        <v>1382.9404297000001</v>
      </c>
      <c r="H1440">
        <v>1369.0084228999999</v>
      </c>
      <c r="I1440">
        <v>1292.7980957</v>
      </c>
      <c r="J1440">
        <v>1275.3491211</v>
      </c>
      <c r="K1440">
        <v>2200</v>
      </c>
      <c r="L1440">
        <v>0</v>
      </c>
      <c r="M1440">
        <v>0</v>
      </c>
      <c r="N1440">
        <v>2200</v>
      </c>
    </row>
    <row r="1441" spans="1:14" x14ac:dyDescent="0.25">
      <c r="A1441">
        <v>1100.0698110000001</v>
      </c>
      <c r="B1441" s="1">
        <f>DATE(2013,5,5) + TIME(1,40,31)</f>
        <v>41399.069803240738</v>
      </c>
      <c r="C1441">
        <v>80</v>
      </c>
      <c r="D1441">
        <v>79.851181030000006</v>
      </c>
      <c r="E1441">
        <v>50</v>
      </c>
      <c r="F1441">
        <v>49.607627868999998</v>
      </c>
      <c r="G1441">
        <v>1382.880249</v>
      </c>
      <c r="H1441">
        <v>1368.9615478999999</v>
      </c>
      <c r="I1441">
        <v>1292.7957764</v>
      </c>
      <c r="J1441">
        <v>1275.3459473</v>
      </c>
      <c r="K1441">
        <v>2200</v>
      </c>
      <c r="L1441">
        <v>0</v>
      </c>
      <c r="M1441">
        <v>0</v>
      </c>
      <c r="N1441">
        <v>2200</v>
      </c>
    </row>
    <row r="1442" spans="1:14" x14ac:dyDescent="0.25">
      <c r="A1442">
        <v>1100.2342189999999</v>
      </c>
      <c r="B1442" s="1">
        <f>DATE(2013,5,5) + TIME(5,37,16)</f>
        <v>41399.234212962961</v>
      </c>
      <c r="C1442">
        <v>80</v>
      </c>
      <c r="D1442">
        <v>79.868919372999997</v>
      </c>
      <c r="E1442">
        <v>50</v>
      </c>
      <c r="F1442">
        <v>49.595420836999999</v>
      </c>
      <c r="G1442">
        <v>1382.8205565999999</v>
      </c>
      <c r="H1442">
        <v>1368.9147949000001</v>
      </c>
      <c r="I1442">
        <v>1292.793457</v>
      </c>
      <c r="J1442">
        <v>1275.3427733999999</v>
      </c>
      <c r="K1442">
        <v>2200</v>
      </c>
      <c r="L1442">
        <v>0</v>
      </c>
      <c r="M1442">
        <v>0</v>
      </c>
      <c r="N1442">
        <v>2200</v>
      </c>
    </row>
    <row r="1443" spans="1:14" x14ac:dyDescent="0.25">
      <c r="A1443">
        <v>1100.4046149999999</v>
      </c>
      <c r="B1443" s="1">
        <f>DATE(2013,5,5) + TIME(9,42,38)</f>
        <v>41399.404606481483</v>
      </c>
      <c r="C1443">
        <v>80</v>
      </c>
      <c r="D1443">
        <v>79.883934021000002</v>
      </c>
      <c r="E1443">
        <v>50</v>
      </c>
      <c r="F1443">
        <v>49.582851410000004</v>
      </c>
      <c r="G1443">
        <v>1382.7613524999999</v>
      </c>
      <c r="H1443">
        <v>1368.8680420000001</v>
      </c>
      <c r="I1443">
        <v>1292.7910156</v>
      </c>
      <c r="J1443">
        <v>1275.3393555</v>
      </c>
      <c r="K1443">
        <v>2200</v>
      </c>
      <c r="L1443">
        <v>0</v>
      </c>
      <c r="M1443">
        <v>0</v>
      </c>
      <c r="N1443">
        <v>2200</v>
      </c>
    </row>
    <row r="1444" spans="1:14" x14ac:dyDescent="0.25">
      <c r="A1444">
        <v>1100.581719</v>
      </c>
      <c r="B1444" s="1">
        <f>DATE(2013,5,5) + TIME(13,57,40)</f>
        <v>41399.581712962965</v>
      </c>
      <c r="C1444">
        <v>80</v>
      </c>
      <c r="D1444">
        <v>79.896606445000003</v>
      </c>
      <c r="E1444">
        <v>50</v>
      </c>
      <c r="F1444">
        <v>49.569873809999997</v>
      </c>
      <c r="G1444">
        <v>1382.7021483999999</v>
      </c>
      <c r="H1444">
        <v>1368.8212891000001</v>
      </c>
      <c r="I1444">
        <v>1292.7885742000001</v>
      </c>
      <c r="J1444">
        <v>1275.3358154</v>
      </c>
      <c r="K1444">
        <v>2200</v>
      </c>
      <c r="L1444">
        <v>0</v>
      </c>
      <c r="M1444">
        <v>0</v>
      </c>
      <c r="N1444">
        <v>2200</v>
      </c>
    </row>
    <row r="1445" spans="1:14" x14ac:dyDescent="0.25">
      <c r="A1445">
        <v>1100.766282</v>
      </c>
      <c r="B1445" s="1">
        <f>DATE(2013,5,5) + TIME(18,23,26)</f>
        <v>41399.766273148147</v>
      </c>
      <c r="C1445">
        <v>80</v>
      </c>
      <c r="D1445">
        <v>79.907257079999994</v>
      </c>
      <c r="E1445">
        <v>50</v>
      </c>
      <c r="F1445">
        <v>49.556442261000001</v>
      </c>
      <c r="G1445">
        <v>1382.6430664</v>
      </c>
      <c r="H1445">
        <v>1368.7742920000001</v>
      </c>
      <c r="I1445">
        <v>1292.7858887</v>
      </c>
      <c r="J1445">
        <v>1275.3321533000001</v>
      </c>
      <c r="K1445">
        <v>2200</v>
      </c>
      <c r="L1445">
        <v>0</v>
      </c>
      <c r="M1445">
        <v>0</v>
      </c>
      <c r="N1445">
        <v>2200</v>
      </c>
    </row>
    <row r="1446" spans="1:14" x14ac:dyDescent="0.25">
      <c r="A1446">
        <v>1100.9591029999999</v>
      </c>
      <c r="B1446" s="1">
        <f>DATE(2013,5,5) + TIME(23,1,6)</f>
        <v>41399.959097222221</v>
      </c>
      <c r="C1446">
        <v>80</v>
      </c>
      <c r="D1446">
        <v>79.916168213000006</v>
      </c>
      <c r="E1446">
        <v>50</v>
      </c>
      <c r="F1446">
        <v>49.542507172000001</v>
      </c>
      <c r="G1446">
        <v>1382.5836182</v>
      </c>
      <c r="H1446">
        <v>1368.7270507999999</v>
      </c>
      <c r="I1446">
        <v>1292.7832031</v>
      </c>
      <c r="J1446">
        <v>1275.3283690999999</v>
      </c>
      <c r="K1446">
        <v>2200</v>
      </c>
      <c r="L1446">
        <v>0</v>
      </c>
      <c r="M1446">
        <v>0</v>
      </c>
      <c r="N1446">
        <v>2200</v>
      </c>
    </row>
    <row r="1447" spans="1:14" x14ac:dyDescent="0.25">
      <c r="A1447">
        <v>1101.1589630000001</v>
      </c>
      <c r="B1447" s="1">
        <f>DATE(2013,5,6) + TIME(3,48,54)</f>
        <v>41400.158958333333</v>
      </c>
      <c r="C1447">
        <v>80</v>
      </c>
      <c r="D1447">
        <v>79.923515320000007</v>
      </c>
      <c r="E1447">
        <v>50</v>
      </c>
      <c r="F1447">
        <v>49.528141022</v>
      </c>
      <c r="G1447">
        <v>1382.5239257999999</v>
      </c>
      <c r="H1447">
        <v>1368.6794434000001</v>
      </c>
      <c r="I1447">
        <v>1292.7802733999999</v>
      </c>
      <c r="J1447">
        <v>1275.3243408000001</v>
      </c>
      <c r="K1447">
        <v>2200</v>
      </c>
      <c r="L1447">
        <v>0</v>
      </c>
      <c r="M1447">
        <v>0</v>
      </c>
      <c r="N1447">
        <v>2200</v>
      </c>
    </row>
    <row r="1448" spans="1:14" x14ac:dyDescent="0.25">
      <c r="A1448">
        <v>1101.365941</v>
      </c>
      <c r="B1448" s="1">
        <f>DATE(2013,5,6) + TIME(8,46,57)</f>
        <v>41400.365937499999</v>
      </c>
      <c r="C1448">
        <v>80</v>
      </c>
      <c r="D1448">
        <v>79.929550171000002</v>
      </c>
      <c r="E1448">
        <v>50</v>
      </c>
      <c r="F1448">
        <v>49.513339995999999</v>
      </c>
      <c r="G1448">
        <v>1382.4643555</v>
      </c>
      <c r="H1448">
        <v>1368.6317139</v>
      </c>
      <c r="I1448">
        <v>1292.7772216999999</v>
      </c>
      <c r="J1448">
        <v>1275.3203125</v>
      </c>
      <c r="K1448">
        <v>2200</v>
      </c>
      <c r="L1448">
        <v>0</v>
      </c>
      <c r="M1448">
        <v>0</v>
      </c>
      <c r="N1448">
        <v>2200</v>
      </c>
    </row>
    <row r="1449" spans="1:14" x14ac:dyDescent="0.25">
      <c r="A1449">
        <v>1101.580778</v>
      </c>
      <c r="B1449" s="1">
        <f>DATE(2013,5,6) + TIME(13,56,19)</f>
        <v>41400.580775462964</v>
      </c>
      <c r="C1449">
        <v>80</v>
      </c>
      <c r="D1449">
        <v>79.934478760000005</v>
      </c>
      <c r="E1449">
        <v>50</v>
      </c>
      <c r="F1449">
        <v>49.498062134000001</v>
      </c>
      <c r="G1449">
        <v>1382.4046631000001</v>
      </c>
      <c r="H1449">
        <v>1368.5838623</v>
      </c>
      <c r="I1449">
        <v>1292.7741699000001</v>
      </c>
      <c r="J1449">
        <v>1275.3160399999999</v>
      </c>
      <c r="K1449">
        <v>2200</v>
      </c>
      <c r="L1449">
        <v>0</v>
      </c>
      <c r="M1449">
        <v>0</v>
      </c>
      <c r="N1449">
        <v>2200</v>
      </c>
    </row>
    <row r="1450" spans="1:14" x14ac:dyDescent="0.25">
      <c r="A1450">
        <v>1101.8043439999999</v>
      </c>
      <c r="B1450" s="1">
        <f>DATE(2013,5,6) + TIME(19,18,15)</f>
        <v>41400.804340277777</v>
      </c>
      <c r="C1450">
        <v>80</v>
      </c>
      <c r="D1450">
        <v>79.938499450999998</v>
      </c>
      <c r="E1450">
        <v>50</v>
      </c>
      <c r="F1450">
        <v>49.482257842999999</v>
      </c>
      <c r="G1450">
        <v>1382.3448486</v>
      </c>
      <c r="H1450">
        <v>1368.5360106999999</v>
      </c>
      <c r="I1450">
        <v>1292.770874</v>
      </c>
      <c r="J1450">
        <v>1275.3115233999999</v>
      </c>
      <c r="K1450">
        <v>2200</v>
      </c>
      <c r="L1450">
        <v>0</v>
      </c>
      <c r="M1450">
        <v>0</v>
      </c>
      <c r="N1450">
        <v>2200</v>
      </c>
    </row>
    <row r="1451" spans="1:14" x14ac:dyDescent="0.25">
      <c r="A1451">
        <v>1102.037609</v>
      </c>
      <c r="B1451" s="1">
        <f>DATE(2013,5,7) + TIME(0,54,9)</f>
        <v>41401.037604166668</v>
      </c>
      <c r="C1451">
        <v>80</v>
      </c>
      <c r="D1451">
        <v>79.941757202000005</v>
      </c>
      <c r="E1451">
        <v>50</v>
      </c>
      <c r="F1451">
        <v>49.465869904000002</v>
      </c>
      <c r="G1451">
        <v>1382.2847899999999</v>
      </c>
      <c r="H1451">
        <v>1368.487793</v>
      </c>
      <c r="I1451">
        <v>1292.7675781</v>
      </c>
      <c r="J1451">
        <v>1275.3068848</v>
      </c>
      <c r="K1451">
        <v>2200</v>
      </c>
      <c r="L1451">
        <v>0</v>
      </c>
      <c r="M1451">
        <v>0</v>
      </c>
      <c r="N1451">
        <v>2200</v>
      </c>
    </row>
    <row r="1452" spans="1:14" x14ac:dyDescent="0.25">
      <c r="A1452">
        <v>1102.2815419999999</v>
      </c>
      <c r="B1452" s="1">
        <f>DATE(2013,5,7) + TIME(6,45,25)</f>
        <v>41401.281539351854</v>
      </c>
      <c r="C1452">
        <v>80</v>
      </c>
      <c r="D1452">
        <v>79.944396972999996</v>
      </c>
      <c r="E1452">
        <v>50</v>
      </c>
      <c r="F1452">
        <v>49.448844909999998</v>
      </c>
      <c r="G1452">
        <v>1382.2242432</v>
      </c>
      <c r="H1452">
        <v>1368.4390868999999</v>
      </c>
      <c r="I1452">
        <v>1292.7640381000001</v>
      </c>
      <c r="J1452">
        <v>1275.3020019999999</v>
      </c>
      <c r="K1452">
        <v>2200</v>
      </c>
      <c r="L1452">
        <v>0</v>
      </c>
      <c r="M1452">
        <v>0</v>
      </c>
      <c r="N1452">
        <v>2200</v>
      </c>
    </row>
    <row r="1453" spans="1:14" x14ac:dyDescent="0.25">
      <c r="A1453">
        <v>1102.5355870000001</v>
      </c>
      <c r="B1453" s="1">
        <f>DATE(2013,5,7) + TIME(12,51,14)</f>
        <v>41401.535578703704</v>
      </c>
      <c r="C1453">
        <v>80</v>
      </c>
      <c r="D1453">
        <v>79.946517943999993</v>
      </c>
      <c r="E1453">
        <v>50</v>
      </c>
      <c r="F1453">
        <v>49.431213378999999</v>
      </c>
      <c r="G1453">
        <v>1382.1629639</v>
      </c>
      <c r="H1453">
        <v>1368.3900146000001</v>
      </c>
      <c r="I1453">
        <v>1292.7602539</v>
      </c>
      <c r="J1453">
        <v>1275.2969971</v>
      </c>
      <c r="K1453">
        <v>2200</v>
      </c>
      <c r="L1453">
        <v>0</v>
      </c>
      <c r="M1453">
        <v>0</v>
      </c>
      <c r="N1453">
        <v>2200</v>
      </c>
    </row>
    <row r="1454" spans="1:14" x14ac:dyDescent="0.25">
      <c r="A1454">
        <v>1102.79088</v>
      </c>
      <c r="B1454" s="1">
        <f>DATE(2013,5,7) + TIME(18,58,52)</f>
        <v>41401.790879629632</v>
      </c>
      <c r="C1454">
        <v>80</v>
      </c>
      <c r="D1454">
        <v>79.948158264</v>
      </c>
      <c r="E1454">
        <v>50</v>
      </c>
      <c r="F1454">
        <v>49.413452147999998</v>
      </c>
      <c r="G1454">
        <v>1382.1014404</v>
      </c>
      <c r="H1454">
        <v>1368.3405762</v>
      </c>
      <c r="I1454">
        <v>1292.7563477000001</v>
      </c>
      <c r="J1454">
        <v>1275.2917480000001</v>
      </c>
      <c r="K1454">
        <v>2200</v>
      </c>
      <c r="L1454">
        <v>0</v>
      </c>
      <c r="M1454">
        <v>0</v>
      </c>
      <c r="N1454">
        <v>2200</v>
      </c>
    </row>
    <row r="1455" spans="1:14" x14ac:dyDescent="0.25">
      <c r="A1455">
        <v>1103.048172</v>
      </c>
      <c r="B1455" s="1">
        <f>DATE(2013,5,8) + TIME(1,9,22)</f>
        <v>41402.048171296294</v>
      </c>
      <c r="C1455">
        <v>80</v>
      </c>
      <c r="D1455">
        <v>79.949440002000003</v>
      </c>
      <c r="E1455">
        <v>50</v>
      </c>
      <c r="F1455">
        <v>49.395542145</v>
      </c>
      <c r="G1455">
        <v>1382.0415039</v>
      </c>
      <c r="H1455">
        <v>1368.2924805</v>
      </c>
      <c r="I1455">
        <v>1292.7524414</v>
      </c>
      <c r="J1455">
        <v>1275.2863769999999</v>
      </c>
      <c r="K1455">
        <v>2200</v>
      </c>
      <c r="L1455">
        <v>0</v>
      </c>
      <c r="M1455">
        <v>0</v>
      </c>
      <c r="N1455">
        <v>2200</v>
      </c>
    </row>
    <row r="1456" spans="1:14" x14ac:dyDescent="0.25">
      <c r="A1456">
        <v>1103.308125</v>
      </c>
      <c r="B1456" s="1">
        <f>DATE(2013,5,8) + TIME(7,23,41)</f>
        <v>41402.308113425926</v>
      </c>
      <c r="C1456">
        <v>80</v>
      </c>
      <c r="D1456">
        <v>79.950454711999996</v>
      </c>
      <c r="E1456">
        <v>50</v>
      </c>
      <c r="F1456">
        <v>49.377475738999998</v>
      </c>
      <c r="G1456">
        <v>1381.9829102000001</v>
      </c>
      <c r="H1456">
        <v>1368.2456055</v>
      </c>
      <c r="I1456">
        <v>1292.7484131000001</v>
      </c>
      <c r="J1456">
        <v>1275.2810059000001</v>
      </c>
      <c r="K1456">
        <v>2200</v>
      </c>
      <c r="L1456">
        <v>0</v>
      </c>
      <c r="M1456">
        <v>0</v>
      </c>
      <c r="N1456">
        <v>2200</v>
      </c>
    </row>
    <row r="1457" spans="1:14" x14ac:dyDescent="0.25">
      <c r="A1457">
        <v>1103.571441</v>
      </c>
      <c r="B1457" s="1">
        <f>DATE(2013,5,8) + TIME(13,42,52)</f>
        <v>41402.571435185186</v>
      </c>
      <c r="C1457">
        <v>80</v>
      </c>
      <c r="D1457">
        <v>79.951248168999996</v>
      </c>
      <c r="E1457">
        <v>50</v>
      </c>
      <c r="F1457">
        <v>49.359218597000002</v>
      </c>
      <c r="G1457">
        <v>1381.9255370999999</v>
      </c>
      <c r="H1457">
        <v>1368.199707</v>
      </c>
      <c r="I1457">
        <v>1292.7443848</v>
      </c>
      <c r="J1457">
        <v>1275.2756348</v>
      </c>
      <c r="K1457">
        <v>2200</v>
      </c>
      <c r="L1457">
        <v>0</v>
      </c>
      <c r="M1457">
        <v>0</v>
      </c>
      <c r="N1457">
        <v>2200</v>
      </c>
    </row>
    <row r="1458" spans="1:14" x14ac:dyDescent="0.25">
      <c r="A1458">
        <v>1103.8388299999999</v>
      </c>
      <c r="B1458" s="1">
        <f>DATE(2013,5,8) + TIME(20,7,54)</f>
        <v>41402.838819444441</v>
      </c>
      <c r="C1458">
        <v>80</v>
      </c>
      <c r="D1458">
        <v>79.951881408999995</v>
      </c>
      <c r="E1458">
        <v>50</v>
      </c>
      <c r="F1458">
        <v>49.340744018999999</v>
      </c>
      <c r="G1458">
        <v>1381.8691406</v>
      </c>
      <c r="H1458">
        <v>1368.1545410000001</v>
      </c>
      <c r="I1458">
        <v>1292.7403564000001</v>
      </c>
      <c r="J1458">
        <v>1275.2701416</v>
      </c>
      <c r="K1458">
        <v>2200</v>
      </c>
      <c r="L1458">
        <v>0</v>
      </c>
      <c r="M1458">
        <v>0</v>
      </c>
      <c r="N1458">
        <v>2200</v>
      </c>
    </row>
    <row r="1459" spans="1:14" x14ac:dyDescent="0.25">
      <c r="A1459">
        <v>1104.1110200000001</v>
      </c>
      <c r="B1459" s="1">
        <f>DATE(2013,5,9) + TIME(2,39,52)</f>
        <v>41403.111018518517</v>
      </c>
      <c r="C1459">
        <v>80</v>
      </c>
      <c r="D1459">
        <v>79.952392578000001</v>
      </c>
      <c r="E1459">
        <v>50</v>
      </c>
      <c r="F1459">
        <v>49.322021483999997</v>
      </c>
      <c r="G1459">
        <v>1381.8134766000001</v>
      </c>
      <c r="H1459">
        <v>1368.1101074000001</v>
      </c>
      <c r="I1459">
        <v>1292.7362060999999</v>
      </c>
      <c r="J1459">
        <v>1275.2645264</v>
      </c>
      <c r="K1459">
        <v>2200</v>
      </c>
      <c r="L1459">
        <v>0</v>
      </c>
      <c r="M1459">
        <v>0</v>
      </c>
      <c r="N1459">
        <v>2200</v>
      </c>
    </row>
    <row r="1460" spans="1:14" x14ac:dyDescent="0.25">
      <c r="A1460">
        <v>1104.3887709999999</v>
      </c>
      <c r="B1460" s="1">
        <f>DATE(2013,5,9) + TIME(9,19,49)</f>
        <v>41403.388761574075</v>
      </c>
      <c r="C1460">
        <v>80</v>
      </c>
      <c r="D1460">
        <v>79.952804564999994</v>
      </c>
      <c r="E1460">
        <v>50</v>
      </c>
      <c r="F1460">
        <v>49.303009033000002</v>
      </c>
      <c r="G1460">
        <v>1381.7583007999999</v>
      </c>
      <c r="H1460">
        <v>1368.0661620999999</v>
      </c>
      <c r="I1460">
        <v>1292.7320557</v>
      </c>
      <c r="J1460">
        <v>1275.2587891000001</v>
      </c>
      <c r="K1460">
        <v>2200</v>
      </c>
      <c r="L1460">
        <v>0</v>
      </c>
      <c r="M1460">
        <v>0</v>
      </c>
      <c r="N1460">
        <v>2200</v>
      </c>
    </row>
    <row r="1461" spans="1:14" x14ac:dyDescent="0.25">
      <c r="A1461">
        <v>1104.672892</v>
      </c>
      <c r="B1461" s="1">
        <f>DATE(2013,5,9) + TIME(16,8,57)</f>
        <v>41403.672881944447</v>
      </c>
      <c r="C1461">
        <v>80</v>
      </c>
      <c r="D1461">
        <v>79.953132628999995</v>
      </c>
      <c r="E1461">
        <v>50</v>
      </c>
      <c r="F1461">
        <v>49.283664702999999</v>
      </c>
      <c r="G1461">
        <v>1381.7036132999999</v>
      </c>
      <c r="H1461">
        <v>1368.0225829999999</v>
      </c>
      <c r="I1461">
        <v>1292.7277832</v>
      </c>
      <c r="J1461">
        <v>1275.2529297000001</v>
      </c>
      <c r="K1461">
        <v>2200</v>
      </c>
      <c r="L1461">
        <v>0</v>
      </c>
      <c r="M1461">
        <v>0</v>
      </c>
      <c r="N1461">
        <v>2200</v>
      </c>
    </row>
    <row r="1462" spans="1:14" x14ac:dyDescent="0.25">
      <c r="A1462">
        <v>1104.964254</v>
      </c>
      <c r="B1462" s="1">
        <f>DATE(2013,5,9) + TIME(23,8,31)</f>
        <v>41403.964247685188</v>
      </c>
      <c r="C1462">
        <v>80</v>
      </c>
      <c r="D1462">
        <v>79.953399657999995</v>
      </c>
      <c r="E1462">
        <v>50</v>
      </c>
      <c r="F1462">
        <v>49.263938904</v>
      </c>
      <c r="G1462">
        <v>1381.6491699000001</v>
      </c>
      <c r="H1462">
        <v>1367.979126</v>
      </c>
      <c r="I1462">
        <v>1292.7233887</v>
      </c>
      <c r="J1462">
        <v>1275.2469481999999</v>
      </c>
      <c r="K1462">
        <v>2200</v>
      </c>
      <c r="L1462">
        <v>0</v>
      </c>
      <c r="M1462">
        <v>0</v>
      </c>
      <c r="N1462">
        <v>2200</v>
      </c>
    </row>
    <row r="1463" spans="1:14" x14ac:dyDescent="0.25">
      <c r="A1463">
        <v>1105.263807</v>
      </c>
      <c r="B1463" s="1">
        <f>DATE(2013,5,10) + TIME(6,19,52)</f>
        <v>41404.263796296298</v>
      </c>
      <c r="C1463">
        <v>80</v>
      </c>
      <c r="D1463">
        <v>79.953613281000003</v>
      </c>
      <c r="E1463">
        <v>50</v>
      </c>
      <c r="F1463">
        <v>49.243789673000002</v>
      </c>
      <c r="G1463">
        <v>1381.5947266000001</v>
      </c>
      <c r="H1463">
        <v>1367.9359131000001</v>
      </c>
      <c r="I1463">
        <v>1292.7188721</v>
      </c>
      <c r="J1463">
        <v>1275.2408447</v>
      </c>
      <c r="K1463">
        <v>2200</v>
      </c>
      <c r="L1463">
        <v>0</v>
      </c>
      <c r="M1463">
        <v>0</v>
      </c>
      <c r="N1463">
        <v>2200</v>
      </c>
    </row>
    <row r="1464" spans="1:14" x14ac:dyDescent="0.25">
      <c r="A1464">
        <v>1105.572684</v>
      </c>
      <c r="B1464" s="1">
        <f>DATE(2013,5,10) + TIME(13,44,39)</f>
        <v>41404.57267361111</v>
      </c>
      <c r="C1464">
        <v>80</v>
      </c>
      <c r="D1464">
        <v>79.953796386999997</v>
      </c>
      <c r="E1464">
        <v>50</v>
      </c>
      <c r="F1464">
        <v>49.223144531000003</v>
      </c>
      <c r="G1464">
        <v>1381.5402832</v>
      </c>
      <c r="H1464">
        <v>1367.8927002</v>
      </c>
      <c r="I1464">
        <v>1292.7142334</v>
      </c>
      <c r="J1464">
        <v>1275.2344971</v>
      </c>
      <c r="K1464">
        <v>2200</v>
      </c>
      <c r="L1464">
        <v>0</v>
      </c>
      <c r="M1464">
        <v>0</v>
      </c>
      <c r="N1464">
        <v>2200</v>
      </c>
    </row>
    <row r="1465" spans="1:14" x14ac:dyDescent="0.25">
      <c r="A1465">
        <v>1105.892122</v>
      </c>
      <c r="B1465" s="1">
        <f>DATE(2013,5,10) + TIME(21,24,39)</f>
        <v>41404.892118055555</v>
      </c>
      <c r="C1465">
        <v>80</v>
      </c>
      <c r="D1465">
        <v>79.953941345000004</v>
      </c>
      <c r="E1465">
        <v>50</v>
      </c>
      <c r="F1465">
        <v>49.201942443999997</v>
      </c>
      <c r="G1465">
        <v>1381.4855957</v>
      </c>
      <c r="H1465">
        <v>1367.8492432</v>
      </c>
      <c r="I1465">
        <v>1292.7093506000001</v>
      </c>
      <c r="J1465">
        <v>1275.2280272999999</v>
      </c>
      <c r="K1465">
        <v>2200</v>
      </c>
      <c r="L1465">
        <v>0</v>
      </c>
      <c r="M1465">
        <v>0</v>
      </c>
      <c r="N1465">
        <v>2200</v>
      </c>
    </row>
    <row r="1466" spans="1:14" x14ac:dyDescent="0.25">
      <c r="A1466">
        <v>1106.2209580000001</v>
      </c>
      <c r="B1466" s="1">
        <f>DATE(2013,5,11) + TIME(5,18,10)</f>
        <v>41405.220949074072</v>
      </c>
      <c r="C1466">
        <v>80</v>
      </c>
      <c r="D1466">
        <v>79.954063415999997</v>
      </c>
      <c r="E1466">
        <v>50</v>
      </c>
      <c r="F1466">
        <v>49.180229187000002</v>
      </c>
      <c r="G1466">
        <v>1381.4305420000001</v>
      </c>
      <c r="H1466">
        <v>1367.8055420000001</v>
      </c>
      <c r="I1466">
        <v>1292.7043457</v>
      </c>
      <c r="J1466">
        <v>1275.2211914</v>
      </c>
      <c r="K1466">
        <v>2200</v>
      </c>
      <c r="L1466">
        <v>0</v>
      </c>
      <c r="M1466">
        <v>0</v>
      </c>
      <c r="N1466">
        <v>2200</v>
      </c>
    </row>
    <row r="1467" spans="1:14" x14ac:dyDescent="0.25">
      <c r="A1467">
        <v>1106.5565120000001</v>
      </c>
      <c r="B1467" s="1">
        <f>DATE(2013,5,11) + TIME(13,21,22)</f>
        <v>41405.556504629632</v>
      </c>
      <c r="C1467">
        <v>80</v>
      </c>
      <c r="D1467">
        <v>79.954154967999997</v>
      </c>
      <c r="E1467">
        <v>50</v>
      </c>
      <c r="F1467">
        <v>49.158138274999999</v>
      </c>
      <c r="G1467">
        <v>1381.3752440999999</v>
      </c>
      <c r="H1467">
        <v>1367.7618408000001</v>
      </c>
      <c r="I1467">
        <v>1292.6992187999999</v>
      </c>
      <c r="J1467">
        <v>1275.2142334</v>
      </c>
      <c r="K1467">
        <v>2200</v>
      </c>
      <c r="L1467">
        <v>0</v>
      </c>
      <c r="M1467">
        <v>0</v>
      </c>
      <c r="N1467">
        <v>2200</v>
      </c>
    </row>
    <row r="1468" spans="1:14" x14ac:dyDescent="0.25">
      <c r="A1468">
        <v>1106.8996709999999</v>
      </c>
      <c r="B1468" s="1">
        <f>DATE(2013,5,11) + TIME(21,35,31)</f>
        <v>41405.899664351855</v>
      </c>
      <c r="C1468">
        <v>80</v>
      </c>
      <c r="D1468">
        <v>79.954231261999993</v>
      </c>
      <c r="E1468">
        <v>50</v>
      </c>
      <c r="F1468">
        <v>49.135631560999997</v>
      </c>
      <c r="G1468">
        <v>1381.3203125</v>
      </c>
      <c r="H1468">
        <v>1367.7183838000001</v>
      </c>
      <c r="I1468">
        <v>1292.6939697</v>
      </c>
      <c r="J1468">
        <v>1275.2071533000001</v>
      </c>
      <c r="K1468">
        <v>2200</v>
      </c>
      <c r="L1468">
        <v>0</v>
      </c>
      <c r="M1468">
        <v>0</v>
      </c>
      <c r="N1468">
        <v>2200</v>
      </c>
    </row>
    <row r="1469" spans="1:14" x14ac:dyDescent="0.25">
      <c r="A1469">
        <v>1107.2513240000001</v>
      </c>
      <c r="B1469" s="1">
        <f>DATE(2013,5,12) + TIME(6,1,54)</f>
        <v>41406.251319444447</v>
      </c>
      <c r="C1469">
        <v>80</v>
      </c>
      <c r="D1469">
        <v>79.954292296999995</v>
      </c>
      <c r="E1469">
        <v>50</v>
      </c>
      <c r="F1469">
        <v>49.112674712999997</v>
      </c>
      <c r="G1469">
        <v>1381.2655029</v>
      </c>
      <c r="H1469">
        <v>1367.6750488</v>
      </c>
      <c r="I1469">
        <v>1292.6885986</v>
      </c>
      <c r="J1469">
        <v>1275.1998291</v>
      </c>
      <c r="K1469">
        <v>2200</v>
      </c>
      <c r="L1469">
        <v>0</v>
      </c>
      <c r="M1469">
        <v>0</v>
      </c>
      <c r="N1469">
        <v>2200</v>
      </c>
    </row>
    <row r="1470" spans="1:14" x14ac:dyDescent="0.25">
      <c r="A1470">
        <v>1107.6124460000001</v>
      </c>
      <c r="B1470" s="1">
        <f>DATE(2013,5,12) + TIME(14,41,55)</f>
        <v>41406.612442129626</v>
      </c>
      <c r="C1470">
        <v>80</v>
      </c>
      <c r="D1470">
        <v>79.954338074000006</v>
      </c>
      <c r="E1470">
        <v>50</v>
      </c>
      <c r="F1470">
        <v>49.089225769000002</v>
      </c>
      <c r="G1470">
        <v>1381.2108154</v>
      </c>
      <c r="H1470">
        <v>1367.6319579999999</v>
      </c>
      <c r="I1470">
        <v>1292.6829834</v>
      </c>
      <c r="J1470">
        <v>1275.1923827999999</v>
      </c>
      <c r="K1470">
        <v>2200</v>
      </c>
      <c r="L1470">
        <v>0</v>
      </c>
      <c r="M1470">
        <v>0</v>
      </c>
      <c r="N1470">
        <v>2200</v>
      </c>
    </row>
    <row r="1471" spans="1:14" x14ac:dyDescent="0.25">
      <c r="A1471">
        <v>1107.9841100000001</v>
      </c>
      <c r="B1471" s="1">
        <f>DATE(2013,5,12) + TIME(23,37,7)</f>
        <v>41406.9841087963</v>
      </c>
      <c r="C1471">
        <v>80</v>
      </c>
      <c r="D1471">
        <v>79.954376221000004</v>
      </c>
      <c r="E1471">
        <v>50</v>
      </c>
      <c r="F1471">
        <v>49.065231322999999</v>
      </c>
      <c r="G1471">
        <v>1381.1560059000001</v>
      </c>
      <c r="H1471">
        <v>1367.5886230000001</v>
      </c>
      <c r="I1471">
        <v>1292.6773682</v>
      </c>
      <c r="J1471">
        <v>1275.1846923999999</v>
      </c>
      <c r="K1471">
        <v>2200</v>
      </c>
      <c r="L1471">
        <v>0</v>
      </c>
      <c r="M1471">
        <v>0</v>
      </c>
      <c r="N1471">
        <v>2200</v>
      </c>
    </row>
    <row r="1472" spans="1:14" x14ac:dyDescent="0.25">
      <c r="A1472">
        <v>1108.3675169999999</v>
      </c>
      <c r="B1472" s="1">
        <f>DATE(2013,5,13) + TIME(8,49,13)</f>
        <v>41407.367511574077</v>
      </c>
      <c r="C1472">
        <v>80</v>
      </c>
      <c r="D1472">
        <v>79.954406738000003</v>
      </c>
      <c r="E1472">
        <v>50</v>
      </c>
      <c r="F1472">
        <v>49.040634154999999</v>
      </c>
      <c r="G1472">
        <v>1381.1010742000001</v>
      </c>
      <c r="H1472">
        <v>1367.5452881000001</v>
      </c>
      <c r="I1472">
        <v>1292.6715088000001</v>
      </c>
      <c r="J1472">
        <v>1275.1767577999999</v>
      </c>
      <c r="K1472">
        <v>2200</v>
      </c>
      <c r="L1472">
        <v>0</v>
      </c>
      <c r="M1472">
        <v>0</v>
      </c>
      <c r="N1472">
        <v>2200</v>
      </c>
    </row>
    <row r="1473" spans="1:14" x14ac:dyDescent="0.25">
      <c r="A1473">
        <v>1108.7641309999999</v>
      </c>
      <c r="B1473" s="1">
        <f>DATE(2013,5,13) + TIME(18,20,20)</f>
        <v>41407.764120370368</v>
      </c>
      <c r="C1473">
        <v>80</v>
      </c>
      <c r="D1473">
        <v>79.954429626000007</v>
      </c>
      <c r="E1473">
        <v>50</v>
      </c>
      <c r="F1473">
        <v>49.015361786</v>
      </c>
      <c r="G1473">
        <v>1381.0456543</v>
      </c>
      <c r="H1473">
        <v>1367.5017089999999</v>
      </c>
      <c r="I1473">
        <v>1292.6654053</v>
      </c>
      <c r="J1473">
        <v>1275.1685791</v>
      </c>
      <c r="K1473">
        <v>2200</v>
      </c>
      <c r="L1473">
        <v>0</v>
      </c>
      <c r="M1473">
        <v>0</v>
      </c>
      <c r="N1473">
        <v>2200</v>
      </c>
    </row>
    <row r="1474" spans="1:14" x14ac:dyDescent="0.25">
      <c r="A1474">
        <v>1109.1683889999999</v>
      </c>
      <c r="B1474" s="1">
        <f>DATE(2013,5,14) + TIME(4,2,28)</f>
        <v>41408.168379629627</v>
      </c>
      <c r="C1474">
        <v>80</v>
      </c>
      <c r="D1474">
        <v>79.954437256000006</v>
      </c>
      <c r="E1474">
        <v>50</v>
      </c>
      <c r="F1474">
        <v>48.989646911999998</v>
      </c>
      <c r="G1474">
        <v>1380.9898682</v>
      </c>
      <c r="H1474">
        <v>1367.4577637</v>
      </c>
      <c r="I1474">
        <v>1292.6590576000001</v>
      </c>
      <c r="J1474">
        <v>1275.1600341999999</v>
      </c>
      <c r="K1474">
        <v>2200</v>
      </c>
      <c r="L1474">
        <v>0</v>
      </c>
      <c r="M1474">
        <v>0</v>
      </c>
      <c r="N1474">
        <v>2200</v>
      </c>
    </row>
    <row r="1475" spans="1:14" x14ac:dyDescent="0.25">
      <c r="A1475">
        <v>1109.5779700000001</v>
      </c>
      <c r="B1475" s="1">
        <f>DATE(2013,5,14) + TIME(13,52,16)</f>
        <v>41408.577962962961</v>
      </c>
      <c r="C1475">
        <v>80</v>
      </c>
      <c r="D1475">
        <v>79.954444885000001</v>
      </c>
      <c r="E1475">
        <v>50</v>
      </c>
      <c r="F1475">
        <v>48.963619231999999</v>
      </c>
      <c r="G1475">
        <v>1380.9343262</v>
      </c>
      <c r="H1475">
        <v>1367.4141846</v>
      </c>
      <c r="I1475">
        <v>1292.6525879000001</v>
      </c>
      <c r="J1475">
        <v>1275.1513672000001</v>
      </c>
      <c r="K1475">
        <v>2200</v>
      </c>
      <c r="L1475">
        <v>0</v>
      </c>
      <c r="M1475">
        <v>0</v>
      </c>
      <c r="N1475">
        <v>2200</v>
      </c>
    </row>
    <row r="1476" spans="1:14" x14ac:dyDescent="0.25">
      <c r="A1476">
        <v>1109.991407</v>
      </c>
      <c r="B1476" s="1">
        <f>DATE(2013,5,14) + TIME(23,47,37)</f>
        <v>41408.991400462961</v>
      </c>
      <c r="C1476">
        <v>80</v>
      </c>
      <c r="D1476">
        <v>79.954444885000001</v>
      </c>
      <c r="E1476">
        <v>50</v>
      </c>
      <c r="F1476">
        <v>48.937370299999998</v>
      </c>
      <c r="G1476">
        <v>1380.8793945</v>
      </c>
      <c r="H1476">
        <v>1367.3709716999999</v>
      </c>
      <c r="I1476">
        <v>1292.6459961</v>
      </c>
      <c r="J1476">
        <v>1275.1424560999999</v>
      </c>
      <c r="K1476">
        <v>2200</v>
      </c>
      <c r="L1476">
        <v>0</v>
      </c>
      <c r="M1476">
        <v>0</v>
      </c>
      <c r="N1476">
        <v>2200</v>
      </c>
    </row>
    <row r="1477" spans="1:14" x14ac:dyDescent="0.25">
      <c r="A1477">
        <v>1110.4097899999999</v>
      </c>
      <c r="B1477" s="1">
        <f>DATE(2013,5,15) + TIME(9,50,5)</f>
        <v>41409.409780092596</v>
      </c>
      <c r="C1477">
        <v>80</v>
      </c>
      <c r="D1477">
        <v>79.954444885000001</v>
      </c>
      <c r="E1477">
        <v>50</v>
      </c>
      <c r="F1477">
        <v>48.910888671999999</v>
      </c>
      <c r="G1477">
        <v>1380.8251952999999</v>
      </c>
      <c r="H1477">
        <v>1367.3284911999999</v>
      </c>
      <c r="I1477">
        <v>1292.6394043</v>
      </c>
      <c r="J1477">
        <v>1275.1335449000001</v>
      </c>
      <c r="K1477">
        <v>2200</v>
      </c>
      <c r="L1477">
        <v>0</v>
      </c>
      <c r="M1477">
        <v>0</v>
      </c>
      <c r="N1477">
        <v>2200</v>
      </c>
    </row>
    <row r="1478" spans="1:14" x14ac:dyDescent="0.25">
      <c r="A1478">
        <v>1110.8342110000001</v>
      </c>
      <c r="B1478" s="1">
        <f>DATE(2013,5,15) + TIME(20,1,15)</f>
        <v>41409.834201388891</v>
      </c>
      <c r="C1478">
        <v>80</v>
      </c>
      <c r="D1478">
        <v>79.954437256000006</v>
      </c>
      <c r="E1478">
        <v>50</v>
      </c>
      <c r="F1478">
        <v>48.8841362</v>
      </c>
      <c r="G1478">
        <v>1380.7717285000001</v>
      </c>
      <c r="H1478">
        <v>1367.286499</v>
      </c>
      <c r="I1478">
        <v>1292.6325684000001</v>
      </c>
      <c r="J1478">
        <v>1275.1245117000001</v>
      </c>
      <c r="K1478">
        <v>2200</v>
      </c>
      <c r="L1478">
        <v>0</v>
      </c>
      <c r="M1478">
        <v>0</v>
      </c>
      <c r="N1478">
        <v>2200</v>
      </c>
    </row>
    <row r="1479" spans="1:14" x14ac:dyDescent="0.25">
      <c r="A1479">
        <v>1111.265807</v>
      </c>
      <c r="B1479" s="1">
        <f>DATE(2013,5,16) + TIME(6,22,45)</f>
        <v>41410.265798611108</v>
      </c>
      <c r="C1479">
        <v>80</v>
      </c>
      <c r="D1479">
        <v>79.954429626000007</v>
      </c>
      <c r="E1479">
        <v>50</v>
      </c>
      <c r="F1479">
        <v>48.857074738000001</v>
      </c>
      <c r="G1479">
        <v>1380.71875</v>
      </c>
      <c r="H1479">
        <v>1367.2448730000001</v>
      </c>
      <c r="I1479">
        <v>1292.6257324000001</v>
      </c>
      <c r="J1479">
        <v>1275.1152344</v>
      </c>
      <c r="K1479">
        <v>2200</v>
      </c>
      <c r="L1479">
        <v>0</v>
      </c>
      <c r="M1479">
        <v>0</v>
      </c>
      <c r="N1479">
        <v>2200</v>
      </c>
    </row>
    <row r="1480" spans="1:14" x14ac:dyDescent="0.25">
      <c r="A1480">
        <v>1111.7057629999999</v>
      </c>
      <c r="B1480" s="1">
        <f>DATE(2013,5,16) + TIME(16,56,17)</f>
        <v>41410.705752314818</v>
      </c>
      <c r="C1480">
        <v>80</v>
      </c>
      <c r="D1480">
        <v>79.954421996999997</v>
      </c>
      <c r="E1480">
        <v>50</v>
      </c>
      <c r="F1480">
        <v>48.829650878999999</v>
      </c>
      <c r="G1480">
        <v>1380.6660156</v>
      </c>
      <c r="H1480">
        <v>1367.2036132999999</v>
      </c>
      <c r="I1480">
        <v>1292.6187743999999</v>
      </c>
      <c r="J1480">
        <v>1275.1058350000001</v>
      </c>
      <c r="K1480">
        <v>2200</v>
      </c>
      <c r="L1480">
        <v>0</v>
      </c>
      <c r="M1480">
        <v>0</v>
      </c>
      <c r="N1480">
        <v>2200</v>
      </c>
    </row>
    <row r="1481" spans="1:14" x14ac:dyDescent="0.25">
      <c r="A1481">
        <v>1112.155348</v>
      </c>
      <c r="B1481" s="1">
        <f>DATE(2013,5,17) + TIME(3,43,42)</f>
        <v>41411.155347222222</v>
      </c>
      <c r="C1481">
        <v>80</v>
      </c>
      <c r="D1481">
        <v>79.954406738000003</v>
      </c>
      <c r="E1481">
        <v>50</v>
      </c>
      <c r="F1481">
        <v>48.801807404000002</v>
      </c>
      <c r="G1481">
        <v>1380.6134033000001</v>
      </c>
      <c r="H1481">
        <v>1367.1623535000001</v>
      </c>
      <c r="I1481">
        <v>1292.6115723</v>
      </c>
      <c r="J1481">
        <v>1275.0961914</v>
      </c>
      <c r="K1481">
        <v>2200</v>
      </c>
      <c r="L1481">
        <v>0</v>
      </c>
      <c r="M1481">
        <v>0</v>
      </c>
      <c r="N1481">
        <v>2200</v>
      </c>
    </row>
    <row r="1482" spans="1:14" x14ac:dyDescent="0.25">
      <c r="A1482">
        <v>1112.615937</v>
      </c>
      <c r="B1482" s="1">
        <f>DATE(2013,5,17) + TIME(14,46,56)</f>
        <v>41411.615925925929</v>
      </c>
      <c r="C1482">
        <v>80</v>
      </c>
      <c r="D1482">
        <v>79.954391478999995</v>
      </c>
      <c r="E1482">
        <v>50</v>
      </c>
      <c r="F1482">
        <v>48.773475646999998</v>
      </c>
      <c r="G1482">
        <v>1380.5609131000001</v>
      </c>
      <c r="H1482">
        <v>1367.1212158000001</v>
      </c>
      <c r="I1482">
        <v>1292.6042480000001</v>
      </c>
      <c r="J1482">
        <v>1275.0863036999999</v>
      </c>
      <c r="K1482">
        <v>2200</v>
      </c>
      <c r="L1482">
        <v>0</v>
      </c>
      <c r="M1482">
        <v>0</v>
      </c>
      <c r="N1482">
        <v>2200</v>
      </c>
    </row>
    <row r="1483" spans="1:14" x14ac:dyDescent="0.25">
      <c r="A1483">
        <v>1113.0890460000001</v>
      </c>
      <c r="B1483" s="1">
        <f>DATE(2013,5,18) + TIME(2,8,13)</f>
        <v>41412.089039351849</v>
      </c>
      <c r="C1483">
        <v>80</v>
      </c>
      <c r="D1483">
        <v>79.954376221000004</v>
      </c>
      <c r="E1483">
        <v>50</v>
      </c>
      <c r="F1483">
        <v>48.744579315000003</v>
      </c>
      <c r="G1483">
        <v>1380.5081786999999</v>
      </c>
      <c r="H1483">
        <v>1367.0800781</v>
      </c>
      <c r="I1483">
        <v>1292.5968018000001</v>
      </c>
      <c r="J1483">
        <v>1275.0760498</v>
      </c>
      <c r="K1483">
        <v>2200</v>
      </c>
      <c r="L1483">
        <v>0</v>
      </c>
      <c r="M1483">
        <v>0</v>
      </c>
      <c r="N1483">
        <v>2200</v>
      </c>
    </row>
    <row r="1484" spans="1:14" x14ac:dyDescent="0.25">
      <c r="A1484">
        <v>1113.5763750000001</v>
      </c>
      <c r="B1484" s="1">
        <f>DATE(2013,5,18) + TIME(13,49,58)</f>
        <v>41412.576365740744</v>
      </c>
      <c r="C1484">
        <v>80</v>
      </c>
      <c r="D1484">
        <v>79.954360961999996</v>
      </c>
      <c r="E1484">
        <v>50</v>
      </c>
      <c r="F1484">
        <v>48.715038300000003</v>
      </c>
      <c r="G1484">
        <v>1380.4553223</v>
      </c>
      <c r="H1484">
        <v>1367.0385742000001</v>
      </c>
      <c r="I1484">
        <v>1292.5889893000001</v>
      </c>
      <c r="J1484">
        <v>1275.0655518000001</v>
      </c>
      <c r="K1484">
        <v>2200</v>
      </c>
      <c r="L1484">
        <v>0</v>
      </c>
      <c r="M1484">
        <v>0</v>
      </c>
      <c r="N1484">
        <v>2200</v>
      </c>
    </row>
    <row r="1485" spans="1:14" x14ac:dyDescent="0.25">
      <c r="A1485">
        <v>1114.078767</v>
      </c>
      <c r="B1485" s="1">
        <f>DATE(2013,5,19) + TIME(1,53,25)</f>
        <v>41413.078761574077</v>
      </c>
      <c r="C1485">
        <v>80</v>
      </c>
      <c r="D1485">
        <v>79.954345703000001</v>
      </c>
      <c r="E1485">
        <v>50</v>
      </c>
      <c r="F1485">
        <v>48.684791564999998</v>
      </c>
      <c r="G1485">
        <v>1380.4019774999999</v>
      </c>
      <c r="H1485">
        <v>1366.9969481999999</v>
      </c>
      <c r="I1485">
        <v>1292.5810547000001</v>
      </c>
      <c r="J1485">
        <v>1275.0548096</v>
      </c>
      <c r="K1485">
        <v>2200</v>
      </c>
      <c r="L1485">
        <v>0</v>
      </c>
      <c r="M1485">
        <v>0</v>
      </c>
      <c r="N1485">
        <v>2200</v>
      </c>
    </row>
    <row r="1486" spans="1:14" x14ac:dyDescent="0.25">
      <c r="A1486">
        <v>1114.5906460000001</v>
      </c>
      <c r="B1486" s="1">
        <f>DATE(2013,5,19) + TIME(14,10,31)</f>
        <v>41413.590636574074</v>
      </c>
      <c r="C1486">
        <v>80</v>
      </c>
      <c r="D1486">
        <v>79.954330443999993</v>
      </c>
      <c r="E1486">
        <v>50</v>
      </c>
      <c r="F1486">
        <v>48.654048920000001</v>
      </c>
      <c r="G1486">
        <v>1380.3481445</v>
      </c>
      <c r="H1486">
        <v>1366.9548339999999</v>
      </c>
      <c r="I1486">
        <v>1292.5726318</v>
      </c>
      <c r="J1486">
        <v>1275.0435791</v>
      </c>
      <c r="K1486">
        <v>2200</v>
      </c>
      <c r="L1486">
        <v>0</v>
      </c>
      <c r="M1486">
        <v>0</v>
      </c>
      <c r="N1486">
        <v>2200</v>
      </c>
    </row>
    <row r="1487" spans="1:14" x14ac:dyDescent="0.25">
      <c r="A1487">
        <v>1115.1134979999999</v>
      </c>
      <c r="B1487" s="1">
        <f>DATE(2013,5,20) + TIME(2,43,26)</f>
        <v>41414.113495370373</v>
      </c>
      <c r="C1487">
        <v>80</v>
      </c>
      <c r="D1487">
        <v>79.954307556000003</v>
      </c>
      <c r="E1487">
        <v>50</v>
      </c>
      <c r="F1487">
        <v>48.622772216999998</v>
      </c>
      <c r="G1487">
        <v>1380.2945557</v>
      </c>
      <c r="H1487">
        <v>1366.9129639</v>
      </c>
      <c r="I1487">
        <v>1292.5642089999999</v>
      </c>
      <c r="J1487">
        <v>1275.0321045000001</v>
      </c>
      <c r="K1487">
        <v>2200</v>
      </c>
      <c r="L1487">
        <v>0</v>
      </c>
      <c r="M1487">
        <v>0</v>
      </c>
      <c r="N1487">
        <v>2200</v>
      </c>
    </row>
    <row r="1488" spans="1:14" x14ac:dyDescent="0.25">
      <c r="A1488">
        <v>1115.6479569999999</v>
      </c>
      <c r="B1488" s="1">
        <f>DATE(2013,5,20) + TIME(15,33,3)</f>
        <v>41414.647951388892</v>
      </c>
      <c r="C1488">
        <v>80</v>
      </c>
      <c r="D1488">
        <v>79.954292296999995</v>
      </c>
      <c r="E1488">
        <v>50</v>
      </c>
      <c r="F1488">
        <v>48.590957641999999</v>
      </c>
      <c r="G1488">
        <v>1380.2409668</v>
      </c>
      <c r="H1488">
        <v>1366.8709716999999</v>
      </c>
      <c r="I1488">
        <v>1292.5554199000001</v>
      </c>
      <c r="J1488">
        <v>1275.0203856999999</v>
      </c>
      <c r="K1488">
        <v>2200</v>
      </c>
      <c r="L1488">
        <v>0</v>
      </c>
      <c r="M1488">
        <v>0</v>
      </c>
      <c r="N1488">
        <v>2200</v>
      </c>
    </row>
    <row r="1489" spans="1:14" x14ac:dyDescent="0.25">
      <c r="A1489">
        <v>1116.1884970000001</v>
      </c>
      <c r="B1489" s="1">
        <f>DATE(2013,5,21) + TIME(4,31,26)</f>
        <v>41415.18849537037</v>
      </c>
      <c r="C1489">
        <v>80</v>
      </c>
      <c r="D1489">
        <v>79.954269409000005</v>
      </c>
      <c r="E1489">
        <v>50</v>
      </c>
      <c r="F1489">
        <v>48.558818817000002</v>
      </c>
      <c r="G1489">
        <v>1380.1872559000001</v>
      </c>
      <c r="H1489">
        <v>1366.8291016000001</v>
      </c>
      <c r="I1489">
        <v>1292.5465088000001</v>
      </c>
      <c r="J1489">
        <v>1275.0083007999999</v>
      </c>
      <c r="K1489">
        <v>2200</v>
      </c>
      <c r="L1489">
        <v>0</v>
      </c>
      <c r="M1489">
        <v>0</v>
      </c>
      <c r="N1489">
        <v>2200</v>
      </c>
    </row>
    <row r="1490" spans="1:14" x14ac:dyDescent="0.25">
      <c r="A1490">
        <v>1116.7368180000001</v>
      </c>
      <c r="B1490" s="1">
        <f>DATE(2013,5,21) + TIME(17,41,1)</f>
        <v>41415.736817129633</v>
      </c>
      <c r="C1490">
        <v>80</v>
      </c>
      <c r="D1490">
        <v>79.954254149999997</v>
      </c>
      <c r="E1490">
        <v>50</v>
      </c>
      <c r="F1490">
        <v>48.526332855</v>
      </c>
      <c r="G1490">
        <v>1380.1341553</v>
      </c>
      <c r="H1490">
        <v>1366.7875977000001</v>
      </c>
      <c r="I1490">
        <v>1292.5373535000001</v>
      </c>
      <c r="J1490">
        <v>1274.9959716999999</v>
      </c>
      <c r="K1490">
        <v>2200</v>
      </c>
      <c r="L1490">
        <v>0</v>
      </c>
      <c r="M1490">
        <v>0</v>
      </c>
      <c r="N1490">
        <v>2200</v>
      </c>
    </row>
    <row r="1491" spans="1:14" x14ac:dyDescent="0.25">
      <c r="A1491">
        <v>1117.294003</v>
      </c>
      <c r="B1491" s="1">
        <f>DATE(2013,5,22) + TIME(7,3,21)</f>
        <v>41416.293993055559</v>
      </c>
      <c r="C1491">
        <v>80</v>
      </c>
      <c r="D1491">
        <v>79.954231261999993</v>
      </c>
      <c r="E1491">
        <v>50</v>
      </c>
      <c r="F1491">
        <v>48.493480681999998</v>
      </c>
      <c r="G1491">
        <v>1380.0814209</v>
      </c>
      <c r="H1491">
        <v>1366.7463379000001</v>
      </c>
      <c r="I1491">
        <v>1292.5280762</v>
      </c>
      <c r="J1491">
        <v>1274.9833983999999</v>
      </c>
      <c r="K1491">
        <v>2200</v>
      </c>
      <c r="L1491">
        <v>0</v>
      </c>
      <c r="M1491">
        <v>0</v>
      </c>
      <c r="N1491">
        <v>2200</v>
      </c>
    </row>
    <row r="1492" spans="1:14" x14ac:dyDescent="0.25">
      <c r="A1492">
        <v>1117.856935</v>
      </c>
      <c r="B1492" s="1">
        <f>DATE(2013,5,22) + TIME(20,33,59)</f>
        <v>41416.856932870367</v>
      </c>
      <c r="C1492">
        <v>80</v>
      </c>
      <c r="D1492">
        <v>79.954216002999999</v>
      </c>
      <c r="E1492">
        <v>50</v>
      </c>
      <c r="F1492">
        <v>48.460384369000003</v>
      </c>
      <c r="G1492">
        <v>1380.0289307</v>
      </c>
      <c r="H1492">
        <v>1366.7053223</v>
      </c>
      <c r="I1492">
        <v>1292.5185547000001</v>
      </c>
      <c r="J1492">
        <v>1274.9707031</v>
      </c>
      <c r="K1492">
        <v>2200</v>
      </c>
      <c r="L1492">
        <v>0</v>
      </c>
      <c r="M1492">
        <v>0</v>
      </c>
      <c r="N1492">
        <v>2200</v>
      </c>
    </row>
    <row r="1493" spans="1:14" x14ac:dyDescent="0.25">
      <c r="A1493">
        <v>1118.4271859999999</v>
      </c>
      <c r="B1493" s="1">
        <f>DATE(2013,5,23) + TIME(10,15,8)</f>
        <v>41417.427175925928</v>
      </c>
      <c r="C1493">
        <v>80</v>
      </c>
      <c r="D1493">
        <v>79.954193114999995</v>
      </c>
      <c r="E1493">
        <v>50</v>
      </c>
      <c r="F1493">
        <v>48.427013397000003</v>
      </c>
      <c r="G1493">
        <v>1379.9769286999999</v>
      </c>
      <c r="H1493">
        <v>1366.6646728999999</v>
      </c>
      <c r="I1493">
        <v>1292.5090332</v>
      </c>
      <c r="J1493">
        <v>1274.9576416</v>
      </c>
      <c r="K1493">
        <v>2200</v>
      </c>
      <c r="L1493">
        <v>0</v>
      </c>
      <c r="M1493">
        <v>0</v>
      </c>
      <c r="N1493">
        <v>2200</v>
      </c>
    </row>
    <row r="1494" spans="1:14" x14ac:dyDescent="0.25">
      <c r="A1494">
        <v>1119.0063439999999</v>
      </c>
      <c r="B1494" s="1">
        <f>DATE(2013,5,24) + TIME(0,9,8)</f>
        <v>41418.006342592591</v>
      </c>
      <c r="C1494">
        <v>80</v>
      </c>
      <c r="D1494">
        <v>79.954177856000001</v>
      </c>
      <c r="E1494">
        <v>50</v>
      </c>
      <c r="F1494">
        <v>48.393314361999998</v>
      </c>
      <c r="G1494">
        <v>1379.925293</v>
      </c>
      <c r="H1494">
        <v>1366.6242675999999</v>
      </c>
      <c r="I1494">
        <v>1292.4992675999999</v>
      </c>
      <c r="J1494">
        <v>1274.9443358999999</v>
      </c>
      <c r="K1494">
        <v>2200</v>
      </c>
      <c r="L1494">
        <v>0</v>
      </c>
      <c r="M1494">
        <v>0</v>
      </c>
      <c r="N1494">
        <v>2200</v>
      </c>
    </row>
    <row r="1495" spans="1:14" x14ac:dyDescent="0.25">
      <c r="A1495">
        <v>1119.596076</v>
      </c>
      <c r="B1495" s="1">
        <f>DATE(2013,5,24) + TIME(14,18,20)</f>
        <v>41418.596064814818</v>
      </c>
      <c r="C1495">
        <v>80</v>
      </c>
      <c r="D1495">
        <v>79.954154967999997</v>
      </c>
      <c r="E1495">
        <v>50</v>
      </c>
      <c r="F1495">
        <v>48.359230042</v>
      </c>
      <c r="G1495">
        <v>1379.8739014</v>
      </c>
      <c r="H1495">
        <v>1366.5841064000001</v>
      </c>
      <c r="I1495">
        <v>1292.4892577999999</v>
      </c>
      <c r="J1495">
        <v>1274.9307861</v>
      </c>
      <c r="K1495">
        <v>2200</v>
      </c>
      <c r="L1495">
        <v>0</v>
      </c>
      <c r="M1495">
        <v>0</v>
      </c>
      <c r="N1495">
        <v>2200</v>
      </c>
    </row>
    <row r="1496" spans="1:14" x14ac:dyDescent="0.25">
      <c r="A1496">
        <v>1120.198173</v>
      </c>
      <c r="B1496" s="1">
        <f>DATE(2013,5,25) + TIME(4,45,22)</f>
        <v>41419.198171296295</v>
      </c>
      <c r="C1496">
        <v>80</v>
      </c>
      <c r="D1496">
        <v>79.954139709000003</v>
      </c>
      <c r="E1496">
        <v>50</v>
      </c>
      <c r="F1496">
        <v>48.324672698999997</v>
      </c>
      <c r="G1496">
        <v>1379.8225098</v>
      </c>
      <c r="H1496">
        <v>1366.5439452999999</v>
      </c>
      <c r="I1496">
        <v>1292.4790039</v>
      </c>
      <c r="J1496">
        <v>1274.9169922000001</v>
      </c>
      <c r="K1496">
        <v>2200</v>
      </c>
      <c r="L1496">
        <v>0</v>
      </c>
      <c r="M1496">
        <v>0</v>
      </c>
      <c r="N1496">
        <v>2200</v>
      </c>
    </row>
    <row r="1497" spans="1:14" x14ac:dyDescent="0.25">
      <c r="A1497">
        <v>1120.814572</v>
      </c>
      <c r="B1497" s="1">
        <f>DATE(2013,5,25) + TIME(19,32,59)</f>
        <v>41419.814571759256</v>
      </c>
      <c r="C1497">
        <v>80</v>
      </c>
      <c r="D1497">
        <v>79.954124450999998</v>
      </c>
      <c r="E1497">
        <v>50</v>
      </c>
      <c r="F1497">
        <v>48.289554596000002</v>
      </c>
      <c r="G1497">
        <v>1379.7711182</v>
      </c>
      <c r="H1497">
        <v>1366.5037841999999</v>
      </c>
      <c r="I1497">
        <v>1292.4685059000001</v>
      </c>
      <c r="J1497">
        <v>1274.9027100000001</v>
      </c>
      <c r="K1497">
        <v>2200</v>
      </c>
      <c r="L1497">
        <v>0</v>
      </c>
      <c r="M1497">
        <v>0</v>
      </c>
      <c r="N1497">
        <v>2200</v>
      </c>
    </row>
    <row r="1498" spans="1:14" x14ac:dyDescent="0.25">
      <c r="A1498">
        <v>1121.4473989999999</v>
      </c>
      <c r="B1498" s="1">
        <f>DATE(2013,5,26) + TIME(10,44,15)</f>
        <v>41420.447395833333</v>
      </c>
      <c r="C1498">
        <v>80</v>
      </c>
      <c r="D1498">
        <v>79.954101562000005</v>
      </c>
      <c r="E1498">
        <v>50</v>
      </c>
      <c r="F1498">
        <v>48.253780364999997</v>
      </c>
      <c r="G1498">
        <v>1379.7194824000001</v>
      </c>
      <c r="H1498">
        <v>1366.4633789</v>
      </c>
      <c r="I1498">
        <v>1292.4577637</v>
      </c>
      <c r="J1498">
        <v>1274.8879394999999</v>
      </c>
      <c r="K1498">
        <v>2200</v>
      </c>
      <c r="L1498">
        <v>0</v>
      </c>
      <c r="M1498">
        <v>0</v>
      </c>
      <c r="N1498">
        <v>2200</v>
      </c>
    </row>
    <row r="1499" spans="1:14" x14ac:dyDescent="0.25">
      <c r="A1499">
        <v>1122.0993989999999</v>
      </c>
      <c r="B1499" s="1">
        <f>DATE(2013,5,27) + TIME(2,23,8)</f>
        <v>41421.099398148152</v>
      </c>
      <c r="C1499">
        <v>80</v>
      </c>
      <c r="D1499">
        <v>79.954086304</v>
      </c>
      <c r="E1499">
        <v>50</v>
      </c>
      <c r="F1499">
        <v>48.217220306000002</v>
      </c>
      <c r="G1499">
        <v>1379.6674805</v>
      </c>
      <c r="H1499">
        <v>1366.4227295000001</v>
      </c>
      <c r="I1499">
        <v>1292.4465332</v>
      </c>
      <c r="J1499">
        <v>1274.8726807</v>
      </c>
      <c r="K1499">
        <v>2200</v>
      </c>
      <c r="L1499">
        <v>0</v>
      </c>
      <c r="M1499">
        <v>0</v>
      </c>
      <c r="N1499">
        <v>2200</v>
      </c>
    </row>
    <row r="1500" spans="1:14" x14ac:dyDescent="0.25">
      <c r="A1500">
        <v>1122.7730059999999</v>
      </c>
      <c r="B1500" s="1">
        <f>DATE(2013,5,27) + TIME(18,33,7)</f>
        <v>41421.772997685184</v>
      </c>
      <c r="C1500">
        <v>80</v>
      </c>
      <c r="D1500">
        <v>79.954071045000006</v>
      </c>
      <c r="E1500">
        <v>50</v>
      </c>
      <c r="F1500">
        <v>48.179756165000001</v>
      </c>
      <c r="G1500">
        <v>1379.6148682</v>
      </c>
      <c r="H1500">
        <v>1366.3815918</v>
      </c>
      <c r="I1500">
        <v>1292.4349365</v>
      </c>
      <c r="J1500">
        <v>1274.8569336</v>
      </c>
      <c r="K1500">
        <v>2200</v>
      </c>
      <c r="L1500">
        <v>0</v>
      </c>
      <c r="M1500">
        <v>0</v>
      </c>
      <c r="N1500">
        <v>2200</v>
      </c>
    </row>
    <row r="1501" spans="1:14" x14ac:dyDescent="0.25">
      <c r="A1501">
        <v>1123.4576709999999</v>
      </c>
      <c r="B1501" s="1">
        <f>DATE(2013,5,28) + TIME(10,59,2)</f>
        <v>41422.457662037035</v>
      </c>
      <c r="C1501">
        <v>80</v>
      </c>
      <c r="D1501">
        <v>79.954055785999998</v>
      </c>
      <c r="E1501">
        <v>50</v>
      </c>
      <c r="F1501">
        <v>48.141685486</v>
      </c>
      <c r="G1501">
        <v>1379.5616454999999</v>
      </c>
      <c r="H1501">
        <v>1366.3399658000001</v>
      </c>
      <c r="I1501">
        <v>1292.4228516000001</v>
      </c>
      <c r="J1501">
        <v>1274.8404541</v>
      </c>
      <c r="K1501">
        <v>2200</v>
      </c>
      <c r="L1501">
        <v>0</v>
      </c>
      <c r="M1501">
        <v>0</v>
      </c>
      <c r="N1501">
        <v>2200</v>
      </c>
    </row>
    <row r="1502" spans="1:14" x14ac:dyDescent="0.25">
      <c r="A1502">
        <v>1124.148909</v>
      </c>
      <c r="B1502" s="1">
        <f>DATE(2013,5,29) + TIME(3,34,25)</f>
        <v>41423.148900462962</v>
      </c>
      <c r="C1502">
        <v>80</v>
      </c>
      <c r="D1502">
        <v>79.954040527000004</v>
      </c>
      <c r="E1502">
        <v>50</v>
      </c>
      <c r="F1502">
        <v>48.103225707999997</v>
      </c>
      <c r="G1502">
        <v>1379.5085449000001</v>
      </c>
      <c r="H1502">
        <v>1366.2983397999999</v>
      </c>
      <c r="I1502">
        <v>1292.4105225000001</v>
      </c>
      <c r="J1502">
        <v>1274.8236084</v>
      </c>
      <c r="K1502">
        <v>2200</v>
      </c>
      <c r="L1502">
        <v>0</v>
      </c>
      <c r="M1502">
        <v>0</v>
      </c>
      <c r="N1502">
        <v>2200</v>
      </c>
    </row>
    <row r="1503" spans="1:14" x14ac:dyDescent="0.25">
      <c r="A1503">
        <v>1124.8489509999999</v>
      </c>
      <c r="B1503" s="1">
        <f>DATE(2013,5,29) + TIME(20,22,29)</f>
        <v>41423.848946759259</v>
      </c>
      <c r="C1503">
        <v>80</v>
      </c>
      <c r="D1503">
        <v>79.954025268999999</v>
      </c>
      <c r="E1503">
        <v>50</v>
      </c>
      <c r="F1503">
        <v>48.064399719000001</v>
      </c>
      <c r="G1503">
        <v>1379.4559326000001</v>
      </c>
      <c r="H1503">
        <v>1366.2572021000001</v>
      </c>
      <c r="I1503">
        <v>1292.3979492000001</v>
      </c>
      <c r="J1503">
        <v>1274.8063964999999</v>
      </c>
      <c r="K1503">
        <v>2200</v>
      </c>
      <c r="L1503">
        <v>0</v>
      </c>
      <c r="M1503">
        <v>0</v>
      </c>
      <c r="N1503">
        <v>2200</v>
      </c>
    </row>
    <row r="1504" spans="1:14" x14ac:dyDescent="0.25">
      <c r="A1504">
        <v>1125.5600469999999</v>
      </c>
      <c r="B1504" s="1">
        <f>DATE(2013,5,30) + TIME(13,26,28)</f>
        <v>41424.560046296298</v>
      </c>
      <c r="C1504">
        <v>80</v>
      </c>
      <c r="D1504">
        <v>79.954010010000005</v>
      </c>
      <c r="E1504">
        <v>50</v>
      </c>
      <c r="F1504">
        <v>48.025165557999998</v>
      </c>
      <c r="G1504">
        <v>1379.4036865</v>
      </c>
      <c r="H1504">
        <v>1366.2161865</v>
      </c>
      <c r="I1504">
        <v>1292.3850098</v>
      </c>
      <c r="J1504">
        <v>1274.7888184000001</v>
      </c>
      <c r="K1504">
        <v>2200</v>
      </c>
      <c r="L1504">
        <v>0</v>
      </c>
      <c r="M1504">
        <v>0</v>
      </c>
      <c r="N1504">
        <v>2200</v>
      </c>
    </row>
    <row r="1505" spans="1:14" x14ac:dyDescent="0.25">
      <c r="A1505">
        <v>1126.2807290000001</v>
      </c>
      <c r="B1505" s="1">
        <f>DATE(2013,5,31) + TIME(6,44,14)</f>
        <v>41425.280717592592</v>
      </c>
      <c r="C1505">
        <v>80</v>
      </c>
      <c r="D1505">
        <v>79.953994750999996</v>
      </c>
      <c r="E1505">
        <v>50</v>
      </c>
      <c r="F1505">
        <v>47.985576629999997</v>
      </c>
      <c r="G1505">
        <v>1379.3514404</v>
      </c>
      <c r="H1505">
        <v>1366.175293</v>
      </c>
      <c r="I1505">
        <v>1292.3719481999999</v>
      </c>
      <c r="J1505">
        <v>1274.7707519999999</v>
      </c>
      <c r="K1505">
        <v>2200</v>
      </c>
      <c r="L1505">
        <v>0</v>
      </c>
      <c r="M1505">
        <v>0</v>
      </c>
      <c r="N1505">
        <v>2200</v>
      </c>
    </row>
    <row r="1506" spans="1:14" x14ac:dyDescent="0.25">
      <c r="A1506">
        <v>1127</v>
      </c>
      <c r="B1506" s="1">
        <f>DATE(2013,6,1) + TIME(0,0,0)</f>
        <v>41426</v>
      </c>
      <c r="C1506">
        <v>80</v>
      </c>
      <c r="D1506">
        <v>79.953979492000002</v>
      </c>
      <c r="E1506">
        <v>50</v>
      </c>
      <c r="F1506">
        <v>47.945976256999998</v>
      </c>
      <c r="G1506">
        <v>1379.2995605000001</v>
      </c>
      <c r="H1506">
        <v>1366.1346435999999</v>
      </c>
      <c r="I1506">
        <v>1292.3583983999999</v>
      </c>
      <c r="J1506">
        <v>1274.7523193</v>
      </c>
      <c r="K1506">
        <v>2200</v>
      </c>
      <c r="L1506">
        <v>0</v>
      </c>
      <c r="M1506">
        <v>0</v>
      </c>
      <c r="N1506">
        <v>2200</v>
      </c>
    </row>
    <row r="1507" spans="1:14" x14ac:dyDescent="0.25">
      <c r="A1507">
        <v>1127.731117</v>
      </c>
      <c r="B1507" s="1">
        <f>DATE(2013,6,1) + TIME(17,32,48)</f>
        <v>41426.731111111112</v>
      </c>
      <c r="C1507">
        <v>80</v>
      </c>
      <c r="D1507">
        <v>79.953964232999994</v>
      </c>
      <c r="E1507">
        <v>50</v>
      </c>
      <c r="F1507">
        <v>47.906082153</v>
      </c>
      <c r="G1507">
        <v>1379.2486572</v>
      </c>
      <c r="H1507">
        <v>1366.0947266000001</v>
      </c>
      <c r="I1507">
        <v>1292.3448486</v>
      </c>
      <c r="J1507">
        <v>1274.7336425999999</v>
      </c>
      <c r="K1507">
        <v>2200</v>
      </c>
      <c r="L1507">
        <v>0</v>
      </c>
      <c r="M1507">
        <v>0</v>
      </c>
      <c r="N1507">
        <v>2200</v>
      </c>
    </row>
    <row r="1508" spans="1:14" x14ac:dyDescent="0.25">
      <c r="A1508">
        <v>1128.4873500000001</v>
      </c>
      <c r="B1508" s="1">
        <f>DATE(2013,6,2) + TIME(11,41,47)</f>
        <v>41427.487349537034</v>
      </c>
      <c r="C1508">
        <v>80</v>
      </c>
      <c r="D1508">
        <v>79.953948975000003</v>
      </c>
      <c r="E1508">
        <v>50</v>
      </c>
      <c r="F1508">
        <v>47.865425109999997</v>
      </c>
      <c r="G1508">
        <v>1379.197876</v>
      </c>
      <c r="H1508">
        <v>1366.0548096</v>
      </c>
      <c r="I1508">
        <v>1292.3310547000001</v>
      </c>
      <c r="J1508">
        <v>1274.7144774999999</v>
      </c>
      <c r="K1508">
        <v>2200</v>
      </c>
      <c r="L1508">
        <v>0</v>
      </c>
      <c r="M1508">
        <v>0</v>
      </c>
      <c r="N1508">
        <v>2200</v>
      </c>
    </row>
    <row r="1509" spans="1:14" x14ac:dyDescent="0.25">
      <c r="A1509">
        <v>1129.257026</v>
      </c>
      <c r="B1509" s="1">
        <f>DATE(2013,6,3) + TIME(6,10,7)</f>
        <v>41428.257025462961</v>
      </c>
      <c r="C1509">
        <v>80</v>
      </c>
      <c r="D1509">
        <v>79.953941345000004</v>
      </c>
      <c r="E1509">
        <v>50</v>
      </c>
      <c r="F1509">
        <v>47.824184418000002</v>
      </c>
      <c r="G1509">
        <v>1379.1462402</v>
      </c>
      <c r="H1509">
        <v>1366.0142822</v>
      </c>
      <c r="I1509">
        <v>1292.3165283000001</v>
      </c>
      <c r="J1509">
        <v>1274.6944579999999</v>
      </c>
      <c r="K1509">
        <v>2200</v>
      </c>
      <c r="L1509">
        <v>0</v>
      </c>
      <c r="M1509">
        <v>0</v>
      </c>
      <c r="N1509">
        <v>2200</v>
      </c>
    </row>
    <row r="1510" spans="1:14" x14ac:dyDescent="0.25">
      <c r="A1510">
        <v>1130.042809</v>
      </c>
      <c r="B1510" s="1">
        <f>DATE(2013,6,4) + TIME(1,1,38)</f>
        <v>41429.042800925927</v>
      </c>
      <c r="C1510">
        <v>80</v>
      </c>
      <c r="D1510">
        <v>79.953926085999996</v>
      </c>
      <c r="E1510">
        <v>50</v>
      </c>
      <c r="F1510">
        <v>47.782306671000001</v>
      </c>
      <c r="G1510">
        <v>1379.0946045000001</v>
      </c>
      <c r="H1510">
        <v>1365.9737548999999</v>
      </c>
      <c r="I1510">
        <v>1292.3016356999999</v>
      </c>
      <c r="J1510">
        <v>1274.6738281</v>
      </c>
      <c r="K1510">
        <v>2200</v>
      </c>
      <c r="L1510">
        <v>0</v>
      </c>
      <c r="M1510">
        <v>0</v>
      </c>
      <c r="N1510">
        <v>2200</v>
      </c>
    </row>
    <row r="1511" spans="1:14" x14ac:dyDescent="0.25">
      <c r="A1511">
        <v>1130.847385</v>
      </c>
      <c r="B1511" s="1">
        <f>DATE(2013,6,4) + TIME(20,20,14)</f>
        <v>41429.847384259258</v>
      </c>
      <c r="C1511">
        <v>80</v>
      </c>
      <c r="D1511">
        <v>79.953918457</v>
      </c>
      <c r="E1511">
        <v>50</v>
      </c>
      <c r="F1511">
        <v>47.739707946999999</v>
      </c>
      <c r="G1511">
        <v>1379.0428466999999</v>
      </c>
      <c r="H1511">
        <v>1365.9329834</v>
      </c>
      <c r="I1511">
        <v>1292.2862548999999</v>
      </c>
      <c r="J1511">
        <v>1274.6524658000001</v>
      </c>
      <c r="K1511">
        <v>2200</v>
      </c>
      <c r="L1511">
        <v>0</v>
      </c>
      <c r="M1511">
        <v>0</v>
      </c>
      <c r="N1511">
        <v>2200</v>
      </c>
    </row>
    <row r="1512" spans="1:14" x14ac:dyDescent="0.25">
      <c r="A1512">
        <v>1131.669382</v>
      </c>
      <c r="B1512" s="1">
        <f>DATE(2013,6,5) + TIME(16,3,54)</f>
        <v>41430.669374999998</v>
      </c>
      <c r="C1512">
        <v>80</v>
      </c>
      <c r="D1512">
        <v>79.953903198000006</v>
      </c>
      <c r="E1512">
        <v>50</v>
      </c>
      <c r="F1512">
        <v>47.696392058999997</v>
      </c>
      <c r="G1512">
        <v>1378.9907227000001</v>
      </c>
      <c r="H1512">
        <v>1365.8919678</v>
      </c>
      <c r="I1512">
        <v>1292.2703856999999</v>
      </c>
      <c r="J1512">
        <v>1274.6303711</v>
      </c>
      <c r="K1512">
        <v>2200</v>
      </c>
      <c r="L1512">
        <v>0</v>
      </c>
      <c r="M1512">
        <v>0</v>
      </c>
      <c r="N1512">
        <v>2200</v>
      </c>
    </row>
    <row r="1513" spans="1:14" x14ac:dyDescent="0.25">
      <c r="A1513">
        <v>1132.5088720000001</v>
      </c>
      <c r="B1513" s="1">
        <f>DATE(2013,6,6) + TIME(12,12,46)</f>
        <v>41431.50886574074</v>
      </c>
      <c r="C1513">
        <v>80</v>
      </c>
      <c r="D1513">
        <v>79.953895568999997</v>
      </c>
      <c r="E1513">
        <v>50</v>
      </c>
      <c r="F1513">
        <v>47.652355194000002</v>
      </c>
      <c r="G1513">
        <v>1378.9383545000001</v>
      </c>
      <c r="H1513">
        <v>1365.8507079999999</v>
      </c>
      <c r="I1513">
        <v>1292.2539062000001</v>
      </c>
      <c r="J1513">
        <v>1274.6075439000001</v>
      </c>
      <c r="K1513">
        <v>2200</v>
      </c>
      <c r="L1513">
        <v>0</v>
      </c>
      <c r="M1513">
        <v>0</v>
      </c>
      <c r="N1513">
        <v>2200</v>
      </c>
    </row>
    <row r="1514" spans="1:14" x14ac:dyDescent="0.25">
      <c r="A1514">
        <v>1133.351197</v>
      </c>
      <c r="B1514" s="1">
        <f>DATE(2013,6,7) + TIME(8,25,43)</f>
        <v>41432.35119212963</v>
      </c>
      <c r="C1514">
        <v>80</v>
      </c>
      <c r="D1514">
        <v>79.953880310000002</v>
      </c>
      <c r="E1514">
        <v>50</v>
      </c>
      <c r="F1514">
        <v>47.608005523999999</v>
      </c>
      <c r="G1514">
        <v>1378.8858643000001</v>
      </c>
      <c r="H1514">
        <v>1365.8093262</v>
      </c>
      <c r="I1514">
        <v>1292.2369385</v>
      </c>
      <c r="J1514">
        <v>1274.5838623</v>
      </c>
      <c r="K1514">
        <v>2200</v>
      </c>
      <c r="L1514">
        <v>0</v>
      </c>
      <c r="M1514">
        <v>0</v>
      </c>
      <c r="N1514">
        <v>2200</v>
      </c>
    </row>
    <row r="1515" spans="1:14" x14ac:dyDescent="0.25">
      <c r="A1515">
        <v>1134.198834</v>
      </c>
      <c r="B1515" s="1">
        <f>DATE(2013,6,8) + TIME(4,46,19)</f>
        <v>41433.198831018519</v>
      </c>
      <c r="C1515">
        <v>80</v>
      </c>
      <c r="D1515">
        <v>79.953872681000007</v>
      </c>
      <c r="E1515">
        <v>50</v>
      </c>
      <c r="F1515">
        <v>47.56344223</v>
      </c>
      <c r="G1515">
        <v>1378.8341064000001</v>
      </c>
      <c r="H1515">
        <v>1365.7684326000001</v>
      </c>
      <c r="I1515">
        <v>1292.2197266000001</v>
      </c>
      <c r="J1515">
        <v>1274.5598144999999</v>
      </c>
      <c r="K1515">
        <v>2200</v>
      </c>
      <c r="L1515">
        <v>0</v>
      </c>
      <c r="M1515">
        <v>0</v>
      </c>
      <c r="N1515">
        <v>2200</v>
      </c>
    </row>
    <row r="1516" spans="1:14" x14ac:dyDescent="0.25">
      <c r="A1516">
        <v>1135.054234</v>
      </c>
      <c r="B1516" s="1">
        <f>DATE(2013,6,9) + TIME(1,18,5)</f>
        <v>41434.054224537038</v>
      </c>
      <c r="C1516">
        <v>80</v>
      </c>
      <c r="D1516">
        <v>79.953865050999994</v>
      </c>
      <c r="E1516">
        <v>50</v>
      </c>
      <c r="F1516">
        <v>47.518665314000003</v>
      </c>
      <c r="G1516">
        <v>1378.7828368999999</v>
      </c>
      <c r="H1516">
        <v>1365.7280272999999</v>
      </c>
      <c r="I1516">
        <v>1292.2021483999999</v>
      </c>
      <c r="J1516">
        <v>1274.5351562000001</v>
      </c>
      <c r="K1516">
        <v>2200</v>
      </c>
      <c r="L1516">
        <v>0</v>
      </c>
      <c r="M1516">
        <v>0</v>
      </c>
      <c r="N1516">
        <v>2200</v>
      </c>
    </row>
    <row r="1517" spans="1:14" x14ac:dyDescent="0.25">
      <c r="A1517">
        <v>1135.9198799999999</v>
      </c>
      <c r="B1517" s="1">
        <f>DATE(2013,6,9) + TIME(22,4,37)</f>
        <v>41434.919872685183</v>
      </c>
      <c r="C1517">
        <v>80</v>
      </c>
      <c r="D1517">
        <v>79.953857421999999</v>
      </c>
      <c r="E1517">
        <v>50</v>
      </c>
      <c r="F1517">
        <v>47.473602294999999</v>
      </c>
      <c r="G1517">
        <v>1378.7319336</v>
      </c>
      <c r="H1517">
        <v>1365.6877440999999</v>
      </c>
      <c r="I1517">
        <v>1292.1843262</v>
      </c>
      <c r="J1517">
        <v>1274.5098877</v>
      </c>
      <c r="K1517">
        <v>2200</v>
      </c>
      <c r="L1517">
        <v>0</v>
      </c>
      <c r="M1517">
        <v>0</v>
      </c>
      <c r="N1517">
        <v>2200</v>
      </c>
    </row>
    <row r="1518" spans="1:14" x14ac:dyDescent="0.25">
      <c r="A1518">
        <v>1136.7983260000001</v>
      </c>
      <c r="B1518" s="1">
        <f>DATE(2013,6,10) + TIME(19,9,35)</f>
        <v>41435.798321759263</v>
      </c>
      <c r="C1518">
        <v>80</v>
      </c>
      <c r="D1518">
        <v>79.953849792</v>
      </c>
      <c r="E1518">
        <v>50</v>
      </c>
      <c r="F1518">
        <v>47.428157806000002</v>
      </c>
      <c r="G1518">
        <v>1378.6812743999999</v>
      </c>
      <c r="H1518">
        <v>1365.6477050999999</v>
      </c>
      <c r="I1518">
        <v>1292.1658935999999</v>
      </c>
      <c r="J1518">
        <v>1274.4840088000001</v>
      </c>
      <c r="K1518">
        <v>2200</v>
      </c>
      <c r="L1518">
        <v>0</v>
      </c>
      <c r="M1518">
        <v>0</v>
      </c>
      <c r="N1518">
        <v>2200</v>
      </c>
    </row>
    <row r="1519" spans="1:14" x14ac:dyDescent="0.25">
      <c r="A1519">
        <v>1137.692239</v>
      </c>
      <c r="B1519" s="1">
        <f>DATE(2013,6,11) + TIME(16,36,49)</f>
        <v>41436.692233796297</v>
      </c>
      <c r="C1519">
        <v>80</v>
      </c>
      <c r="D1519">
        <v>79.953842163000004</v>
      </c>
      <c r="E1519">
        <v>50</v>
      </c>
      <c r="F1519">
        <v>47.382217406999999</v>
      </c>
      <c r="G1519">
        <v>1378.6306152</v>
      </c>
      <c r="H1519">
        <v>1365.6076660000001</v>
      </c>
      <c r="I1519">
        <v>1292.1470947</v>
      </c>
      <c r="J1519">
        <v>1274.4572754000001</v>
      </c>
      <c r="K1519">
        <v>2200</v>
      </c>
      <c r="L1519">
        <v>0</v>
      </c>
      <c r="M1519">
        <v>0</v>
      </c>
      <c r="N1519">
        <v>2200</v>
      </c>
    </row>
    <row r="1520" spans="1:14" x14ac:dyDescent="0.25">
      <c r="A1520">
        <v>1138.6044750000001</v>
      </c>
      <c r="B1520" s="1">
        <f>DATE(2013,6,12) + TIME(14,30,26)</f>
        <v>41437.604467592595</v>
      </c>
      <c r="C1520">
        <v>80</v>
      </c>
      <c r="D1520">
        <v>79.953834533999995</v>
      </c>
      <c r="E1520">
        <v>50</v>
      </c>
      <c r="F1520">
        <v>47.335651398000003</v>
      </c>
      <c r="G1520">
        <v>1378.5799560999999</v>
      </c>
      <c r="H1520">
        <v>1365.5675048999999</v>
      </c>
      <c r="I1520">
        <v>1292.1276855000001</v>
      </c>
      <c r="J1520">
        <v>1274.4296875</v>
      </c>
      <c r="K1520">
        <v>2200</v>
      </c>
      <c r="L1520">
        <v>0</v>
      </c>
      <c r="M1520">
        <v>0</v>
      </c>
      <c r="N1520">
        <v>2200</v>
      </c>
    </row>
    <row r="1521" spans="1:14" x14ac:dyDescent="0.25">
      <c r="A1521">
        <v>1139.538172</v>
      </c>
      <c r="B1521" s="1">
        <f>DATE(2013,6,13) + TIME(12,54,58)</f>
        <v>41438.538171296299</v>
      </c>
      <c r="C1521">
        <v>80</v>
      </c>
      <c r="D1521">
        <v>79.953826903999996</v>
      </c>
      <c r="E1521">
        <v>50</v>
      </c>
      <c r="F1521">
        <v>47.288318633999999</v>
      </c>
      <c r="G1521">
        <v>1378.5291748</v>
      </c>
      <c r="H1521">
        <v>1365.5272216999999</v>
      </c>
      <c r="I1521">
        <v>1292.1075439000001</v>
      </c>
      <c r="J1521">
        <v>1274.4011230000001</v>
      </c>
      <c r="K1521">
        <v>2200</v>
      </c>
      <c r="L1521">
        <v>0</v>
      </c>
      <c r="M1521">
        <v>0</v>
      </c>
      <c r="N1521">
        <v>2200</v>
      </c>
    </row>
    <row r="1522" spans="1:14" x14ac:dyDescent="0.25">
      <c r="A1522">
        <v>1140.4973050000001</v>
      </c>
      <c r="B1522" s="1">
        <f>DATE(2013,6,14) + TIME(11,56,7)</f>
        <v>41439.497303240743</v>
      </c>
      <c r="C1522">
        <v>80</v>
      </c>
      <c r="D1522">
        <v>79.953826903999996</v>
      </c>
      <c r="E1522">
        <v>50</v>
      </c>
      <c r="F1522">
        <v>47.240047455000003</v>
      </c>
      <c r="G1522">
        <v>1378.4779053</v>
      </c>
      <c r="H1522">
        <v>1365.4865723</v>
      </c>
      <c r="I1522">
        <v>1292.0867920000001</v>
      </c>
      <c r="J1522">
        <v>1274.3713379000001</v>
      </c>
      <c r="K1522">
        <v>2200</v>
      </c>
      <c r="L1522">
        <v>0</v>
      </c>
      <c r="M1522">
        <v>0</v>
      </c>
      <c r="N1522">
        <v>2200</v>
      </c>
    </row>
    <row r="1523" spans="1:14" x14ac:dyDescent="0.25">
      <c r="A1523">
        <v>1141.4742759999999</v>
      </c>
      <c r="B1523" s="1">
        <f>DATE(2013,6,15) + TIME(11,22,57)</f>
        <v>41440.474270833336</v>
      </c>
      <c r="C1523">
        <v>80</v>
      </c>
      <c r="D1523">
        <v>79.953819275000001</v>
      </c>
      <c r="E1523">
        <v>50</v>
      </c>
      <c r="F1523">
        <v>47.190944672000001</v>
      </c>
      <c r="G1523">
        <v>1378.4260254000001</v>
      </c>
      <c r="H1523">
        <v>1365.4453125</v>
      </c>
      <c r="I1523">
        <v>1292.0650635</v>
      </c>
      <c r="J1523">
        <v>1274.340332</v>
      </c>
      <c r="K1523">
        <v>2200</v>
      </c>
      <c r="L1523">
        <v>0</v>
      </c>
      <c r="M1523">
        <v>0</v>
      </c>
      <c r="N1523">
        <v>2200</v>
      </c>
    </row>
    <row r="1524" spans="1:14" x14ac:dyDescent="0.25">
      <c r="A1524">
        <v>1142.4674990000001</v>
      </c>
      <c r="B1524" s="1">
        <f>DATE(2013,6,16) + TIME(11,13,11)</f>
        <v>41441.467488425929</v>
      </c>
      <c r="C1524">
        <v>80</v>
      </c>
      <c r="D1524">
        <v>79.953811646000005</v>
      </c>
      <c r="E1524">
        <v>50</v>
      </c>
      <c r="F1524">
        <v>47.141101837000001</v>
      </c>
      <c r="G1524">
        <v>1378.3740233999999</v>
      </c>
      <c r="H1524">
        <v>1365.4040527</v>
      </c>
      <c r="I1524">
        <v>1292.0426024999999</v>
      </c>
      <c r="J1524">
        <v>1274.3082274999999</v>
      </c>
      <c r="K1524">
        <v>2200</v>
      </c>
      <c r="L1524">
        <v>0</v>
      </c>
      <c r="M1524">
        <v>0</v>
      </c>
      <c r="N1524">
        <v>2200</v>
      </c>
    </row>
    <row r="1525" spans="1:14" x14ac:dyDescent="0.25">
      <c r="A1525">
        <v>1143.468787</v>
      </c>
      <c r="B1525" s="1">
        <f>DATE(2013,6,17) + TIME(11,15,3)</f>
        <v>41442.468784722223</v>
      </c>
      <c r="C1525">
        <v>80</v>
      </c>
      <c r="D1525">
        <v>79.953811646000005</v>
      </c>
      <c r="E1525">
        <v>50</v>
      </c>
      <c r="F1525">
        <v>47.090766907000003</v>
      </c>
      <c r="G1525">
        <v>1378.3220214999999</v>
      </c>
      <c r="H1525">
        <v>1365.3626709</v>
      </c>
      <c r="I1525">
        <v>1292.0195312000001</v>
      </c>
      <c r="J1525">
        <v>1274.2749022999999</v>
      </c>
      <c r="K1525">
        <v>2200</v>
      </c>
      <c r="L1525">
        <v>0</v>
      </c>
      <c r="M1525">
        <v>0</v>
      </c>
      <c r="N1525">
        <v>2200</v>
      </c>
    </row>
    <row r="1526" spans="1:14" x14ac:dyDescent="0.25">
      <c r="A1526">
        <v>1144.475189</v>
      </c>
      <c r="B1526" s="1">
        <f>DATE(2013,6,18) + TIME(11,24,16)</f>
        <v>41443.475185185183</v>
      </c>
      <c r="C1526">
        <v>80</v>
      </c>
      <c r="D1526">
        <v>79.953804016000007</v>
      </c>
      <c r="E1526">
        <v>50</v>
      </c>
      <c r="F1526">
        <v>47.040145873999997</v>
      </c>
      <c r="G1526">
        <v>1378.2705077999999</v>
      </c>
      <c r="H1526">
        <v>1365.3215332</v>
      </c>
      <c r="I1526">
        <v>1291.9958495999999</v>
      </c>
      <c r="J1526">
        <v>1274.2408447</v>
      </c>
      <c r="K1526">
        <v>2200</v>
      </c>
      <c r="L1526">
        <v>0</v>
      </c>
      <c r="M1526">
        <v>0</v>
      </c>
      <c r="N1526">
        <v>2200</v>
      </c>
    </row>
    <row r="1527" spans="1:14" x14ac:dyDescent="0.25">
      <c r="A1527">
        <v>1145.4896940000001</v>
      </c>
      <c r="B1527" s="1">
        <f>DATE(2013,6,19) + TIME(11,45,9)</f>
        <v>41444.489687499998</v>
      </c>
      <c r="C1527">
        <v>80</v>
      </c>
      <c r="D1527">
        <v>79.953804016000007</v>
      </c>
      <c r="E1527">
        <v>50</v>
      </c>
      <c r="F1527">
        <v>46.989269256999997</v>
      </c>
      <c r="G1527">
        <v>1378.2193603999999</v>
      </c>
      <c r="H1527">
        <v>1365.2807617000001</v>
      </c>
      <c r="I1527">
        <v>1291.9716797000001</v>
      </c>
      <c r="J1527">
        <v>1274.2058105000001</v>
      </c>
      <c r="K1527">
        <v>2200</v>
      </c>
      <c r="L1527">
        <v>0</v>
      </c>
      <c r="M1527">
        <v>0</v>
      </c>
      <c r="N1527">
        <v>2200</v>
      </c>
    </row>
    <row r="1528" spans="1:14" x14ac:dyDescent="0.25">
      <c r="A1528">
        <v>1146.51531</v>
      </c>
      <c r="B1528" s="1">
        <f>DATE(2013,6,20) + TIME(12,22,2)</f>
        <v>41445.515300925923</v>
      </c>
      <c r="C1528">
        <v>80</v>
      </c>
      <c r="D1528">
        <v>79.953804016000007</v>
      </c>
      <c r="E1528">
        <v>50</v>
      </c>
      <c r="F1528">
        <v>46.938068389999998</v>
      </c>
      <c r="G1528">
        <v>1378.1685791</v>
      </c>
      <c r="H1528">
        <v>1365.2402344</v>
      </c>
      <c r="I1528">
        <v>1291.9470214999999</v>
      </c>
      <c r="J1528">
        <v>1274.1699219</v>
      </c>
      <c r="K1528">
        <v>2200</v>
      </c>
      <c r="L1528">
        <v>0</v>
      </c>
      <c r="M1528">
        <v>0</v>
      </c>
      <c r="N1528">
        <v>2200</v>
      </c>
    </row>
    <row r="1529" spans="1:14" x14ac:dyDescent="0.25">
      <c r="A1529">
        <v>1147.5551149999999</v>
      </c>
      <c r="B1529" s="1">
        <f>DATE(2013,6,21) + TIME(13,19,21)</f>
        <v>41446.555104166669</v>
      </c>
      <c r="C1529">
        <v>80</v>
      </c>
      <c r="D1529">
        <v>79.953804016000007</v>
      </c>
      <c r="E1529">
        <v>50</v>
      </c>
      <c r="F1529">
        <v>46.886432648000003</v>
      </c>
      <c r="G1529">
        <v>1378.1181641000001</v>
      </c>
      <c r="H1529">
        <v>1365.1998291</v>
      </c>
      <c r="I1529">
        <v>1291.9216309000001</v>
      </c>
      <c r="J1529">
        <v>1274.1329346</v>
      </c>
      <c r="K1529">
        <v>2200</v>
      </c>
      <c r="L1529">
        <v>0</v>
      </c>
      <c r="M1529">
        <v>0</v>
      </c>
      <c r="N1529">
        <v>2200</v>
      </c>
    </row>
    <row r="1530" spans="1:14" x14ac:dyDescent="0.25">
      <c r="A1530">
        <v>1148.612318</v>
      </c>
      <c r="B1530" s="1">
        <f>DATE(2013,6,22) + TIME(14,41,44)</f>
        <v>41447.612314814818</v>
      </c>
      <c r="C1530">
        <v>80</v>
      </c>
      <c r="D1530">
        <v>79.953796386999997</v>
      </c>
      <c r="E1530">
        <v>50</v>
      </c>
      <c r="F1530">
        <v>46.834224700999997</v>
      </c>
      <c r="G1530">
        <v>1378.0676269999999</v>
      </c>
      <c r="H1530">
        <v>1365.1594238</v>
      </c>
      <c r="I1530">
        <v>1291.8956298999999</v>
      </c>
      <c r="J1530">
        <v>1274.0947266000001</v>
      </c>
      <c r="K1530">
        <v>2200</v>
      </c>
      <c r="L1530">
        <v>0</v>
      </c>
      <c r="M1530">
        <v>0</v>
      </c>
      <c r="N1530">
        <v>2200</v>
      </c>
    </row>
    <row r="1531" spans="1:14" x14ac:dyDescent="0.25">
      <c r="A1531">
        <v>1149.6903420000001</v>
      </c>
      <c r="B1531" s="1">
        <f>DATE(2013,6,23) + TIME(16,34,5)</f>
        <v>41448.690335648149</v>
      </c>
      <c r="C1531">
        <v>80</v>
      </c>
      <c r="D1531">
        <v>79.953796386999997</v>
      </c>
      <c r="E1531">
        <v>50</v>
      </c>
      <c r="F1531">
        <v>46.781295776</v>
      </c>
      <c r="G1531">
        <v>1378.0170897999999</v>
      </c>
      <c r="H1531">
        <v>1365.1188964999999</v>
      </c>
      <c r="I1531">
        <v>1291.8687743999999</v>
      </c>
      <c r="J1531">
        <v>1274.0552978999999</v>
      </c>
      <c r="K1531">
        <v>2200</v>
      </c>
      <c r="L1531">
        <v>0</v>
      </c>
      <c r="M1531">
        <v>0</v>
      </c>
      <c r="N1531">
        <v>2200</v>
      </c>
    </row>
    <row r="1532" spans="1:14" x14ac:dyDescent="0.25">
      <c r="A1532">
        <v>1150.7928770000001</v>
      </c>
      <c r="B1532" s="1">
        <f>DATE(2013,6,24) + TIME(19,1,44)</f>
        <v>41449.792870370373</v>
      </c>
      <c r="C1532">
        <v>80</v>
      </c>
      <c r="D1532">
        <v>79.953804016000007</v>
      </c>
      <c r="E1532">
        <v>50</v>
      </c>
      <c r="F1532">
        <v>46.727481842000003</v>
      </c>
      <c r="G1532">
        <v>1377.9663086</v>
      </c>
      <c r="H1532">
        <v>1365.078125</v>
      </c>
      <c r="I1532">
        <v>1291.8409423999999</v>
      </c>
      <c r="J1532">
        <v>1274.0142822</v>
      </c>
      <c r="K1532">
        <v>2200</v>
      </c>
      <c r="L1532">
        <v>0</v>
      </c>
      <c r="M1532">
        <v>0</v>
      </c>
      <c r="N1532">
        <v>2200</v>
      </c>
    </row>
    <row r="1533" spans="1:14" x14ac:dyDescent="0.25">
      <c r="A1533">
        <v>1151.9133850000001</v>
      </c>
      <c r="B1533" s="1">
        <f>DATE(2013,6,25) + TIME(21,55,16)</f>
        <v>41450.91337962963</v>
      </c>
      <c r="C1533">
        <v>80</v>
      </c>
      <c r="D1533">
        <v>79.953804016000007</v>
      </c>
      <c r="E1533">
        <v>50</v>
      </c>
      <c r="F1533">
        <v>46.672832489000001</v>
      </c>
      <c r="G1533">
        <v>1377.9150391000001</v>
      </c>
      <c r="H1533">
        <v>1365.0369873</v>
      </c>
      <c r="I1533">
        <v>1291.8120117000001</v>
      </c>
      <c r="J1533">
        <v>1273.9715576000001</v>
      </c>
      <c r="K1533">
        <v>2200</v>
      </c>
      <c r="L1533">
        <v>0</v>
      </c>
      <c r="M1533">
        <v>0</v>
      </c>
      <c r="N1533">
        <v>2200</v>
      </c>
    </row>
    <row r="1534" spans="1:14" x14ac:dyDescent="0.25">
      <c r="A1534">
        <v>1153.054801</v>
      </c>
      <c r="B1534" s="1">
        <f>DATE(2013,6,27) + TIME(1,18,54)</f>
        <v>41452.054791666669</v>
      </c>
      <c r="C1534">
        <v>80</v>
      </c>
      <c r="D1534">
        <v>79.953804016000007</v>
      </c>
      <c r="E1534">
        <v>50</v>
      </c>
      <c r="F1534">
        <v>46.617336272999999</v>
      </c>
      <c r="G1534">
        <v>1377.8637695</v>
      </c>
      <c r="H1534">
        <v>1364.9957274999999</v>
      </c>
      <c r="I1534">
        <v>1291.7822266000001</v>
      </c>
      <c r="J1534">
        <v>1273.9273682</v>
      </c>
      <c r="K1534">
        <v>2200</v>
      </c>
      <c r="L1534">
        <v>0</v>
      </c>
      <c r="M1534">
        <v>0</v>
      </c>
      <c r="N1534">
        <v>2200</v>
      </c>
    </row>
    <row r="1535" spans="1:14" x14ac:dyDescent="0.25">
      <c r="A1535">
        <v>1154.2207040000001</v>
      </c>
      <c r="B1535" s="1">
        <f>DATE(2013,6,28) + TIME(5,17,48)</f>
        <v>41453.220694444448</v>
      </c>
      <c r="C1535">
        <v>80</v>
      </c>
      <c r="D1535">
        <v>79.953804016000007</v>
      </c>
      <c r="E1535">
        <v>50</v>
      </c>
      <c r="F1535">
        <v>46.560897826999998</v>
      </c>
      <c r="G1535">
        <v>1377.8122559000001</v>
      </c>
      <c r="H1535">
        <v>1364.9542236</v>
      </c>
      <c r="I1535">
        <v>1291.7514647999999</v>
      </c>
      <c r="J1535">
        <v>1273.8814697</v>
      </c>
      <c r="K1535">
        <v>2200</v>
      </c>
      <c r="L1535">
        <v>0</v>
      </c>
      <c r="M1535">
        <v>0</v>
      </c>
      <c r="N1535">
        <v>2200</v>
      </c>
    </row>
    <row r="1536" spans="1:14" x14ac:dyDescent="0.25">
      <c r="A1536">
        <v>1155.4023979999999</v>
      </c>
      <c r="B1536" s="1">
        <f>DATE(2013,6,29) + TIME(9,39,27)</f>
        <v>41454.402395833335</v>
      </c>
      <c r="C1536">
        <v>80</v>
      </c>
      <c r="D1536">
        <v>79.953811646000005</v>
      </c>
      <c r="E1536">
        <v>50</v>
      </c>
      <c r="F1536">
        <v>46.503643036</v>
      </c>
      <c r="G1536">
        <v>1377.760376</v>
      </c>
      <c r="H1536">
        <v>1364.9123535000001</v>
      </c>
      <c r="I1536">
        <v>1291.7194824000001</v>
      </c>
      <c r="J1536">
        <v>1273.8337402</v>
      </c>
      <c r="K1536">
        <v>2200</v>
      </c>
      <c r="L1536">
        <v>0</v>
      </c>
      <c r="M1536">
        <v>0</v>
      </c>
      <c r="N1536">
        <v>2200</v>
      </c>
    </row>
    <row r="1537" spans="1:14" x14ac:dyDescent="0.25">
      <c r="A1537">
        <v>1156.5905310000001</v>
      </c>
      <c r="B1537" s="1">
        <f>DATE(2013,6,30) + TIME(14,10,21)</f>
        <v>41455.590520833335</v>
      </c>
      <c r="C1537">
        <v>80</v>
      </c>
      <c r="D1537">
        <v>79.953811646000005</v>
      </c>
      <c r="E1537">
        <v>50</v>
      </c>
      <c r="F1537">
        <v>46.445877074999999</v>
      </c>
      <c r="G1537">
        <v>1377.7086182</v>
      </c>
      <c r="H1537">
        <v>1364.8706055</v>
      </c>
      <c r="I1537">
        <v>1291.6865233999999</v>
      </c>
      <c r="J1537">
        <v>1273.7844238</v>
      </c>
      <c r="K1537">
        <v>2200</v>
      </c>
      <c r="L1537">
        <v>0</v>
      </c>
      <c r="M1537">
        <v>0</v>
      </c>
      <c r="N1537">
        <v>2200</v>
      </c>
    </row>
    <row r="1538" spans="1:14" x14ac:dyDescent="0.25">
      <c r="A1538">
        <v>1157</v>
      </c>
      <c r="B1538" s="1">
        <f>DATE(2013,7,1) + TIME(0,0,0)</f>
        <v>41456</v>
      </c>
      <c r="C1538">
        <v>80</v>
      </c>
      <c r="D1538">
        <v>79.953804016000007</v>
      </c>
      <c r="E1538">
        <v>50</v>
      </c>
      <c r="F1538">
        <v>46.414497375000003</v>
      </c>
      <c r="G1538">
        <v>1377.6573486</v>
      </c>
      <c r="H1538">
        <v>1364.8292236</v>
      </c>
      <c r="I1538">
        <v>1291.6524658000001</v>
      </c>
      <c r="J1538">
        <v>1273.7402344</v>
      </c>
      <c r="K1538">
        <v>2200</v>
      </c>
      <c r="L1538">
        <v>0</v>
      </c>
      <c r="M1538">
        <v>0</v>
      </c>
      <c r="N1538">
        <v>2200</v>
      </c>
    </row>
    <row r="1539" spans="1:14" x14ac:dyDescent="0.25">
      <c r="A1539">
        <v>1158.1981960000001</v>
      </c>
      <c r="B1539" s="1">
        <f>DATE(2013,7,2) + TIME(4,45,24)</f>
        <v>41457.198194444441</v>
      </c>
      <c r="C1539">
        <v>80</v>
      </c>
      <c r="D1539">
        <v>79.953819275000001</v>
      </c>
      <c r="E1539">
        <v>50</v>
      </c>
      <c r="F1539">
        <v>46.362663269000002</v>
      </c>
      <c r="G1539">
        <v>1377.6395264</v>
      </c>
      <c r="H1539">
        <v>1364.8145752</v>
      </c>
      <c r="I1539">
        <v>1291.640625</v>
      </c>
      <c r="J1539">
        <v>1273.7139893000001</v>
      </c>
      <c r="K1539">
        <v>2200</v>
      </c>
      <c r="L1539">
        <v>0</v>
      </c>
      <c r="M1539">
        <v>0</v>
      </c>
      <c r="N1539">
        <v>2200</v>
      </c>
    </row>
    <row r="1540" spans="1:14" x14ac:dyDescent="0.25">
      <c r="A1540">
        <v>1159.416015</v>
      </c>
      <c r="B1540" s="1">
        <f>DATE(2013,7,3) + TIME(9,59,3)</f>
        <v>41458.416006944448</v>
      </c>
      <c r="C1540">
        <v>80</v>
      </c>
      <c r="D1540">
        <v>79.953819275000001</v>
      </c>
      <c r="E1540">
        <v>50</v>
      </c>
      <c r="F1540">
        <v>46.306758881</v>
      </c>
      <c r="G1540">
        <v>1377.5888672000001</v>
      </c>
      <c r="H1540">
        <v>1364.7736815999999</v>
      </c>
      <c r="I1540">
        <v>1291.6063231999999</v>
      </c>
      <c r="J1540">
        <v>1273.6628418</v>
      </c>
      <c r="K1540">
        <v>2200</v>
      </c>
      <c r="L1540">
        <v>0</v>
      </c>
      <c r="M1540">
        <v>0</v>
      </c>
      <c r="N1540">
        <v>2200</v>
      </c>
    </row>
    <row r="1541" spans="1:14" x14ac:dyDescent="0.25">
      <c r="A1541">
        <v>1160.647592</v>
      </c>
      <c r="B1541" s="1">
        <f>DATE(2013,7,4) + TIME(15,32,31)</f>
        <v>41459.647581018522</v>
      </c>
      <c r="C1541">
        <v>80</v>
      </c>
      <c r="D1541">
        <v>79.953826903999996</v>
      </c>
      <c r="E1541">
        <v>50</v>
      </c>
      <c r="F1541">
        <v>46.248710631999998</v>
      </c>
      <c r="G1541">
        <v>1377.5379639</v>
      </c>
      <c r="H1541">
        <v>1364.7322998</v>
      </c>
      <c r="I1541">
        <v>1291.5708007999999</v>
      </c>
      <c r="J1541">
        <v>1273.6091309000001</v>
      </c>
      <c r="K1541">
        <v>2200</v>
      </c>
      <c r="L1541">
        <v>0</v>
      </c>
      <c r="M1541">
        <v>0</v>
      </c>
      <c r="N1541">
        <v>2200</v>
      </c>
    </row>
    <row r="1542" spans="1:14" x14ac:dyDescent="0.25">
      <c r="A1542">
        <v>1161.891926</v>
      </c>
      <c r="B1542" s="1">
        <f>DATE(2013,7,5) + TIME(21,24,22)</f>
        <v>41460.891921296294</v>
      </c>
      <c r="C1542">
        <v>80</v>
      </c>
      <c r="D1542">
        <v>79.953834533999995</v>
      </c>
      <c r="E1542">
        <v>50</v>
      </c>
      <c r="F1542">
        <v>46.189437865999999</v>
      </c>
      <c r="G1542">
        <v>1377.4870605000001</v>
      </c>
      <c r="H1542">
        <v>1364.6910399999999</v>
      </c>
      <c r="I1542">
        <v>1291.5341797000001</v>
      </c>
      <c r="J1542">
        <v>1273.5535889</v>
      </c>
      <c r="K1542">
        <v>2200</v>
      </c>
      <c r="L1542">
        <v>0</v>
      </c>
      <c r="M1542">
        <v>0</v>
      </c>
      <c r="N1542">
        <v>2200</v>
      </c>
    </row>
    <row r="1543" spans="1:14" x14ac:dyDescent="0.25">
      <c r="A1543">
        <v>1163.1525409999999</v>
      </c>
      <c r="B1543" s="1">
        <f>DATE(2013,7,7) + TIME(3,39,39)</f>
        <v>41462.15253472222</v>
      </c>
      <c r="C1543">
        <v>80</v>
      </c>
      <c r="D1543">
        <v>79.953842163000004</v>
      </c>
      <c r="E1543">
        <v>50</v>
      </c>
      <c r="F1543">
        <v>46.129291533999996</v>
      </c>
      <c r="G1543">
        <v>1377.4364014</v>
      </c>
      <c r="H1543">
        <v>1364.6497803</v>
      </c>
      <c r="I1543">
        <v>1291.496582</v>
      </c>
      <c r="J1543">
        <v>1273.4962158000001</v>
      </c>
      <c r="K1543">
        <v>2200</v>
      </c>
      <c r="L1543">
        <v>0</v>
      </c>
      <c r="M1543">
        <v>0</v>
      </c>
      <c r="N1543">
        <v>2200</v>
      </c>
    </row>
    <row r="1544" spans="1:14" x14ac:dyDescent="0.25">
      <c r="A1544">
        <v>1164.4330890000001</v>
      </c>
      <c r="B1544" s="1">
        <f>DATE(2013,7,8) + TIME(10,23,38)</f>
        <v>41463.433078703703</v>
      </c>
      <c r="C1544">
        <v>80</v>
      </c>
      <c r="D1544">
        <v>79.953849792</v>
      </c>
      <c r="E1544">
        <v>50</v>
      </c>
      <c r="F1544">
        <v>46.068336487000003</v>
      </c>
      <c r="G1544">
        <v>1377.3857422000001</v>
      </c>
      <c r="H1544">
        <v>1364.6085204999999</v>
      </c>
      <c r="I1544">
        <v>1291.4580077999999</v>
      </c>
      <c r="J1544">
        <v>1273.4370117000001</v>
      </c>
      <c r="K1544">
        <v>2200</v>
      </c>
      <c r="L1544">
        <v>0</v>
      </c>
      <c r="M1544">
        <v>0</v>
      </c>
      <c r="N1544">
        <v>2200</v>
      </c>
    </row>
    <row r="1545" spans="1:14" x14ac:dyDescent="0.25">
      <c r="A1545">
        <v>1165.737468</v>
      </c>
      <c r="B1545" s="1">
        <f>DATE(2013,7,9) + TIME(17,41,57)</f>
        <v>41464.73746527778</v>
      </c>
      <c r="C1545">
        <v>80</v>
      </c>
      <c r="D1545">
        <v>79.953857421999999</v>
      </c>
      <c r="E1545">
        <v>50</v>
      </c>
      <c r="F1545">
        <v>46.006492614999999</v>
      </c>
      <c r="G1545">
        <v>1377.3349608999999</v>
      </c>
      <c r="H1545">
        <v>1364.5670166</v>
      </c>
      <c r="I1545">
        <v>1291.4183350000001</v>
      </c>
      <c r="J1545">
        <v>1273.3758545000001</v>
      </c>
      <c r="K1545">
        <v>2200</v>
      </c>
      <c r="L1545">
        <v>0</v>
      </c>
      <c r="M1545">
        <v>0</v>
      </c>
      <c r="N1545">
        <v>2200</v>
      </c>
    </row>
    <row r="1546" spans="1:14" x14ac:dyDescent="0.25">
      <c r="A1546">
        <v>1167.069835</v>
      </c>
      <c r="B1546" s="1">
        <f>DATE(2013,7,11) + TIME(1,40,33)</f>
        <v>41466.069826388892</v>
      </c>
      <c r="C1546">
        <v>80</v>
      </c>
      <c r="D1546">
        <v>79.953865050999994</v>
      </c>
      <c r="E1546">
        <v>50</v>
      </c>
      <c r="F1546">
        <v>45.943634033000002</v>
      </c>
      <c r="G1546">
        <v>1377.2839355000001</v>
      </c>
      <c r="H1546">
        <v>1364.5252685999999</v>
      </c>
      <c r="I1546">
        <v>1291.3773193</v>
      </c>
      <c r="J1546">
        <v>1273.3123779</v>
      </c>
      <c r="K1546">
        <v>2200</v>
      </c>
      <c r="L1546">
        <v>0</v>
      </c>
      <c r="M1546">
        <v>0</v>
      </c>
      <c r="N1546">
        <v>2200</v>
      </c>
    </row>
    <row r="1547" spans="1:14" x14ac:dyDescent="0.25">
      <c r="A1547">
        <v>1168.4347319999999</v>
      </c>
      <c r="B1547" s="1">
        <f>DATE(2013,7,12) + TIME(10,26,0)</f>
        <v>41467.43472222222</v>
      </c>
      <c r="C1547">
        <v>80</v>
      </c>
      <c r="D1547">
        <v>79.953880310000002</v>
      </c>
      <c r="E1547">
        <v>50</v>
      </c>
      <c r="F1547">
        <v>45.879589080999999</v>
      </c>
      <c r="G1547">
        <v>1377.2324219</v>
      </c>
      <c r="H1547">
        <v>1364.4831543</v>
      </c>
      <c r="I1547">
        <v>1291.3348389</v>
      </c>
      <c r="J1547">
        <v>1273.2464600000001</v>
      </c>
      <c r="K1547">
        <v>2200</v>
      </c>
      <c r="L1547">
        <v>0</v>
      </c>
      <c r="M1547">
        <v>0</v>
      </c>
      <c r="N1547">
        <v>2200</v>
      </c>
    </row>
    <row r="1548" spans="1:14" x14ac:dyDescent="0.25">
      <c r="A1548">
        <v>1169.823245</v>
      </c>
      <c r="B1548" s="1">
        <f>DATE(2013,7,13) + TIME(19,45,28)</f>
        <v>41468.823240740741</v>
      </c>
      <c r="C1548">
        <v>80</v>
      </c>
      <c r="D1548">
        <v>79.953887938999998</v>
      </c>
      <c r="E1548">
        <v>50</v>
      </c>
      <c r="F1548">
        <v>45.814434052000003</v>
      </c>
      <c r="G1548">
        <v>1377.1804199000001</v>
      </c>
      <c r="H1548">
        <v>1364.4405518000001</v>
      </c>
      <c r="I1548">
        <v>1291.2906493999999</v>
      </c>
      <c r="J1548">
        <v>1273.1777344</v>
      </c>
      <c r="K1548">
        <v>2200</v>
      </c>
      <c r="L1548">
        <v>0</v>
      </c>
      <c r="M1548">
        <v>0</v>
      </c>
      <c r="N1548">
        <v>2200</v>
      </c>
    </row>
    <row r="1549" spans="1:14" x14ac:dyDescent="0.25">
      <c r="A1549">
        <v>1171.2147279999999</v>
      </c>
      <c r="B1549" s="1">
        <f>DATE(2013,7,15) + TIME(5,9,12)</f>
        <v>41470.214722222219</v>
      </c>
      <c r="C1549">
        <v>80</v>
      </c>
      <c r="D1549">
        <v>79.953903198000006</v>
      </c>
      <c r="E1549">
        <v>50</v>
      </c>
      <c r="F1549">
        <v>45.748680114999999</v>
      </c>
      <c r="G1549">
        <v>1377.1281738</v>
      </c>
      <c r="H1549">
        <v>1364.3977050999999</v>
      </c>
      <c r="I1549">
        <v>1291.2452393000001</v>
      </c>
      <c r="J1549">
        <v>1273.1068115</v>
      </c>
      <c r="K1549">
        <v>2200</v>
      </c>
      <c r="L1549">
        <v>0</v>
      </c>
      <c r="M1549">
        <v>0</v>
      </c>
      <c r="N1549">
        <v>2200</v>
      </c>
    </row>
    <row r="1550" spans="1:14" x14ac:dyDescent="0.25">
      <c r="A1550">
        <v>1172.612374</v>
      </c>
      <c r="B1550" s="1">
        <f>DATE(2013,7,16) + TIME(14,41,49)</f>
        <v>41471.612372685187</v>
      </c>
      <c r="C1550">
        <v>80</v>
      </c>
      <c r="D1550">
        <v>79.953910828000005</v>
      </c>
      <c r="E1550">
        <v>50</v>
      </c>
      <c r="F1550">
        <v>45.682674407999997</v>
      </c>
      <c r="G1550">
        <v>1377.0764160000001</v>
      </c>
      <c r="H1550">
        <v>1364.3551024999999</v>
      </c>
      <c r="I1550">
        <v>1291.1989745999999</v>
      </c>
      <c r="J1550">
        <v>1273.0344238</v>
      </c>
      <c r="K1550">
        <v>2200</v>
      </c>
      <c r="L1550">
        <v>0</v>
      </c>
      <c r="M1550">
        <v>0</v>
      </c>
      <c r="N1550">
        <v>2200</v>
      </c>
    </row>
    <row r="1551" spans="1:14" x14ac:dyDescent="0.25">
      <c r="A1551">
        <v>1174.020092</v>
      </c>
      <c r="B1551" s="1">
        <f>DATE(2013,7,18) + TIME(0,28,55)</f>
        <v>41473.02008101852</v>
      </c>
      <c r="C1551">
        <v>80</v>
      </c>
      <c r="D1551">
        <v>79.953926085999996</v>
      </c>
      <c r="E1551">
        <v>50</v>
      </c>
      <c r="F1551">
        <v>45.616470337000003</v>
      </c>
      <c r="G1551">
        <v>1377.0251464999999</v>
      </c>
      <c r="H1551">
        <v>1364.3128661999999</v>
      </c>
      <c r="I1551">
        <v>1291.1520995999999</v>
      </c>
      <c r="J1551">
        <v>1272.9604492000001</v>
      </c>
      <c r="K1551">
        <v>2200</v>
      </c>
      <c r="L1551">
        <v>0</v>
      </c>
      <c r="M1551">
        <v>0</v>
      </c>
      <c r="N1551">
        <v>2200</v>
      </c>
    </row>
    <row r="1552" spans="1:14" x14ac:dyDescent="0.25">
      <c r="A1552">
        <v>1175.44182</v>
      </c>
      <c r="B1552" s="1">
        <f>DATE(2013,7,19) + TIME(10,36,13)</f>
        <v>41474.441817129627</v>
      </c>
      <c r="C1552">
        <v>80</v>
      </c>
      <c r="D1552">
        <v>79.953933715999995</v>
      </c>
      <c r="E1552">
        <v>50</v>
      </c>
      <c r="F1552">
        <v>45.549983978</v>
      </c>
      <c r="G1552">
        <v>1376.9741211</v>
      </c>
      <c r="H1552">
        <v>1364.270874</v>
      </c>
      <c r="I1552">
        <v>1291.104126</v>
      </c>
      <c r="J1552">
        <v>1272.8847656</v>
      </c>
      <c r="K1552">
        <v>2200</v>
      </c>
      <c r="L1552">
        <v>0</v>
      </c>
      <c r="M1552">
        <v>0</v>
      </c>
      <c r="N1552">
        <v>2200</v>
      </c>
    </row>
    <row r="1553" spans="1:14" x14ac:dyDescent="0.25">
      <c r="A1553">
        <v>1176.881605</v>
      </c>
      <c r="B1553" s="1">
        <f>DATE(2013,7,20) + TIME(21,9,30)</f>
        <v>41475.881597222222</v>
      </c>
      <c r="C1553">
        <v>80</v>
      </c>
      <c r="D1553">
        <v>79.953948975000003</v>
      </c>
      <c r="E1553">
        <v>50</v>
      </c>
      <c r="F1553">
        <v>45.483100890999999</v>
      </c>
      <c r="G1553">
        <v>1376.9232178</v>
      </c>
      <c r="H1553">
        <v>1364.2288818</v>
      </c>
      <c r="I1553">
        <v>1291.0552978999999</v>
      </c>
      <c r="J1553">
        <v>1272.8071289</v>
      </c>
      <c r="K1553">
        <v>2200</v>
      </c>
      <c r="L1553">
        <v>0</v>
      </c>
      <c r="M1553">
        <v>0</v>
      </c>
      <c r="N1553">
        <v>2200</v>
      </c>
    </row>
    <row r="1554" spans="1:14" x14ac:dyDescent="0.25">
      <c r="A1554">
        <v>1178.3436839999999</v>
      </c>
      <c r="B1554" s="1">
        <f>DATE(2013,7,22) + TIME(8,14,54)</f>
        <v>41477.343680555554</v>
      </c>
      <c r="C1554">
        <v>80</v>
      </c>
      <c r="D1554">
        <v>79.953964232999994</v>
      </c>
      <c r="E1554">
        <v>50</v>
      </c>
      <c r="F1554">
        <v>45.415672301999997</v>
      </c>
      <c r="G1554">
        <v>1376.8723144999999</v>
      </c>
      <c r="H1554">
        <v>1364.1867675999999</v>
      </c>
      <c r="I1554">
        <v>1291.005249</v>
      </c>
      <c r="J1554">
        <v>1272.7272949000001</v>
      </c>
      <c r="K1554">
        <v>2200</v>
      </c>
      <c r="L1554">
        <v>0</v>
      </c>
      <c r="M1554">
        <v>0</v>
      </c>
      <c r="N1554">
        <v>2200</v>
      </c>
    </row>
    <row r="1555" spans="1:14" x14ac:dyDescent="0.25">
      <c r="A1555">
        <v>1179.8325749999999</v>
      </c>
      <c r="B1555" s="1">
        <f>DATE(2013,7,23) + TIME(19,58,54)</f>
        <v>41478.832569444443</v>
      </c>
      <c r="C1555">
        <v>80</v>
      </c>
      <c r="D1555">
        <v>79.953979492000002</v>
      </c>
      <c r="E1555">
        <v>50</v>
      </c>
      <c r="F1555">
        <v>45.347549438000001</v>
      </c>
      <c r="G1555">
        <v>1376.8212891000001</v>
      </c>
      <c r="H1555">
        <v>1364.1444091999999</v>
      </c>
      <c r="I1555">
        <v>1290.9538574000001</v>
      </c>
      <c r="J1555">
        <v>1272.6452637</v>
      </c>
      <c r="K1555">
        <v>2200</v>
      </c>
      <c r="L1555">
        <v>0</v>
      </c>
      <c r="M1555">
        <v>0</v>
      </c>
      <c r="N1555">
        <v>2200</v>
      </c>
    </row>
    <row r="1556" spans="1:14" x14ac:dyDescent="0.25">
      <c r="A1556">
        <v>1181.3531290000001</v>
      </c>
      <c r="B1556" s="1">
        <f>DATE(2013,7,25) + TIME(8,28,30)</f>
        <v>41480.353125000001</v>
      </c>
      <c r="C1556">
        <v>80</v>
      </c>
      <c r="D1556">
        <v>79.953994750999996</v>
      </c>
      <c r="E1556">
        <v>50</v>
      </c>
      <c r="F1556">
        <v>45.278568268000001</v>
      </c>
      <c r="G1556">
        <v>1376.7698975000001</v>
      </c>
      <c r="H1556">
        <v>1364.1018065999999</v>
      </c>
      <c r="I1556">
        <v>1290.9011230000001</v>
      </c>
      <c r="J1556">
        <v>1272.5605469</v>
      </c>
      <c r="K1556">
        <v>2200</v>
      </c>
      <c r="L1556">
        <v>0</v>
      </c>
      <c r="M1556">
        <v>0</v>
      </c>
      <c r="N1556">
        <v>2200</v>
      </c>
    </row>
    <row r="1557" spans="1:14" x14ac:dyDescent="0.25">
      <c r="A1557">
        <v>1182.910637</v>
      </c>
      <c r="B1557" s="1">
        <f>DATE(2013,7,26) + TIME(21,51,19)</f>
        <v>41481.910636574074</v>
      </c>
      <c r="C1557">
        <v>80</v>
      </c>
      <c r="D1557">
        <v>79.954017639</v>
      </c>
      <c r="E1557">
        <v>50</v>
      </c>
      <c r="F1557">
        <v>45.208564758000001</v>
      </c>
      <c r="G1557">
        <v>1376.7180175999999</v>
      </c>
      <c r="H1557">
        <v>1364.0587158000001</v>
      </c>
      <c r="I1557">
        <v>1290.8468018000001</v>
      </c>
      <c r="J1557">
        <v>1272.4729004000001</v>
      </c>
      <c r="K1557">
        <v>2200</v>
      </c>
      <c r="L1557">
        <v>0</v>
      </c>
      <c r="M1557">
        <v>0</v>
      </c>
      <c r="N1557">
        <v>2200</v>
      </c>
    </row>
    <row r="1558" spans="1:14" x14ac:dyDescent="0.25">
      <c r="A1558">
        <v>1184.4991419999999</v>
      </c>
      <c r="B1558" s="1">
        <f>DATE(2013,7,28) + TIME(11,58,45)</f>
        <v>41483.499131944445</v>
      </c>
      <c r="C1558">
        <v>80</v>
      </c>
      <c r="D1558">
        <v>79.954032897999994</v>
      </c>
      <c r="E1558">
        <v>50</v>
      </c>
      <c r="F1558">
        <v>45.137565613</v>
      </c>
      <c r="G1558">
        <v>1376.6656493999999</v>
      </c>
      <c r="H1558">
        <v>1364.0150146000001</v>
      </c>
      <c r="I1558">
        <v>1290.7906493999999</v>
      </c>
      <c r="J1558">
        <v>1272.3820800999999</v>
      </c>
      <c r="K1558">
        <v>2200</v>
      </c>
      <c r="L1558">
        <v>0</v>
      </c>
      <c r="M1558">
        <v>0</v>
      </c>
      <c r="N1558">
        <v>2200</v>
      </c>
    </row>
    <row r="1559" spans="1:14" x14ac:dyDescent="0.25">
      <c r="A1559">
        <v>1186.091097</v>
      </c>
      <c r="B1559" s="1">
        <f>DATE(2013,7,30) + TIME(2,11,10)</f>
        <v>41485.091087962966</v>
      </c>
      <c r="C1559">
        <v>80</v>
      </c>
      <c r="D1559">
        <v>79.954048157000003</v>
      </c>
      <c r="E1559">
        <v>50</v>
      </c>
      <c r="F1559">
        <v>45.066158295000001</v>
      </c>
      <c r="G1559">
        <v>1376.6126709</v>
      </c>
      <c r="H1559">
        <v>1363.9709473</v>
      </c>
      <c r="I1559">
        <v>1290.7329102000001</v>
      </c>
      <c r="J1559">
        <v>1272.2885742000001</v>
      </c>
      <c r="K1559">
        <v>2200</v>
      </c>
      <c r="L1559">
        <v>0</v>
      </c>
      <c r="M1559">
        <v>0</v>
      </c>
      <c r="N1559">
        <v>2200</v>
      </c>
    </row>
    <row r="1560" spans="1:14" x14ac:dyDescent="0.25">
      <c r="A1560">
        <v>1187.690503</v>
      </c>
      <c r="B1560" s="1">
        <f>DATE(2013,7,31) + TIME(16,34,19)</f>
        <v>41486.690497685187</v>
      </c>
      <c r="C1560">
        <v>80</v>
      </c>
      <c r="D1560">
        <v>79.954071045000006</v>
      </c>
      <c r="E1560">
        <v>50</v>
      </c>
      <c r="F1560">
        <v>44.994850159000002</v>
      </c>
      <c r="G1560">
        <v>1376.5603027</v>
      </c>
      <c r="H1560">
        <v>1363.927124</v>
      </c>
      <c r="I1560">
        <v>1290.6746826000001</v>
      </c>
      <c r="J1560">
        <v>1272.1934814000001</v>
      </c>
      <c r="K1560">
        <v>2200</v>
      </c>
      <c r="L1560">
        <v>0</v>
      </c>
      <c r="M1560">
        <v>0</v>
      </c>
      <c r="N1560">
        <v>2200</v>
      </c>
    </row>
    <row r="1561" spans="1:14" x14ac:dyDescent="0.25">
      <c r="A1561">
        <v>1188</v>
      </c>
      <c r="B1561" s="1">
        <f>DATE(2013,8,1) + TIME(0,0,0)</f>
        <v>41487</v>
      </c>
      <c r="C1561">
        <v>80</v>
      </c>
      <c r="D1561">
        <v>79.954063415999997</v>
      </c>
      <c r="E1561">
        <v>50</v>
      </c>
      <c r="F1561">
        <v>44.967060089</v>
      </c>
      <c r="G1561">
        <v>1376.5089111</v>
      </c>
      <c r="H1561">
        <v>1363.8842772999999</v>
      </c>
      <c r="I1561">
        <v>1290.6199951000001</v>
      </c>
      <c r="J1561">
        <v>1272.1170654</v>
      </c>
      <c r="K1561">
        <v>2200</v>
      </c>
      <c r="L1561">
        <v>0</v>
      </c>
      <c r="M1561">
        <v>0</v>
      </c>
      <c r="N1561">
        <v>2200</v>
      </c>
    </row>
    <row r="1562" spans="1:14" x14ac:dyDescent="0.25">
      <c r="A1562">
        <v>1189.6114379999999</v>
      </c>
      <c r="B1562" s="1">
        <f>DATE(2013,8,2) + TIME(14,40,28)</f>
        <v>41488.611435185187</v>
      </c>
      <c r="C1562">
        <v>80</v>
      </c>
      <c r="D1562">
        <v>79.954086304</v>
      </c>
      <c r="E1562">
        <v>50</v>
      </c>
      <c r="F1562">
        <v>44.904945374</v>
      </c>
      <c r="G1562">
        <v>1376.4980469</v>
      </c>
      <c r="H1562">
        <v>1363.875</v>
      </c>
      <c r="I1562">
        <v>1290.6026611</v>
      </c>
      <c r="J1562">
        <v>1272.0739745999999</v>
      </c>
      <c r="K1562">
        <v>2200</v>
      </c>
      <c r="L1562">
        <v>0</v>
      </c>
      <c r="M1562">
        <v>0</v>
      </c>
      <c r="N1562">
        <v>2200</v>
      </c>
    </row>
    <row r="1563" spans="1:14" x14ac:dyDescent="0.25">
      <c r="A1563">
        <v>1191.2436310000001</v>
      </c>
      <c r="B1563" s="1">
        <f>DATE(2013,8,4) + TIME(5,50,49)</f>
        <v>41490.243622685186</v>
      </c>
      <c r="C1563">
        <v>80</v>
      </c>
      <c r="D1563">
        <v>79.954109192000004</v>
      </c>
      <c r="E1563">
        <v>50</v>
      </c>
      <c r="F1563">
        <v>44.837417602999999</v>
      </c>
      <c r="G1563">
        <v>1376.4465332</v>
      </c>
      <c r="H1563">
        <v>1363.8317870999999</v>
      </c>
      <c r="I1563">
        <v>1290.5438231999999</v>
      </c>
      <c r="J1563">
        <v>1271.9782714999999</v>
      </c>
      <c r="K1563">
        <v>2200</v>
      </c>
      <c r="L1563">
        <v>0</v>
      </c>
      <c r="M1563">
        <v>0</v>
      </c>
      <c r="N1563">
        <v>2200</v>
      </c>
    </row>
    <row r="1564" spans="1:14" x14ac:dyDescent="0.25">
      <c r="A1564">
        <v>1192.898164</v>
      </c>
      <c r="B1564" s="1">
        <f>DATE(2013,8,5) + TIME(21,33,21)</f>
        <v>41491.898159722223</v>
      </c>
      <c r="C1564">
        <v>80</v>
      </c>
      <c r="D1564">
        <v>79.954132079999994</v>
      </c>
      <c r="E1564">
        <v>50</v>
      </c>
      <c r="F1564">
        <v>44.767871857000003</v>
      </c>
      <c r="G1564">
        <v>1376.3946533000001</v>
      </c>
      <c r="H1564">
        <v>1363.7883300999999</v>
      </c>
      <c r="I1564">
        <v>1290.4833983999999</v>
      </c>
      <c r="J1564">
        <v>1271.8787841999999</v>
      </c>
      <c r="K1564">
        <v>2200</v>
      </c>
      <c r="L1564">
        <v>0</v>
      </c>
      <c r="M1564">
        <v>0</v>
      </c>
      <c r="N1564">
        <v>2200</v>
      </c>
    </row>
    <row r="1565" spans="1:14" x14ac:dyDescent="0.25">
      <c r="A1565">
        <v>1194.5801369999999</v>
      </c>
      <c r="B1565" s="1">
        <f>DATE(2013,8,7) + TIME(13,55,23)</f>
        <v>41493.580127314817</v>
      </c>
      <c r="C1565">
        <v>80</v>
      </c>
      <c r="D1565">
        <v>79.954154967999997</v>
      </c>
      <c r="E1565">
        <v>50</v>
      </c>
      <c r="F1565">
        <v>44.697566985999998</v>
      </c>
      <c r="G1565">
        <v>1376.3427733999999</v>
      </c>
      <c r="H1565">
        <v>1363.7446289</v>
      </c>
      <c r="I1565">
        <v>1290.4216309000001</v>
      </c>
      <c r="J1565">
        <v>1271.7764893000001</v>
      </c>
      <c r="K1565">
        <v>2200</v>
      </c>
      <c r="L1565">
        <v>0</v>
      </c>
      <c r="M1565">
        <v>0</v>
      </c>
      <c r="N1565">
        <v>2200</v>
      </c>
    </row>
    <row r="1566" spans="1:14" x14ac:dyDescent="0.25">
      <c r="A1566">
        <v>1196.294987</v>
      </c>
      <c r="B1566" s="1">
        <f>DATE(2013,8,9) + TIME(7,4,46)</f>
        <v>41495.294976851852</v>
      </c>
      <c r="C1566">
        <v>80</v>
      </c>
      <c r="D1566">
        <v>79.954177856000001</v>
      </c>
      <c r="E1566">
        <v>50</v>
      </c>
      <c r="F1566">
        <v>44.626914978000002</v>
      </c>
      <c r="G1566">
        <v>1376.2905272999999</v>
      </c>
      <c r="H1566">
        <v>1363.7005615</v>
      </c>
      <c r="I1566">
        <v>1290.3587646000001</v>
      </c>
      <c r="J1566">
        <v>1271.6716309000001</v>
      </c>
      <c r="K1566">
        <v>2200</v>
      </c>
      <c r="L1566">
        <v>0</v>
      </c>
      <c r="M1566">
        <v>0</v>
      </c>
      <c r="N1566">
        <v>2200</v>
      </c>
    </row>
    <row r="1567" spans="1:14" x14ac:dyDescent="0.25">
      <c r="A1567">
        <v>1198.0411819999999</v>
      </c>
      <c r="B1567" s="1">
        <f>DATE(2013,8,11) + TIME(0,59,18)</f>
        <v>41497.041180555556</v>
      </c>
      <c r="C1567">
        <v>80</v>
      </c>
      <c r="D1567">
        <v>79.954200744999994</v>
      </c>
      <c r="E1567">
        <v>50</v>
      </c>
      <c r="F1567">
        <v>44.556140900000003</v>
      </c>
      <c r="G1567">
        <v>1376.237793</v>
      </c>
      <c r="H1567">
        <v>1363.6561279</v>
      </c>
      <c r="I1567">
        <v>1290.2944336</v>
      </c>
      <c r="J1567">
        <v>1271.5642089999999</v>
      </c>
      <c r="K1567">
        <v>2200</v>
      </c>
      <c r="L1567">
        <v>0</v>
      </c>
      <c r="M1567">
        <v>0</v>
      </c>
      <c r="N1567">
        <v>2200</v>
      </c>
    </row>
    <row r="1568" spans="1:14" x14ac:dyDescent="0.25">
      <c r="A1568">
        <v>1199.812555</v>
      </c>
      <c r="B1568" s="1">
        <f>DATE(2013,8,12) + TIME(19,30,4)</f>
        <v>41498.8125462963</v>
      </c>
      <c r="C1568">
        <v>80</v>
      </c>
      <c r="D1568">
        <v>79.954223632999998</v>
      </c>
      <c r="E1568">
        <v>50</v>
      </c>
      <c r="F1568">
        <v>44.485553740999997</v>
      </c>
      <c r="G1568">
        <v>1376.1846923999999</v>
      </c>
      <c r="H1568">
        <v>1363.6112060999999</v>
      </c>
      <c r="I1568">
        <v>1290.2290039</v>
      </c>
      <c r="J1568">
        <v>1271.4543457</v>
      </c>
      <c r="K1568">
        <v>2200</v>
      </c>
      <c r="L1568">
        <v>0</v>
      </c>
      <c r="M1568">
        <v>0</v>
      </c>
      <c r="N1568">
        <v>2200</v>
      </c>
    </row>
    <row r="1569" spans="1:14" x14ac:dyDescent="0.25">
      <c r="A1569">
        <v>1201.614435</v>
      </c>
      <c r="B1569" s="1">
        <f>DATE(2013,8,14) + TIME(14,44,47)</f>
        <v>41500.614432870374</v>
      </c>
      <c r="C1569">
        <v>80</v>
      </c>
      <c r="D1569">
        <v>79.954246521000002</v>
      </c>
      <c r="E1569">
        <v>50</v>
      </c>
      <c r="F1569">
        <v>44.415409087999997</v>
      </c>
      <c r="G1569">
        <v>1376.1314697</v>
      </c>
      <c r="H1569">
        <v>1363.5660399999999</v>
      </c>
      <c r="I1569">
        <v>1290.1625977000001</v>
      </c>
      <c r="J1569">
        <v>1271.3424072</v>
      </c>
      <c r="K1569">
        <v>2200</v>
      </c>
      <c r="L1569">
        <v>0</v>
      </c>
      <c r="M1569">
        <v>0</v>
      </c>
      <c r="N1569">
        <v>2200</v>
      </c>
    </row>
    <row r="1570" spans="1:14" x14ac:dyDescent="0.25">
      <c r="A1570">
        <v>1203.437817</v>
      </c>
      <c r="B1570" s="1">
        <f>DATE(2013,8,16) + TIME(10,30,27)</f>
        <v>41502.4378125</v>
      </c>
      <c r="C1570">
        <v>80</v>
      </c>
      <c r="D1570">
        <v>79.954277039000004</v>
      </c>
      <c r="E1570">
        <v>50</v>
      </c>
      <c r="F1570">
        <v>44.346004485999998</v>
      </c>
      <c r="G1570">
        <v>1376.0777588000001</v>
      </c>
      <c r="H1570">
        <v>1363.5205077999999</v>
      </c>
      <c r="I1570">
        <v>1290.0953368999999</v>
      </c>
      <c r="J1570">
        <v>1271.2283935999999</v>
      </c>
      <c r="K1570">
        <v>2200</v>
      </c>
      <c r="L1570">
        <v>0</v>
      </c>
      <c r="M1570">
        <v>0</v>
      </c>
      <c r="N1570">
        <v>2200</v>
      </c>
    </row>
    <row r="1571" spans="1:14" x14ac:dyDescent="0.25">
      <c r="A1571">
        <v>1205.2730879999999</v>
      </c>
      <c r="B1571" s="1">
        <f>DATE(2013,8,18) + TIME(6,33,14)</f>
        <v>41504.273078703707</v>
      </c>
      <c r="C1571">
        <v>80</v>
      </c>
      <c r="D1571">
        <v>79.954299926999994</v>
      </c>
      <c r="E1571">
        <v>50</v>
      </c>
      <c r="F1571">
        <v>44.277847289999997</v>
      </c>
      <c r="G1571">
        <v>1376.0240478999999</v>
      </c>
      <c r="H1571">
        <v>1363.4748535000001</v>
      </c>
      <c r="I1571">
        <v>1290.0274658000001</v>
      </c>
      <c r="J1571">
        <v>1271.1130370999999</v>
      </c>
      <c r="K1571">
        <v>2200</v>
      </c>
      <c r="L1571">
        <v>0</v>
      </c>
      <c r="M1571">
        <v>0</v>
      </c>
      <c r="N1571">
        <v>2200</v>
      </c>
    </row>
    <row r="1572" spans="1:14" x14ac:dyDescent="0.25">
      <c r="A1572">
        <v>1207.1256169999999</v>
      </c>
      <c r="B1572" s="1">
        <f>DATE(2013,8,20) + TIME(3,0,53)</f>
        <v>41506.125613425924</v>
      </c>
      <c r="C1572">
        <v>80</v>
      </c>
      <c r="D1572">
        <v>79.954322814999998</v>
      </c>
      <c r="E1572">
        <v>50</v>
      </c>
      <c r="F1572">
        <v>44.211307525999999</v>
      </c>
      <c r="G1572">
        <v>1375.9704589999999</v>
      </c>
      <c r="H1572">
        <v>1363.4291992000001</v>
      </c>
      <c r="I1572">
        <v>1289.9594727000001</v>
      </c>
      <c r="J1572">
        <v>1270.9968262</v>
      </c>
      <c r="K1572">
        <v>2200</v>
      </c>
      <c r="L1572">
        <v>0</v>
      </c>
      <c r="M1572">
        <v>0</v>
      </c>
      <c r="N1572">
        <v>2200</v>
      </c>
    </row>
    <row r="1573" spans="1:14" x14ac:dyDescent="0.25">
      <c r="A1573">
        <v>1209.000959</v>
      </c>
      <c r="B1573" s="1">
        <f>DATE(2013,8,22) + TIME(0,1,22)</f>
        <v>41508.000949074078</v>
      </c>
      <c r="C1573">
        <v>80</v>
      </c>
      <c r="D1573">
        <v>79.954353333</v>
      </c>
      <c r="E1573">
        <v>50</v>
      </c>
      <c r="F1573">
        <v>44.146560669000003</v>
      </c>
      <c r="G1573">
        <v>1375.9169922000001</v>
      </c>
      <c r="H1573">
        <v>1363.3835449000001</v>
      </c>
      <c r="I1573">
        <v>1289.8913574000001</v>
      </c>
      <c r="J1573">
        <v>1270.8798827999999</v>
      </c>
      <c r="K1573">
        <v>2200</v>
      </c>
      <c r="L1573">
        <v>0</v>
      </c>
      <c r="M1573">
        <v>0</v>
      </c>
      <c r="N1573">
        <v>2200</v>
      </c>
    </row>
    <row r="1574" spans="1:14" x14ac:dyDescent="0.25">
      <c r="A1574">
        <v>1210.9048949999999</v>
      </c>
      <c r="B1574" s="1">
        <f>DATE(2013,8,23) + TIME(21,43,2)</f>
        <v>41509.90488425926</v>
      </c>
      <c r="C1574">
        <v>80</v>
      </c>
      <c r="D1574">
        <v>79.954383849999999</v>
      </c>
      <c r="E1574">
        <v>50</v>
      </c>
      <c r="F1574">
        <v>44.083759307999998</v>
      </c>
      <c r="G1574">
        <v>1375.8634033000001</v>
      </c>
      <c r="H1574">
        <v>1363.3377685999999</v>
      </c>
      <c r="I1574">
        <v>1289.8229980000001</v>
      </c>
      <c r="J1574">
        <v>1270.7619629000001</v>
      </c>
      <c r="K1574">
        <v>2200</v>
      </c>
      <c r="L1574">
        <v>0</v>
      </c>
      <c r="M1574">
        <v>0</v>
      </c>
      <c r="N1574">
        <v>2200</v>
      </c>
    </row>
    <row r="1575" spans="1:14" x14ac:dyDescent="0.25">
      <c r="A1575">
        <v>1212.8371569999999</v>
      </c>
      <c r="B1575" s="1">
        <f>DATE(2013,8,25) + TIME(20,5,30)</f>
        <v>41511.837152777778</v>
      </c>
      <c r="C1575">
        <v>80</v>
      </c>
      <c r="D1575">
        <v>79.954406738000003</v>
      </c>
      <c r="E1575">
        <v>50</v>
      </c>
      <c r="F1575">
        <v>44.02312088</v>
      </c>
      <c r="G1575">
        <v>1375.8094481999999</v>
      </c>
      <c r="H1575">
        <v>1363.2915039</v>
      </c>
      <c r="I1575">
        <v>1289.7543945</v>
      </c>
      <c r="J1575">
        <v>1270.6430664</v>
      </c>
      <c r="K1575">
        <v>2200</v>
      </c>
      <c r="L1575">
        <v>0</v>
      </c>
      <c r="M1575">
        <v>0</v>
      </c>
      <c r="N1575">
        <v>2200</v>
      </c>
    </row>
    <row r="1576" spans="1:14" x14ac:dyDescent="0.25">
      <c r="A1576">
        <v>1214.7900199999999</v>
      </c>
      <c r="B1576" s="1">
        <f>DATE(2013,8,27) + TIME(18,57,37)</f>
        <v>41513.790011574078</v>
      </c>
      <c r="C1576">
        <v>80</v>
      </c>
      <c r="D1576">
        <v>79.954437256000006</v>
      </c>
      <c r="E1576">
        <v>50</v>
      </c>
      <c r="F1576">
        <v>43.965072632000002</v>
      </c>
      <c r="G1576">
        <v>1375.755249</v>
      </c>
      <c r="H1576">
        <v>1363.2449951000001</v>
      </c>
      <c r="I1576">
        <v>1289.6856689000001</v>
      </c>
      <c r="J1576">
        <v>1270.5235596</v>
      </c>
      <c r="K1576">
        <v>2200</v>
      </c>
      <c r="L1576">
        <v>0</v>
      </c>
      <c r="M1576">
        <v>0</v>
      </c>
      <c r="N1576">
        <v>2200</v>
      </c>
    </row>
    <row r="1577" spans="1:14" x14ac:dyDescent="0.25">
      <c r="A1577">
        <v>1216.76909</v>
      </c>
      <c r="B1577" s="1">
        <f>DATE(2013,8,29) + TIME(18,27,29)</f>
        <v>41515.769085648149</v>
      </c>
      <c r="C1577">
        <v>80</v>
      </c>
      <c r="D1577">
        <v>79.954467773000005</v>
      </c>
      <c r="E1577">
        <v>50</v>
      </c>
      <c r="F1577">
        <v>43.910072327000002</v>
      </c>
      <c r="G1577">
        <v>1375.7009277</v>
      </c>
      <c r="H1577">
        <v>1363.1983643000001</v>
      </c>
      <c r="I1577">
        <v>1289.6173096</v>
      </c>
      <c r="J1577">
        <v>1270.4039307</v>
      </c>
      <c r="K1577">
        <v>2200</v>
      </c>
      <c r="L1577">
        <v>0</v>
      </c>
      <c r="M1577">
        <v>0</v>
      </c>
      <c r="N1577">
        <v>2200</v>
      </c>
    </row>
    <row r="1578" spans="1:14" x14ac:dyDescent="0.25">
      <c r="A1578">
        <v>1218.7802220000001</v>
      </c>
      <c r="B1578" s="1">
        <f>DATE(2013,8,31) + TIME(18,43,31)</f>
        <v>41517.780219907407</v>
      </c>
      <c r="C1578">
        <v>80</v>
      </c>
      <c r="D1578">
        <v>79.954498290999993</v>
      </c>
      <c r="E1578">
        <v>50</v>
      </c>
      <c r="F1578">
        <v>43.858470916999998</v>
      </c>
      <c r="G1578">
        <v>1375.6464844</v>
      </c>
      <c r="H1578">
        <v>1363.1514893000001</v>
      </c>
      <c r="I1578">
        <v>1289.5490723</v>
      </c>
      <c r="J1578">
        <v>1270.2841797000001</v>
      </c>
      <c r="K1578">
        <v>2200</v>
      </c>
      <c r="L1578">
        <v>0</v>
      </c>
      <c r="M1578">
        <v>0</v>
      </c>
      <c r="N1578">
        <v>2200</v>
      </c>
    </row>
    <row r="1579" spans="1:14" x14ac:dyDescent="0.25">
      <c r="A1579">
        <v>1219</v>
      </c>
      <c r="B1579" s="1">
        <f>DATE(2013,9,1) + TIME(0,0,0)</f>
        <v>41518</v>
      </c>
      <c r="C1579">
        <v>80</v>
      </c>
      <c r="D1579">
        <v>79.954498290999993</v>
      </c>
      <c r="E1579">
        <v>50</v>
      </c>
      <c r="F1579">
        <v>43.845172882</v>
      </c>
      <c r="G1579">
        <v>1375.5935059000001</v>
      </c>
      <c r="H1579">
        <v>1363.105957</v>
      </c>
      <c r="I1579">
        <v>1289.4952393000001</v>
      </c>
      <c r="J1579">
        <v>1270.1988524999999</v>
      </c>
      <c r="K1579">
        <v>2200</v>
      </c>
      <c r="L1579">
        <v>0</v>
      </c>
      <c r="M1579">
        <v>0</v>
      </c>
      <c r="N1579">
        <v>2200</v>
      </c>
    </row>
    <row r="1580" spans="1:14" x14ac:dyDescent="0.25">
      <c r="A1580">
        <v>1221.0495519999999</v>
      </c>
      <c r="B1580" s="1">
        <f>DATE(2013,9,3) + TIME(1,11,21)</f>
        <v>41520.04954861111</v>
      </c>
      <c r="C1580">
        <v>80</v>
      </c>
      <c r="D1580">
        <v>79.954536438000005</v>
      </c>
      <c r="E1580">
        <v>50</v>
      </c>
      <c r="F1580">
        <v>43.803447722999998</v>
      </c>
      <c r="G1580">
        <v>1375.5854492000001</v>
      </c>
      <c r="H1580">
        <v>1363.0987548999999</v>
      </c>
      <c r="I1580">
        <v>1289.4719238</v>
      </c>
      <c r="J1580">
        <v>1270.1474608999999</v>
      </c>
      <c r="K1580">
        <v>2200</v>
      </c>
      <c r="L1580">
        <v>0</v>
      </c>
      <c r="M1580">
        <v>0</v>
      </c>
      <c r="N1580">
        <v>2200</v>
      </c>
    </row>
    <row r="1581" spans="1:14" x14ac:dyDescent="0.25">
      <c r="A1581">
        <v>1223.1062979999999</v>
      </c>
      <c r="B1581" s="1">
        <f>DATE(2013,9,5) + TIME(2,33,4)</f>
        <v>41522.106296296297</v>
      </c>
      <c r="C1581">
        <v>80</v>
      </c>
      <c r="D1581">
        <v>79.954566955999994</v>
      </c>
      <c r="E1581">
        <v>50</v>
      </c>
      <c r="F1581">
        <v>43.762451171999999</v>
      </c>
      <c r="G1581">
        <v>1375.5302733999999</v>
      </c>
      <c r="H1581">
        <v>1363.0511475000001</v>
      </c>
      <c r="I1581">
        <v>1289.4061279</v>
      </c>
      <c r="J1581">
        <v>1270.0313721</v>
      </c>
      <c r="K1581">
        <v>2200</v>
      </c>
      <c r="L1581">
        <v>0</v>
      </c>
      <c r="M1581">
        <v>0</v>
      </c>
      <c r="N1581">
        <v>2200</v>
      </c>
    </row>
    <row r="1582" spans="1:14" x14ac:dyDescent="0.25">
      <c r="A1582">
        <v>1225.174743</v>
      </c>
      <c r="B1582" s="1">
        <f>DATE(2013,9,7) + TIME(4,11,37)</f>
        <v>41524.174733796295</v>
      </c>
      <c r="C1582">
        <v>80</v>
      </c>
      <c r="D1582">
        <v>79.954605103000006</v>
      </c>
      <c r="E1582">
        <v>50</v>
      </c>
      <c r="F1582">
        <v>43.725616455000001</v>
      </c>
      <c r="G1582">
        <v>1375.4752197</v>
      </c>
      <c r="H1582">
        <v>1363.003418</v>
      </c>
      <c r="I1582">
        <v>1289.3406981999999</v>
      </c>
      <c r="J1582">
        <v>1269.9151611</v>
      </c>
      <c r="K1582">
        <v>2200</v>
      </c>
      <c r="L1582">
        <v>0</v>
      </c>
      <c r="M1582">
        <v>0</v>
      </c>
      <c r="N1582">
        <v>2200</v>
      </c>
    </row>
    <row r="1583" spans="1:14" x14ac:dyDescent="0.25">
      <c r="A1583">
        <v>1227.2625029999999</v>
      </c>
      <c r="B1583" s="1">
        <f>DATE(2013,9,9) + TIME(6,18,0)</f>
        <v>41526.262499999997</v>
      </c>
      <c r="C1583">
        <v>80</v>
      </c>
      <c r="D1583">
        <v>79.954635620000005</v>
      </c>
      <c r="E1583">
        <v>50</v>
      </c>
      <c r="F1583">
        <v>43.694301605</v>
      </c>
      <c r="G1583">
        <v>1375.4204102000001</v>
      </c>
      <c r="H1583">
        <v>1362.9558105000001</v>
      </c>
      <c r="I1583">
        <v>1289.2766113</v>
      </c>
      <c r="J1583">
        <v>1269.8006591999999</v>
      </c>
      <c r="K1583">
        <v>2200</v>
      </c>
      <c r="L1583">
        <v>0</v>
      </c>
      <c r="M1583">
        <v>0</v>
      </c>
      <c r="N1583">
        <v>2200</v>
      </c>
    </row>
    <row r="1584" spans="1:14" x14ac:dyDescent="0.25">
      <c r="A1584">
        <v>1229.3771999999999</v>
      </c>
      <c r="B1584" s="1">
        <f>DATE(2013,9,11) + TIME(9,3,10)</f>
        <v>41528.377199074072</v>
      </c>
      <c r="C1584">
        <v>80</v>
      </c>
      <c r="D1584">
        <v>79.954666137999993</v>
      </c>
      <c r="E1584">
        <v>50</v>
      </c>
      <c r="F1584">
        <v>43.669269561999997</v>
      </c>
      <c r="G1584">
        <v>1375.3654785000001</v>
      </c>
      <c r="H1584">
        <v>1362.9079589999999</v>
      </c>
      <c r="I1584">
        <v>1289.2139893000001</v>
      </c>
      <c r="J1584">
        <v>1269.6884766000001</v>
      </c>
      <c r="K1584">
        <v>2200</v>
      </c>
      <c r="L1584">
        <v>0</v>
      </c>
      <c r="M1584">
        <v>0</v>
      </c>
      <c r="N1584">
        <v>2200</v>
      </c>
    </row>
    <row r="1585" spans="1:14" x14ac:dyDescent="0.25">
      <c r="A1585">
        <v>1231.526715</v>
      </c>
      <c r="B1585" s="1">
        <f>DATE(2013,9,13) + TIME(12,38,28)</f>
        <v>41530.526712962965</v>
      </c>
      <c r="C1585">
        <v>80</v>
      </c>
      <c r="D1585">
        <v>79.954704285000005</v>
      </c>
      <c r="E1585">
        <v>50</v>
      </c>
      <c r="F1585">
        <v>43.651203156000001</v>
      </c>
      <c r="G1585">
        <v>1375.3103027</v>
      </c>
      <c r="H1585">
        <v>1362.8599853999999</v>
      </c>
      <c r="I1585">
        <v>1289.152832</v>
      </c>
      <c r="J1585">
        <v>1269.5786132999999</v>
      </c>
      <c r="K1585">
        <v>2200</v>
      </c>
      <c r="L1585">
        <v>0</v>
      </c>
      <c r="M1585">
        <v>0</v>
      </c>
      <c r="N1585">
        <v>2200</v>
      </c>
    </row>
    <row r="1586" spans="1:14" x14ac:dyDescent="0.25">
      <c r="A1586">
        <v>1233.7208310000001</v>
      </c>
      <c r="B1586" s="1">
        <f>DATE(2013,9,15) + TIME(17,17,59)</f>
        <v>41532.720821759256</v>
      </c>
      <c r="C1586">
        <v>80</v>
      </c>
      <c r="D1586">
        <v>79.954742432000003</v>
      </c>
      <c r="E1586">
        <v>50</v>
      </c>
      <c r="F1586">
        <v>43.640846252000003</v>
      </c>
      <c r="G1586">
        <v>1375.2546387</v>
      </c>
      <c r="H1586">
        <v>1362.8114014</v>
      </c>
      <c r="I1586">
        <v>1289.0932617000001</v>
      </c>
      <c r="J1586">
        <v>1269.4714355000001</v>
      </c>
      <c r="K1586">
        <v>2200</v>
      </c>
      <c r="L1586">
        <v>0</v>
      </c>
      <c r="M1586">
        <v>0</v>
      </c>
      <c r="N1586">
        <v>2200</v>
      </c>
    </row>
    <row r="1587" spans="1:14" x14ac:dyDescent="0.25">
      <c r="A1587">
        <v>1235.9508840000001</v>
      </c>
      <c r="B1587" s="1">
        <f>DATE(2013,9,17) + TIME(22,49,16)</f>
        <v>41534.950879629629</v>
      </c>
      <c r="C1587">
        <v>80</v>
      </c>
      <c r="D1587">
        <v>79.954780579000001</v>
      </c>
      <c r="E1587">
        <v>50</v>
      </c>
      <c r="F1587">
        <v>43.639106750000003</v>
      </c>
      <c r="G1587">
        <v>1375.1983643000001</v>
      </c>
      <c r="H1587">
        <v>1362.762207</v>
      </c>
      <c r="I1587">
        <v>1289.0354004000001</v>
      </c>
      <c r="J1587">
        <v>1269.3669434000001</v>
      </c>
      <c r="K1587">
        <v>2200</v>
      </c>
      <c r="L1587">
        <v>0</v>
      </c>
      <c r="M1587">
        <v>0</v>
      </c>
      <c r="N1587">
        <v>2200</v>
      </c>
    </row>
    <row r="1588" spans="1:14" x14ac:dyDescent="0.25">
      <c r="A1588">
        <v>1238.2155869999999</v>
      </c>
      <c r="B1588" s="1">
        <f>DATE(2013,9,20) + TIME(5,10,26)</f>
        <v>41537.215578703705</v>
      </c>
      <c r="C1588">
        <v>80</v>
      </c>
      <c r="D1588">
        <v>79.954818725999999</v>
      </c>
      <c r="E1588">
        <v>50</v>
      </c>
      <c r="F1588">
        <v>43.646949767999999</v>
      </c>
      <c r="G1588">
        <v>1375.1417236</v>
      </c>
      <c r="H1588">
        <v>1362.7126464999999</v>
      </c>
      <c r="I1588">
        <v>1288.9796143000001</v>
      </c>
      <c r="J1588">
        <v>1269.2663574000001</v>
      </c>
      <c r="K1588">
        <v>2200</v>
      </c>
      <c r="L1588">
        <v>0</v>
      </c>
      <c r="M1588">
        <v>0</v>
      </c>
      <c r="N1588">
        <v>2200</v>
      </c>
    </row>
    <row r="1589" spans="1:14" x14ac:dyDescent="0.25">
      <c r="A1589">
        <v>1240.5078060000001</v>
      </c>
      <c r="B1589" s="1">
        <f>DATE(2013,9,22) + TIME(12,11,14)</f>
        <v>41539.507800925923</v>
      </c>
      <c r="C1589">
        <v>80</v>
      </c>
      <c r="D1589">
        <v>79.954856872999997</v>
      </c>
      <c r="E1589">
        <v>50</v>
      </c>
      <c r="F1589">
        <v>43.665321349999999</v>
      </c>
      <c r="G1589">
        <v>1375.0845947</v>
      </c>
      <c r="H1589">
        <v>1362.6624756000001</v>
      </c>
      <c r="I1589">
        <v>1288.9262695</v>
      </c>
      <c r="J1589">
        <v>1269.1701660000001</v>
      </c>
      <c r="K1589">
        <v>2200</v>
      </c>
      <c r="L1589">
        <v>0</v>
      </c>
      <c r="M1589">
        <v>0</v>
      </c>
      <c r="N1589">
        <v>2200</v>
      </c>
    </row>
    <row r="1590" spans="1:14" x14ac:dyDescent="0.25">
      <c r="A1590">
        <v>1242.8257470000001</v>
      </c>
      <c r="B1590" s="1">
        <f>DATE(2013,9,24) + TIME(19,49,4)</f>
        <v>41541.825740740744</v>
      </c>
      <c r="C1590">
        <v>80</v>
      </c>
      <c r="D1590">
        <v>79.954895019999995</v>
      </c>
      <c r="E1590">
        <v>50</v>
      </c>
      <c r="F1590">
        <v>43.695091247999997</v>
      </c>
      <c r="G1590">
        <v>1375.0273437999999</v>
      </c>
      <c r="H1590">
        <v>1362.6121826000001</v>
      </c>
      <c r="I1590">
        <v>1288.8757324000001</v>
      </c>
      <c r="J1590">
        <v>1269.0794678</v>
      </c>
      <c r="K1590">
        <v>2200</v>
      </c>
      <c r="L1590">
        <v>0</v>
      </c>
      <c r="M1590">
        <v>0</v>
      </c>
      <c r="N1590">
        <v>2200</v>
      </c>
    </row>
    <row r="1591" spans="1:14" x14ac:dyDescent="0.25">
      <c r="A1591">
        <v>1245.1828479999999</v>
      </c>
      <c r="B1591" s="1">
        <f>DATE(2013,9,27) + TIME(4,23,18)</f>
        <v>41544.182847222219</v>
      </c>
      <c r="C1591">
        <v>80</v>
      </c>
      <c r="D1591">
        <v>79.954933166999993</v>
      </c>
      <c r="E1591">
        <v>50</v>
      </c>
      <c r="F1591">
        <v>43.737163543999998</v>
      </c>
      <c r="G1591">
        <v>1374.9699707</v>
      </c>
      <c r="H1591">
        <v>1362.5616454999999</v>
      </c>
      <c r="I1591">
        <v>1288.8282471</v>
      </c>
      <c r="J1591">
        <v>1268.9946289</v>
      </c>
      <c r="K1591">
        <v>2200</v>
      </c>
      <c r="L1591">
        <v>0</v>
      </c>
      <c r="M1591">
        <v>0</v>
      </c>
      <c r="N1591">
        <v>2200</v>
      </c>
    </row>
    <row r="1592" spans="1:14" x14ac:dyDescent="0.25">
      <c r="A1592">
        <v>1246.3749720000001</v>
      </c>
      <c r="B1592" s="1">
        <f>DATE(2013,9,28) + TIME(8,59,57)</f>
        <v>41545.374965277777</v>
      </c>
      <c r="C1592">
        <v>80</v>
      </c>
      <c r="D1592">
        <v>79.954948424999998</v>
      </c>
      <c r="E1592">
        <v>50</v>
      </c>
      <c r="F1592">
        <v>43.780605315999999</v>
      </c>
      <c r="G1592">
        <v>1374.9121094</v>
      </c>
      <c r="H1592">
        <v>1362.5106201000001</v>
      </c>
      <c r="I1592">
        <v>1288.7912598</v>
      </c>
      <c r="J1592">
        <v>1268.9238281</v>
      </c>
      <c r="K1592">
        <v>2200</v>
      </c>
      <c r="L1592">
        <v>0</v>
      </c>
      <c r="M1592">
        <v>0</v>
      </c>
      <c r="N1592">
        <v>2200</v>
      </c>
    </row>
    <row r="1593" spans="1:14" x14ac:dyDescent="0.25">
      <c r="A1593">
        <v>1247.5635070000001</v>
      </c>
      <c r="B1593" s="1">
        <f>DATE(2013,9,29) + TIME(13,31,27)</f>
        <v>41546.563506944447</v>
      </c>
      <c r="C1593">
        <v>80</v>
      </c>
      <c r="D1593">
        <v>79.954963684000006</v>
      </c>
      <c r="E1593">
        <v>50</v>
      </c>
      <c r="F1593">
        <v>43.820308685000001</v>
      </c>
      <c r="G1593">
        <v>1374.8826904</v>
      </c>
      <c r="H1593">
        <v>1362.4846190999999</v>
      </c>
      <c r="I1593">
        <v>1288.7663574000001</v>
      </c>
      <c r="J1593">
        <v>1268.8826904</v>
      </c>
      <c r="K1593">
        <v>2200</v>
      </c>
      <c r="L1593">
        <v>0</v>
      </c>
      <c r="M1593">
        <v>0</v>
      </c>
      <c r="N1593">
        <v>2200</v>
      </c>
    </row>
    <row r="1594" spans="1:14" x14ac:dyDescent="0.25">
      <c r="A1594">
        <v>1249</v>
      </c>
      <c r="B1594" s="1">
        <f>DATE(2013,10,1) + TIME(0,0,0)</f>
        <v>41548</v>
      </c>
      <c r="C1594">
        <v>80</v>
      </c>
      <c r="D1594">
        <v>79.954986571999996</v>
      </c>
      <c r="E1594">
        <v>50</v>
      </c>
      <c r="F1594">
        <v>43.863502502000003</v>
      </c>
      <c r="G1594">
        <v>1374.8538818</v>
      </c>
      <c r="H1594">
        <v>1362.4591064000001</v>
      </c>
      <c r="I1594">
        <v>1288.7435303</v>
      </c>
      <c r="J1594">
        <v>1268.8452147999999</v>
      </c>
      <c r="K1594">
        <v>2200</v>
      </c>
      <c r="L1594">
        <v>0</v>
      </c>
      <c r="M1594">
        <v>0</v>
      </c>
      <c r="N1594">
        <v>2200</v>
      </c>
    </row>
    <row r="1595" spans="1:14" x14ac:dyDescent="0.25">
      <c r="A1595">
        <v>1251.3770709999999</v>
      </c>
      <c r="B1595" s="1">
        <f>DATE(2013,10,3) + TIME(9,2,58)</f>
        <v>41550.377060185187</v>
      </c>
      <c r="C1595">
        <v>80</v>
      </c>
      <c r="D1595">
        <v>79.955039978000002</v>
      </c>
      <c r="E1595">
        <v>50</v>
      </c>
      <c r="F1595">
        <v>43.921314240000001</v>
      </c>
      <c r="G1595">
        <v>1374.8194579999999</v>
      </c>
      <c r="H1595">
        <v>1362.4285889</v>
      </c>
      <c r="I1595">
        <v>1288.7178954999999</v>
      </c>
      <c r="J1595">
        <v>1268.8039550999999</v>
      </c>
      <c r="K1595">
        <v>2200</v>
      </c>
      <c r="L1595">
        <v>0</v>
      </c>
      <c r="M1595">
        <v>0</v>
      </c>
      <c r="N1595">
        <v>2200</v>
      </c>
    </row>
    <row r="1596" spans="1:14" x14ac:dyDescent="0.25">
      <c r="A1596">
        <v>1253.762532</v>
      </c>
      <c r="B1596" s="1">
        <f>DATE(2013,10,5) + TIME(18,18,2)</f>
        <v>41552.762523148151</v>
      </c>
      <c r="C1596">
        <v>80</v>
      </c>
      <c r="D1596">
        <v>79.955078125</v>
      </c>
      <c r="E1596">
        <v>50</v>
      </c>
      <c r="F1596">
        <v>44.006530761999997</v>
      </c>
      <c r="G1596">
        <v>1374.7626952999999</v>
      </c>
      <c r="H1596">
        <v>1362.3782959</v>
      </c>
      <c r="I1596">
        <v>1288.6871338000001</v>
      </c>
      <c r="J1596">
        <v>1268.7495117000001</v>
      </c>
      <c r="K1596">
        <v>2200</v>
      </c>
      <c r="L1596">
        <v>0</v>
      </c>
      <c r="M1596">
        <v>0</v>
      </c>
      <c r="N1596">
        <v>2200</v>
      </c>
    </row>
    <row r="1597" spans="1:14" x14ac:dyDescent="0.25">
      <c r="A1597">
        <v>1256.1851549999999</v>
      </c>
      <c r="B1597" s="1">
        <f>DATE(2013,10,8) + TIME(4,26,37)</f>
        <v>41555.185150462959</v>
      </c>
      <c r="C1597">
        <v>80</v>
      </c>
      <c r="D1597">
        <v>79.955123900999993</v>
      </c>
      <c r="E1597">
        <v>50</v>
      </c>
      <c r="F1597">
        <v>44.109752655000001</v>
      </c>
      <c r="G1597">
        <v>1374.7060547000001</v>
      </c>
      <c r="H1597">
        <v>1362.328125</v>
      </c>
      <c r="I1597">
        <v>1288.6580810999999</v>
      </c>
      <c r="J1597">
        <v>1268.7010498</v>
      </c>
      <c r="K1597">
        <v>2200</v>
      </c>
      <c r="L1597">
        <v>0</v>
      </c>
      <c r="M1597">
        <v>0</v>
      </c>
      <c r="N1597">
        <v>2200</v>
      </c>
    </row>
    <row r="1598" spans="1:14" x14ac:dyDescent="0.25">
      <c r="A1598">
        <v>1258.652051</v>
      </c>
      <c r="B1598" s="1">
        <f>DATE(2013,10,10) + TIME(15,38,57)</f>
        <v>41557.652048611111</v>
      </c>
      <c r="C1598">
        <v>80</v>
      </c>
      <c r="D1598">
        <v>79.955169678000004</v>
      </c>
      <c r="E1598">
        <v>50</v>
      </c>
      <c r="F1598">
        <v>44.229202270999998</v>
      </c>
      <c r="G1598">
        <v>1374.6491699000001</v>
      </c>
      <c r="H1598">
        <v>1362.2775879000001</v>
      </c>
      <c r="I1598">
        <v>1288.6319579999999</v>
      </c>
      <c r="J1598">
        <v>1268.6599120999999</v>
      </c>
      <c r="K1598">
        <v>2200</v>
      </c>
      <c r="L1598">
        <v>0</v>
      </c>
      <c r="M1598">
        <v>0</v>
      </c>
      <c r="N1598">
        <v>2200</v>
      </c>
    </row>
    <row r="1599" spans="1:14" x14ac:dyDescent="0.25">
      <c r="A1599">
        <v>1261.1712339999999</v>
      </c>
      <c r="B1599" s="1">
        <f>DATE(2013,10,13) + TIME(4,6,34)</f>
        <v>41560.171226851853</v>
      </c>
      <c r="C1599">
        <v>80</v>
      </c>
      <c r="D1599">
        <v>79.955207825000002</v>
      </c>
      <c r="E1599">
        <v>50</v>
      </c>
      <c r="F1599">
        <v>44.364826202000003</v>
      </c>
      <c r="G1599">
        <v>1374.5919189000001</v>
      </c>
      <c r="H1599">
        <v>1362.2266846</v>
      </c>
      <c r="I1599">
        <v>1288.6094971</v>
      </c>
      <c r="J1599">
        <v>1268.6267089999999</v>
      </c>
      <c r="K1599">
        <v>2200</v>
      </c>
      <c r="L1599">
        <v>0</v>
      </c>
      <c r="M1599">
        <v>0</v>
      </c>
      <c r="N1599">
        <v>2200</v>
      </c>
    </row>
    <row r="1600" spans="1:14" x14ac:dyDescent="0.25">
      <c r="A1600">
        <v>1263.7516900000001</v>
      </c>
      <c r="B1600" s="1">
        <f>DATE(2013,10,15) + TIME(18,2,26)</f>
        <v>41562.751689814817</v>
      </c>
      <c r="C1600">
        <v>80</v>
      </c>
      <c r="D1600">
        <v>79.955253600999995</v>
      </c>
      <c r="E1600">
        <v>50</v>
      </c>
      <c r="F1600">
        <v>44.517024994000003</v>
      </c>
      <c r="G1600">
        <v>1374.5340576000001</v>
      </c>
      <c r="H1600">
        <v>1362.1751709</v>
      </c>
      <c r="I1600">
        <v>1288.5906981999999</v>
      </c>
      <c r="J1600">
        <v>1268.6018065999999</v>
      </c>
      <c r="K1600">
        <v>2200</v>
      </c>
      <c r="L1600">
        <v>0</v>
      </c>
      <c r="M1600">
        <v>0</v>
      </c>
      <c r="N1600">
        <v>2200</v>
      </c>
    </row>
    <row r="1601" spans="1:14" x14ac:dyDescent="0.25">
      <c r="A1601">
        <v>1266.362239</v>
      </c>
      <c r="B1601" s="1">
        <f>DATE(2013,10,18) + TIME(8,41,37)</f>
        <v>41565.362233796295</v>
      </c>
      <c r="C1601">
        <v>80</v>
      </c>
      <c r="D1601">
        <v>79.955299377000003</v>
      </c>
      <c r="E1601">
        <v>50</v>
      </c>
      <c r="F1601">
        <v>44.685722351000003</v>
      </c>
      <c r="G1601">
        <v>1374.4755858999999</v>
      </c>
      <c r="H1601">
        <v>1362.1229248</v>
      </c>
      <c r="I1601">
        <v>1288.5759277</v>
      </c>
      <c r="J1601">
        <v>1268.5856934000001</v>
      </c>
      <c r="K1601">
        <v>2200</v>
      </c>
      <c r="L1601">
        <v>0</v>
      </c>
      <c r="M1601">
        <v>0</v>
      </c>
      <c r="N1601">
        <v>2200</v>
      </c>
    </row>
    <row r="1602" spans="1:14" x14ac:dyDescent="0.25">
      <c r="A1602">
        <v>1269.0041920000001</v>
      </c>
      <c r="B1602" s="1">
        <f>DATE(2013,10,21) + TIME(0,6,2)</f>
        <v>41568.004189814812</v>
      </c>
      <c r="C1602">
        <v>80</v>
      </c>
      <c r="D1602">
        <v>79.955345154</v>
      </c>
      <c r="E1602">
        <v>50</v>
      </c>
      <c r="F1602">
        <v>44.869544982999997</v>
      </c>
      <c r="G1602">
        <v>1374.4171143000001</v>
      </c>
      <c r="H1602">
        <v>1362.0708007999999</v>
      </c>
      <c r="I1602">
        <v>1288.5651855000001</v>
      </c>
      <c r="J1602">
        <v>1268.5783690999999</v>
      </c>
      <c r="K1602">
        <v>2200</v>
      </c>
      <c r="L1602">
        <v>0</v>
      </c>
      <c r="M1602">
        <v>0</v>
      </c>
      <c r="N1602">
        <v>2200</v>
      </c>
    </row>
    <row r="1603" spans="1:14" x14ac:dyDescent="0.25">
      <c r="A1603">
        <v>1271.68461</v>
      </c>
      <c r="B1603" s="1">
        <f>DATE(2013,10,23) + TIME(16,25,50)</f>
        <v>41570.684606481482</v>
      </c>
      <c r="C1603">
        <v>80</v>
      </c>
      <c r="D1603">
        <v>79.955398560000006</v>
      </c>
      <c r="E1603">
        <v>50</v>
      </c>
      <c r="F1603">
        <v>45.067630768000001</v>
      </c>
      <c r="G1603">
        <v>1374.3587646000001</v>
      </c>
      <c r="H1603">
        <v>1362.0186768000001</v>
      </c>
      <c r="I1603">
        <v>1288.5582274999999</v>
      </c>
      <c r="J1603">
        <v>1268.5800781</v>
      </c>
      <c r="K1603">
        <v>2200</v>
      </c>
      <c r="L1603">
        <v>0</v>
      </c>
      <c r="M1603">
        <v>0</v>
      </c>
      <c r="N1603">
        <v>2200</v>
      </c>
    </row>
    <row r="1604" spans="1:14" x14ac:dyDescent="0.25">
      <c r="A1604">
        <v>1274.398085</v>
      </c>
      <c r="B1604" s="1">
        <f>DATE(2013,10,26) + TIME(9,33,14)</f>
        <v>41573.398078703707</v>
      </c>
      <c r="C1604">
        <v>80</v>
      </c>
      <c r="D1604">
        <v>79.955444335999999</v>
      </c>
      <c r="E1604">
        <v>50</v>
      </c>
      <c r="F1604">
        <v>45.279098511000001</v>
      </c>
      <c r="G1604">
        <v>1374.3004149999999</v>
      </c>
      <c r="H1604">
        <v>1361.9664307</v>
      </c>
      <c r="I1604">
        <v>1288.5552978999999</v>
      </c>
      <c r="J1604">
        <v>1268.5902100000001</v>
      </c>
      <c r="K1604">
        <v>2200</v>
      </c>
      <c r="L1604">
        <v>0</v>
      </c>
      <c r="M1604">
        <v>0</v>
      </c>
      <c r="N1604">
        <v>2200</v>
      </c>
    </row>
    <row r="1605" spans="1:14" x14ac:dyDescent="0.25">
      <c r="A1605">
        <v>1277.1587489999999</v>
      </c>
      <c r="B1605" s="1">
        <f>DATE(2013,10,29) + TIME(3,48,35)</f>
        <v>41576.158738425926</v>
      </c>
      <c r="C1605">
        <v>80</v>
      </c>
      <c r="D1605">
        <v>79.955490112000007</v>
      </c>
      <c r="E1605">
        <v>50</v>
      </c>
      <c r="F1605">
        <v>45.502838134999998</v>
      </c>
      <c r="G1605">
        <v>1374.2421875</v>
      </c>
      <c r="H1605">
        <v>1361.9144286999999</v>
      </c>
      <c r="I1605">
        <v>1288.5560303</v>
      </c>
      <c r="J1605">
        <v>1268.6085204999999</v>
      </c>
      <c r="K1605">
        <v>2200</v>
      </c>
      <c r="L1605">
        <v>0</v>
      </c>
      <c r="M1605">
        <v>0</v>
      </c>
      <c r="N1605">
        <v>2200</v>
      </c>
    </row>
    <row r="1606" spans="1:14" x14ac:dyDescent="0.25">
      <c r="A1606">
        <v>1278.579375</v>
      </c>
      <c r="B1606" s="1">
        <f>DATE(2013,10,30) + TIME(13,54,17)</f>
        <v>41577.579363425924</v>
      </c>
      <c r="C1606">
        <v>80</v>
      </c>
      <c r="D1606">
        <v>79.955512999999996</v>
      </c>
      <c r="E1606">
        <v>50</v>
      </c>
      <c r="F1606">
        <v>45.694087981999999</v>
      </c>
      <c r="G1606">
        <v>1374.1839600000001</v>
      </c>
      <c r="H1606">
        <v>1361.8623047000001</v>
      </c>
      <c r="I1606">
        <v>1288.5686035000001</v>
      </c>
      <c r="J1606">
        <v>1268.6333007999999</v>
      </c>
      <c r="K1606">
        <v>2200</v>
      </c>
      <c r="L1606">
        <v>0</v>
      </c>
      <c r="M1606">
        <v>0</v>
      </c>
      <c r="N1606">
        <v>2200</v>
      </c>
    </row>
    <row r="1607" spans="1:14" x14ac:dyDescent="0.25">
      <c r="A1607">
        <v>1280</v>
      </c>
      <c r="B1607" s="1">
        <f>DATE(2013,11,1) + TIME(0,0,0)</f>
        <v>41579</v>
      </c>
      <c r="C1607">
        <v>80</v>
      </c>
      <c r="D1607">
        <v>79.955535889000004</v>
      </c>
      <c r="E1607">
        <v>50</v>
      </c>
      <c r="F1607">
        <v>45.844310759999999</v>
      </c>
      <c r="G1607">
        <v>1374.1541748</v>
      </c>
      <c r="H1607">
        <v>1361.8354492000001</v>
      </c>
      <c r="I1607">
        <v>1288.5692139</v>
      </c>
      <c r="J1607">
        <v>1268.6541748</v>
      </c>
      <c r="K1607">
        <v>2200</v>
      </c>
      <c r="L1607">
        <v>0</v>
      </c>
      <c r="M1607">
        <v>0</v>
      </c>
      <c r="N1607">
        <v>2200</v>
      </c>
    </row>
    <row r="1608" spans="1:14" x14ac:dyDescent="0.25">
      <c r="A1608">
        <v>1280.0000010000001</v>
      </c>
      <c r="B1608" s="1">
        <f>DATE(2013,11,1) + TIME(0,0,0)</f>
        <v>41579</v>
      </c>
      <c r="C1608">
        <v>80</v>
      </c>
      <c r="D1608">
        <v>79.955421447999996</v>
      </c>
      <c r="E1608">
        <v>50</v>
      </c>
      <c r="F1608">
        <v>45.844421386999997</v>
      </c>
      <c r="G1608">
        <v>1361.0362548999999</v>
      </c>
      <c r="H1608">
        <v>1350.1503906</v>
      </c>
      <c r="I1608">
        <v>1309.3679199000001</v>
      </c>
      <c r="J1608">
        <v>1289.4199219</v>
      </c>
      <c r="K1608">
        <v>0</v>
      </c>
      <c r="L1608">
        <v>2200</v>
      </c>
      <c r="M1608">
        <v>2200</v>
      </c>
      <c r="N1608">
        <v>0</v>
      </c>
    </row>
    <row r="1609" spans="1:14" x14ac:dyDescent="0.25">
      <c r="A1609">
        <v>1280.000004</v>
      </c>
      <c r="B1609" s="1">
        <f>DATE(2013,11,1) + TIME(0,0,0)</f>
        <v>41579</v>
      </c>
      <c r="C1609">
        <v>80</v>
      </c>
      <c r="D1609">
        <v>79.955131531000006</v>
      </c>
      <c r="E1609">
        <v>50</v>
      </c>
      <c r="F1609">
        <v>45.844718933000003</v>
      </c>
      <c r="G1609">
        <v>1359.0173339999999</v>
      </c>
      <c r="H1609">
        <v>1348.1308594</v>
      </c>
      <c r="I1609">
        <v>1311.5584716999999</v>
      </c>
      <c r="J1609">
        <v>1291.7056885</v>
      </c>
      <c r="K1609">
        <v>0</v>
      </c>
      <c r="L1609">
        <v>2200</v>
      </c>
      <c r="M1609">
        <v>2200</v>
      </c>
      <c r="N1609">
        <v>0</v>
      </c>
    </row>
    <row r="1610" spans="1:14" x14ac:dyDescent="0.25">
      <c r="A1610">
        <v>1280.0000130000001</v>
      </c>
      <c r="B1610" s="1">
        <f>DATE(2013,11,1) + TIME(0,0,1)</f>
        <v>41579.000011574077</v>
      </c>
      <c r="C1610">
        <v>80</v>
      </c>
      <c r="D1610">
        <v>79.954551696999999</v>
      </c>
      <c r="E1610">
        <v>50</v>
      </c>
      <c r="F1610">
        <v>45.845409392999997</v>
      </c>
      <c r="G1610">
        <v>1354.9416504000001</v>
      </c>
      <c r="H1610">
        <v>1344.0548096</v>
      </c>
      <c r="I1610">
        <v>1316.6081543</v>
      </c>
      <c r="J1610">
        <v>1296.9140625</v>
      </c>
      <c r="K1610">
        <v>0</v>
      </c>
      <c r="L1610">
        <v>2200</v>
      </c>
      <c r="M1610">
        <v>2200</v>
      </c>
      <c r="N1610">
        <v>0</v>
      </c>
    </row>
    <row r="1611" spans="1:14" x14ac:dyDescent="0.25">
      <c r="A1611">
        <v>1280.0000399999999</v>
      </c>
      <c r="B1611" s="1">
        <f>DATE(2013,11,1) + TIME(0,0,3)</f>
        <v>41579.000034722223</v>
      </c>
      <c r="C1611">
        <v>80</v>
      </c>
      <c r="D1611">
        <v>79.953704834000007</v>
      </c>
      <c r="E1611">
        <v>50</v>
      </c>
      <c r="F1611">
        <v>45.846630095999998</v>
      </c>
      <c r="G1611">
        <v>1348.9871826000001</v>
      </c>
      <c r="H1611">
        <v>1338.1021728999999</v>
      </c>
      <c r="I1611">
        <v>1325.3609618999999</v>
      </c>
      <c r="J1611">
        <v>1305.7725829999999</v>
      </c>
      <c r="K1611">
        <v>0</v>
      </c>
      <c r="L1611">
        <v>2200</v>
      </c>
      <c r="M1611">
        <v>2200</v>
      </c>
      <c r="N1611">
        <v>0</v>
      </c>
    </row>
    <row r="1612" spans="1:14" x14ac:dyDescent="0.25">
      <c r="A1612">
        <v>1280.000121</v>
      </c>
      <c r="B1612" s="1">
        <f>DATE(2013,11,1) + TIME(0,0,10)</f>
        <v>41579.000115740739</v>
      </c>
      <c r="C1612">
        <v>80</v>
      </c>
      <c r="D1612">
        <v>79.952751160000005</v>
      </c>
      <c r="E1612">
        <v>50</v>
      </c>
      <c r="F1612">
        <v>45.848377227999997</v>
      </c>
      <c r="G1612">
        <v>1342.3605957</v>
      </c>
      <c r="H1612">
        <v>1331.4802245999999</v>
      </c>
      <c r="I1612">
        <v>1336.4266356999999</v>
      </c>
      <c r="J1612">
        <v>1316.8408202999999</v>
      </c>
      <c r="K1612">
        <v>0</v>
      </c>
      <c r="L1612">
        <v>2200</v>
      </c>
      <c r="M1612">
        <v>2200</v>
      </c>
      <c r="N1612">
        <v>0</v>
      </c>
    </row>
    <row r="1613" spans="1:14" x14ac:dyDescent="0.25">
      <c r="A1613">
        <v>1280.000364</v>
      </c>
      <c r="B1613" s="1">
        <f>DATE(2013,11,1) + TIME(0,0,31)</f>
        <v>41579.000358796293</v>
      </c>
      <c r="C1613">
        <v>80</v>
      </c>
      <c r="D1613">
        <v>79.951759338000002</v>
      </c>
      <c r="E1613">
        <v>50</v>
      </c>
      <c r="F1613">
        <v>45.850955962999997</v>
      </c>
      <c r="G1613">
        <v>1335.6973877</v>
      </c>
      <c r="H1613">
        <v>1324.8211670000001</v>
      </c>
      <c r="I1613">
        <v>1348.0699463000001</v>
      </c>
      <c r="J1613">
        <v>1328.4708252</v>
      </c>
      <c r="K1613">
        <v>0</v>
      </c>
      <c r="L1613">
        <v>2200</v>
      </c>
      <c r="M1613">
        <v>2200</v>
      </c>
      <c r="N1613">
        <v>0</v>
      </c>
    </row>
    <row r="1614" spans="1:14" x14ac:dyDescent="0.25">
      <c r="A1614">
        <v>1280.0010930000001</v>
      </c>
      <c r="B1614" s="1">
        <f>DATE(2013,11,1) + TIME(0,1,34)</f>
        <v>41579.001087962963</v>
      </c>
      <c r="C1614">
        <v>80</v>
      </c>
      <c r="D1614">
        <v>79.950668335000003</v>
      </c>
      <c r="E1614">
        <v>50</v>
      </c>
      <c r="F1614">
        <v>45.855838775999999</v>
      </c>
      <c r="G1614">
        <v>1328.9810791</v>
      </c>
      <c r="H1614">
        <v>1318.0737305</v>
      </c>
      <c r="I1614">
        <v>1359.9130858999999</v>
      </c>
      <c r="J1614">
        <v>1340.2884521000001</v>
      </c>
      <c r="K1614">
        <v>0</v>
      </c>
      <c r="L1614">
        <v>2200</v>
      </c>
      <c r="M1614">
        <v>2200</v>
      </c>
      <c r="N1614">
        <v>0</v>
      </c>
    </row>
    <row r="1615" spans="1:14" x14ac:dyDescent="0.25">
      <c r="A1615">
        <v>1280.0032799999999</v>
      </c>
      <c r="B1615" s="1">
        <f>DATE(2013,11,1) + TIME(0,4,43)</f>
        <v>41579.003275462965</v>
      </c>
      <c r="C1615">
        <v>80</v>
      </c>
      <c r="D1615">
        <v>79.949264525999993</v>
      </c>
      <c r="E1615">
        <v>50</v>
      </c>
      <c r="F1615">
        <v>45.867591857999997</v>
      </c>
      <c r="G1615">
        <v>1322.0384521000001</v>
      </c>
      <c r="H1615">
        <v>1311.0025635</v>
      </c>
      <c r="I1615">
        <v>1371.8427733999999</v>
      </c>
      <c r="J1615">
        <v>1352.1304932</v>
      </c>
      <c r="K1615">
        <v>0</v>
      </c>
      <c r="L1615">
        <v>2200</v>
      </c>
      <c r="M1615">
        <v>2200</v>
      </c>
      <c r="N1615">
        <v>0</v>
      </c>
    </row>
    <row r="1616" spans="1:14" x14ac:dyDescent="0.25">
      <c r="A1616">
        <v>1280.0098410000001</v>
      </c>
      <c r="B1616" s="1">
        <f>DATE(2013,11,1) + TIME(0,14,10)</f>
        <v>41579.009837962964</v>
      </c>
      <c r="C1616">
        <v>80</v>
      </c>
      <c r="D1616">
        <v>79.947036742999998</v>
      </c>
      <c r="E1616">
        <v>50</v>
      </c>
      <c r="F1616">
        <v>45.899765015</v>
      </c>
      <c r="G1616">
        <v>1315.2141113</v>
      </c>
      <c r="H1616">
        <v>1304.0255127</v>
      </c>
      <c r="I1616">
        <v>1382.6453856999999</v>
      </c>
      <c r="J1616">
        <v>1362.7930908000001</v>
      </c>
      <c r="K1616">
        <v>0</v>
      </c>
      <c r="L1616">
        <v>2200</v>
      </c>
      <c r="M1616">
        <v>2200</v>
      </c>
      <c r="N1616">
        <v>0</v>
      </c>
    </row>
    <row r="1617" spans="1:14" x14ac:dyDescent="0.25">
      <c r="A1617">
        <v>1280.029524</v>
      </c>
      <c r="B1617" s="1">
        <f>DATE(2013,11,1) + TIME(0,42,30)</f>
        <v>41579.029513888891</v>
      </c>
      <c r="C1617">
        <v>80</v>
      </c>
      <c r="D1617">
        <v>79.942527771000002</v>
      </c>
      <c r="E1617">
        <v>50</v>
      </c>
      <c r="F1617">
        <v>45.991703033</v>
      </c>
      <c r="G1617">
        <v>1309.8266602000001</v>
      </c>
      <c r="H1617">
        <v>1298.5650635</v>
      </c>
      <c r="I1617">
        <v>1390.0560303</v>
      </c>
      <c r="J1617">
        <v>1370.1124268000001</v>
      </c>
      <c r="K1617">
        <v>0</v>
      </c>
      <c r="L1617">
        <v>2200</v>
      </c>
      <c r="M1617">
        <v>2200</v>
      </c>
      <c r="N1617">
        <v>0</v>
      </c>
    </row>
    <row r="1618" spans="1:14" x14ac:dyDescent="0.25">
      <c r="A1618">
        <v>1280.088573</v>
      </c>
      <c r="B1618" s="1">
        <f>DATE(2013,11,1) + TIME(2,7,32)</f>
        <v>41579.088564814818</v>
      </c>
      <c r="C1618">
        <v>80</v>
      </c>
      <c r="D1618">
        <v>79.931404114000003</v>
      </c>
      <c r="E1618">
        <v>50</v>
      </c>
      <c r="F1618">
        <v>46.248065947999997</v>
      </c>
      <c r="G1618">
        <v>1307.1015625</v>
      </c>
      <c r="H1618">
        <v>1295.8206786999999</v>
      </c>
      <c r="I1618">
        <v>1392.9141846</v>
      </c>
      <c r="J1618">
        <v>1373.0175781</v>
      </c>
      <c r="K1618">
        <v>0</v>
      </c>
      <c r="L1618">
        <v>2200</v>
      </c>
      <c r="M1618">
        <v>2200</v>
      </c>
      <c r="N1618">
        <v>0</v>
      </c>
    </row>
    <row r="1619" spans="1:14" x14ac:dyDescent="0.25">
      <c r="A1619">
        <v>1280.1558010000001</v>
      </c>
      <c r="B1619" s="1">
        <f>DATE(2013,11,1) + TIME(3,44,21)</f>
        <v>41579.155798611115</v>
      </c>
      <c r="C1619">
        <v>80</v>
      </c>
      <c r="D1619">
        <v>79.919387817</v>
      </c>
      <c r="E1619">
        <v>50</v>
      </c>
      <c r="F1619">
        <v>46.518402100000003</v>
      </c>
      <c r="G1619">
        <v>1306.5007324000001</v>
      </c>
      <c r="H1619">
        <v>1295.2165527</v>
      </c>
      <c r="I1619">
        <v>1393.1838379000001</v>
      </c>
      <c r="J1619">
        <v>1373.3800048999999</v>
      </c>
      <c r="K1619">
        <v>0</v>
      </c>
      <c r="L1619">
        <v>2200</v>
      </c>
      <c r="M1619">
        <v>2200</v>
      </c>
      <c r="N1619">
        <v>0</v>
      </c>
    </row>
    <row r="1620" spans="1:14" x14ac:dyDescent="0.25">
      <c r="A1620">
        <v>1280.2265480000001</v>
      </c>
      <c r="B1620" s="1">
        <f>DATE(2013,11,1) + TIME(5,26,13)</f>
        <v>41579.226539351854</v>
      </c>
      <c r="C1620">
        <v>80</v>
      </c>
      <c r="D1620">
        <v>79.907081603999998</v>
      </c>
      <c r="E1620">
        <v>50</v>
      </c>
      <c r="F1620">
        <v>46.781089782999999</v>
      </c>
      <c r="G1620">
        <v>1306.3609618999999</v>
      </c>
      <c r="H1620">
        <v>1295.0758057</v>
      </c>
      <c r="I1620">
        <v>1393.0380858999999</v>
      </c>
      <c r="J1620">
        <v>1373.3310547000001</v>
      </c>
      <c r="K1620">
        <v>0</v>
      </c>
      <c r="L1620">
        <v>2200</v>
      </c>
      <c r="M1620">
        <v>2200</v>
      </c>
      <c r="N1620">
        <v>0</v>
      </c>
    </row>
    <row r="1621" spans="1:14" x14ac:dyDescent="0.25">
      <c r="A1621">
        <v>1280.3011919999999</v>
      </c>
      <c r="B1621" s="1">
        <f>DATE(2013,11,1) + TIME(7,13,42)</f>
        <v>41579.301180555558</v>
      </c>
      <c r="C1621">
        <v>80</v>
      </c>
      <c r="D1621">
        <v>79.894401549999998</v>
      </c>
      <c r="E1621">
        <v>50</v>
      </c>
      <c r="F1621">
        <v>47.035972594999997</v>
      </c>
      <c r="G1621">
        <v>1306.3232422000001</v>
      </c>
      <c r="H1621">
        <v>1295.0375977000001</v>
      </c>
      <c r="I1621">
        <v>1392.8428954999999</v>
      </c>
      <c r="J1621">
        <v>1373.2308350000001</v>
      </c>
      <c r="K1621">
        <v>0</v>
      </c>
      <c r="L1621">
        <v>2200</v>
      </c>
      <c r="M1621">
        <v>2200</v>
      </c>
      <c r="N1621">
        <v>0</v>
      </c>
    </row>
    <row r="1622" spans="1:14" x14ac:dyDescent="0.25">
      <c r="A1622">
        <v>1280.38024</v>
      </c>
      <c r="B1622" s="1">
        <f>DATE(2013,11,1) + TIME(9,7,32)</f>
        <v>41579.380231481482</v>
      </c>
      <c r="C1622">
        <v>80</v>
      </c>
      <c r="D1622">
        <v>79.881278992000006</v>
      </c>
      <c r="E1622">
        <v>50</v>
      </c>
      <c r="F1622">
        <v>47.283046722000002</v>
      </c>
      <c r="G1622">
        <v>1306.3106689000001</v>
      </c>
      <c r="H1622">
        <v>1295.0244141000001</v>
      </c>
      <c r="I1622">
        <v>1392.6502685999999</v>
      </c>
      <c r="J1622">
        <v>1373.1303711</v>
      </c>
      <c r="K1622">
        <v>0</v>
      </c>
      <c r="L1622">
        <v>2200</v>
      </c>
      <c r="M1622">
        <v>2200</v>
      </c>
      <c r="N1622">
        <v>0</v>
      </c>
    </row>
    <row r="1623" spans="1:14" x14ac:dyDescent="0.25">
      <c r="A1623">
        <v>1280.4643120000001</v>
      </c>
      <c r="B1623" s="1">
        <f>DATE(2013,11,1) + TIME(11,8,36)</f>
        <v>41579.464305555557</v>
      </c>
      <c r="C1623">
        <v>80</v>
      </c>
      <c r="D1623">
        <v>79.867637634000005</v>
      </c>
      <c r="E1623">
        <v>50</v>
      </c>
      <c r="F1623">
        <v>47.522304535000004</v>
      </c>
      <c r="G1623">
        <v>1306.3045654</v>
      </c>
      <c r="H1623">
        <v>1295.0178223</v>
      </c>
      <c r="I1623">
        <v>1392.4647216999999</v>
      </c>
      <c r="J1623">
        <v>1373.0338135</v>
      </c>
      <c r="K1623">
        <v>0</v>
      </c>
      <c r="L1623">
        <v>2200</v>
      </c>
      <c r="M1623">
        <v>2200</v>
      </c>
      <c r="N1623">
        <v>0</v>
      </c>
    </row>
    <row r="1624" spans="1:14" x14ac:dyDescent="0.25">
      <c r="A1624">
        <v>1280.5541659999999</v>
      </c>
      <c r="B1624" s="1">
        <f>DATE(2013,11,1) + TIME(13,17,59)</f>
        <v>41579.554155092592</v>
      </c>
      <c r="C1624">
        <v>80</v>
      </c>
      <c r="D1624">
        <v>79.853401184000006</v>
      </c>
      <c r="E1624">
        <v>50</v>
      </c>
      <c r="F1624">
        <v>47.753707886000001</v>
      </c>
      <c r="G1624">
        <v>1306.3001709</v>
      </c>
      <c r="H1624">
        <v>1295.0129394999999</v>
      </c>
      <c r="I1624">
        <v>1392.2850341999999</v>
      </c>
      <c r="J1624">
        <v>1372.9401855000001</v>
      </c>
      <c r="K1624">
        <v>0</v>
      </c>
      <c r="L1624">
        <v>2200</v>
      </c>
      <c r="M1624">
        <v>2200</v>
      </c>
      <c r="N1624">
        <v>0</v>
      </c>
    </row>
    <row r="1625" spans="1:14" x14ac:dyDescent="0.25">
      <c r="A1625">
        <v>1280.650731</v>
      </c>
      <c r="B1625" s="1">
        <f>DATE(2013,11,1) + TIME(15,37,3)</f>
        <v>41579.650729166664</v>
      </c>
      <c r="C1625">
        <v>80</v>
      </c>
      <c r="D1625">
        <v>79.838462829999997</v>
      </c>
      <c r="E1625">
        <v>50</v>
      </c>
      <c r="F1625">
        <v>47.977180480999998</v>
      </c>
      <c r="G1625">
        <v>1306.2961425999999</v>
      </c>
      <c r="H1625">
        <v>1295.0084228999999</v>
      </c>
      <c r="I1625">
        <v>1392.1102295000001</v>
      </c>
      <c r="J1625">
        <v>1372.8485106999999</v>
      </c>
      <c r="K1625">
        <v>0</v>
      </c>
      <c r="L1625">
        <v>2200</v>
      </c>
      <c r="M1625">
        <v>2200</v>
      </c>
      <c r="N1625">
        <v>0</v>
      </c>
    </row>
    <row r="1626" spans="1:14" x14ac:dyDescent="0.25">
      <c r="A1626">
        <v>1280.7551719999999</v>
      </c>
      <c r="B1626" s="1">
        <f>DATE(2013,11,1) + TIME(18,7,26)</f>
        <v>41579.755162037036</v>
      </c>
      <c r="C1626">
        <v>80</v>
      </c>
      <c r="D1626">
        <v>79.822700499999996</v>
      </c>
      <c r="E1626">
        <v>50</v>
      </c>
      <c r="F1626">
        <v>48.192600249999998</v>
      </c>
      <c r="G1626">
        <v>1306.2921143000001</v>
      </c>
      <c r="H1626">
        <v>1295.0037841999999</v>
      </c>
      <c r="I1626">
        <v>1391.9398193</v>
      </c>
      <c r="J1626">
        <v>1372.7584228999999</v>
      </c>
      <c r="K1626">
        <v>0</v>
      </c>
      <c r="L1626">
        <v>2200</v>
      </c>
      <c r="M1626">
        <v>2200</v>
      </c>
      <c r="N1626">
        <v>0</v>
      </c>
    </row>
    <row r="1627" spans="1:14" x14ac:dyDescent="0.25">
      <c r="A1627">
        <v>1280.86895</v>
      </c>
      <c r="B1627" s="1">
        <f>DATE(2013,11,1) + TIME(20,51,17)</f>
        <v>41579.868946759256</v>
      </c>
      <c r="C1627">
        <v>80</v>
      </c>
      <c r="D1627">
        <v>79.805969238000003</v>
      </c>
      <c r="E1627">
        <v>50</v>
      </c>
      <c r="F1627">
        <v>48.399765015</v>
      </c>
      <c r="G1627">
        <v>1306.2877197</v>
      </c>
      <c r="H1627">
        <v>1294.9987793</v>
      </c>
      <c r="I1627">
        <v>1391.7735596</v>
      </c>
      <c r="J1627">
        <v>1372.6696777</v>
      </c>
      <c r="K1627">
        <v>0</v>
      </c>
      <c r="L1627">
        <v>2200</v>
      </c>
      <c r="M1627">
        <v>2200</v>
      </c>
      <c r="N1627">
        <v>0</v>
      </c>
    </row>
    <row r="1628" spans="1:14" x14ac:dyDescent="0.25">
      <c r="A1628">
        <v>1280.993972</v>
      </c>
      <c r="B1628" s="1">
        <f>DATE(2013,11,1) + TIME(23,51,19)</f>
        <v>41579.993969907409</v>
      </c>
      <c r="C1628">
        <v>80</v>
      </c>
      <c r="D1628">
        <v>79.788063049000002</v>
      </c>
      <c r="E1628">
        <v>50</v>
      </c>
      <c r="F1628">
        <v>48.598426818999997</v>
      </c>
      <c r="G1628">
        <v>1306.2829589999999</v>
      </c>
      <c r="H1628">
        <v>1294.9934082</v>
      </c>
      <c r="I1628">
        <v>1391.6112060999999</v>
      </c>
      <c r="J1628">
        <v>1372.5819091999999</v>
      </c>
      <c r="K1628">
        <v>0</v>
      </c>
      <c r="L1628">
        <v>2200</v>
      </c>
      <c r="M1628">
        <v>2200</v>
      </c>
      <c r="N1628">
        <v>0</v>
      </c>
    </row>
    <row r="1629" spans="1:14" x14ac:dyDescent="0.25">
      <c r="A1629">
        <v>1281.1327799999999</v>
      </c>
      <c r="B1629" s="1">
        <f>DATE(2013,11,2) + TIME(3,11,12)</f>
        <v>41580.132777777777</v>
      </c>
      <c r="C1629">
        <v>80</v>
      </c>
      <c r="D1629">
        <v>79.768730164000004</v>
      </c>
      <c r="E1629">
        <v>50</v>
      </c>
      <c r="F1629">
        <v>48.788276672000002</v>
      </c>
      <c r="G1629">
        <v>1306.277832</v>
      </c>
      <c r="H1629">
        <v>1294.9874268000001</v>
      </c>
      <c r="I1629">
        <v>1391.4523925999999</v>
      </c>
      <c r="J1629">
        <v>1372.4949951000001</v>
      </c>
      <c r="K1629">
        <v>0</v>
      </c>
      <c r="L1629">
        <v>2200</v>
      </c>
      <c r="M1629">
        <v>2200</v>
      </c>
      <c r="N1629">
        <v>0</v>
      </c>
    </row>
    <row r="1630" spans="1:14" x14ac:dyDescent="0.25">
      <c r="A1630">
        <v>1281.2888129999999</v>
      </c>
      <c r="B1630" s="1">
        <f>DATE(2013,11,2) + TIME(6,55,53)</f>
        <v>41580.288807870369</v>
      </c>
      <c r="C1630">
        <v>80</v>
      </c>
      <c r="D1630">
        <v>79.747642517000003</v>
      </c>
      <c r="E1630">
        <v>50</v>
      </c>
      <c r="F1630">
        <v>48.968868256</v>
      </c>
      <c r="G1630">
        <v>1306.2720947</v>
      </c>
      <c r="H1630">
        <v>1294.980957</v>
      </c>
      <c r="I1630">
        <v>1391.296875</v>
      </c>
      <c r="J1630">
        <v>1372.4086914</v>
      </c>
      <c r="K1630">
        <v>0</v>
      </c>
      <c r="L1630">
        <v>2200</v>
      </c>
      <c r="M1630">
        <v>2200</v>
      </c>
      <c r="N1630">
        <v>0</v>
      </c>
    </row>
    <row r="1631" spans="1:14" x14ac:dyDescent="0.25">
      <c r="A1631">
        <v>1281.4668979999999</v>
      </c>
      <c r="B1631" s="1">
        <f>DATE(2013,11,2) + TIME(11,12,19)</f>
        <v>41580.466886574075</v>
      </c>
      <c r="C1631">
        <v>80</v>
      </c>
      <c r="D1631">
        <v>79.724327087000006</v>
      </c>
      <c r="E1631">
        <v>50</v>
      </c>
      <c r="F1631">
        <v>49.139606475999997</v>
      </c>
      <c r="G1631">
        <v>1306.2658690999999</v>
      </c>
      <c r="H1631">
        <v>1294.9737548999999</v>
      </c>
      <c r="I1631">
        <v>1391.1445312000001</v>
      </c>
      <c r="J1631">
        <v>1372.3226318</v>
      </c>
      <c r="K1631">
        <v>0</v>
      </c>
      <c r="L1631">
        <v>2200</v>
      </c>
      <c r="M1631">
        <v>2200</v>
      </c>
      <c r="N1631">
        <v>0</v>
      </c>
    </row>
    <row r="1632" spans="1:14" x14ac:dyDescent="0.25">
      <c r="A1632">
        <v>1281.6740729999999</v>
      </c>
      <c r="B1632" s="1">
        <f>DATE(2013,11,2) + TIME(16,10,39)</f>
        <v>41580.674062500002</v>
      </c>
      <c r="C1632">
        <v>80</v>
      </c>
      <c r="D1632">
        <v>79.698150635000005</v>
      </c>
      <c r="E1632">
        <v>50</v>
      </c>
      <c r="F1632">
        <v>49.299690247000001</v>
      </c>
      <c r="G1632">
        <v>1306.2586670000001</v>
      </c>
      <c r="H1632">
        <v>1294.9655762</v>
      </c>
      <c r="I1632">
        <v>1390.9948730000001</v>
      </c>
      <c r="J1632">
        <v>1372.2365723</v>
      </c>
      <c r="K1632">
        <v>0</v>
      </c>
      <c r="L1632">
        <v>2200</v>
      </c>
      <c r="M1632">
        <v>2200</v>
      </c>
      <c r="N1632">
        <v>0</v>
      </c>
    </row>
    <row r="1633" spans="1:14" x14ac:dyDescent="0.25">
      <c r="A1633">
        <v>1281.921098</v>
      </c>
      <c r="B1633" s="1">
        <f>DATE(2013,11,2) + TIME(22,6,22)</f>
        <v>41580.921087962961</v>
      </c>
      <c r="C1633">
        <v>80</v>
      </c>
      <c r="D1633">
        <v>79.668167113999999</v>
      </c>
      <c r="E1633">
        <v>50</v>
      </c>
      <c r="F1633">
        <v>49.448043822999999</v>
      </c>
      <c r="G1633">
        <v>1306.2504882999999</v>
      </c>
      <c r="H1633">
        <v>1294.9561768000001</v>
      </c>
      <c r="I1633">
        <v>1390.8475341999999</v>
      </c>
      <c r="J1633">
        <v>1372.1497803</v>
      </c>
      <c r="K1633">
        <v>0</v>
      </c>
      <c r="L1633">
        <v>2200</v>
      </c>
      <c r="M1633">
        <v>2200</v>
      </c>
      <c r="N1633">
        <v>0</v>
      </c>
    </row>
    <row r="1634" spans="1:14" x14ac:dyDescent="0.25">
      <c r="A1634">
        <v>1282.1708329999999</v>
      </c>
      <c r="B1634" s="1">
        <f>DATE(2013,11,3) + TIME(4,5,59)</f>
        <v>41581.17082175926</v>
      </c>
      <c r="C1634">
        <v>80</v>
      </c>
      <c r="D1634">
        <v>79.637901306000003</v>
      </c>
      <c r="E1634">
        <v>50</v>
      </c>
      <c r="F1634">
        <v>49.564373015999998</v>
      </c>
      <c r="G1634">
        <v>1306.2406006000001</v>
      </c>
      <c r="H1634">
        <v>1294.9451904</v>
      </c>
      <c r="I1634">
        <v>1390.7197266000001</v>
      </c>
      <c r="J1634">
        <v>1372.0711670000001</v>
      </c>
      <c r="K1634">
        <v>0</v>
      </c>
      <c r="L1634">
        <v>2200</v>
      </c>
      <c r="M1634">
        <v>2200</v>
      </c>
      <c r="N1634">
        <v>0</v>
      </c>
    </row>
    <row r="1635" spans="1:14" x14ac:dyDescent="0.25">
      <c r="A1635">
        <v>1282.4263980000001</v>
      </c>
      <c r="B1635" s="1">
        <f>DATE(2013,11,3) + TIME(10,14,0)</f>
        <v>41581.426388888889</v>
      </c>
      <c r="C1635">
        <v>80</v>
      </c>
      <c r="D1635">
        <v>79.607093810999999</v>
      </c>
      <c r="E1635">
        <v>50</v>
      </c>
      <c r="F1635">
        <v>49.656265259000001</v>
      </c>
      <c r="G1635">
        <v>1306.2305908000001</v>
      </c>
      <c r="H1635">
        <v>1294.934082</v>
      </c>
      <c r="I1635">
        <v>1390.6090088000001</v>
      </c>
      <c r="J1635">
        <v>1372.0012207</v>
      </c>
      <c r="K1635">
        <v>0</v>
      </c>
      <c r="L1635">
        <v>2200</v>
      </c>
      <c r="M1635">
        <v>2200</v>
      </c>
      <c r="N1635">
        <v>0</v>
      </c>
    </row>
    <row r="1636" spans="1:14" x14ac:dyDescent="0.25">
      <c r="A1636">
        <v>1282.690918</v>
      </c>
      <c r="B1636" s="1">
        <f>DATE(2013,11,3) + TIME(16,34,55)</f>
        <v>41581.69091435185</v>
      </c>
      <c r="C1636">
        <v>80</v>
      </c>
      <c r="D1636">
        <v>79.575500488000003</v>
      </c>
      <c r="E1636">
        <v>50</v>
      </c>
      <c r="F1636">
        <v>49.729129790999998</v>
      </c>
      <c r="G1636">
        <v>1306.2205810999999</v>
      </c>
      <c r="H1636">
        <v>1294.9228516000001</v>
      </c>
      <c r="I1636">
        <v>1390.5118408000001</v>
      </c>
      <c r="J1636">
        <v>1371.9382324000001</v>
      </c>
      <c r="K1636">
        <v>0</v>
      </c>
      <c r="L1636">
        <v>2200</v>
      </c>
      <c r="M1636">
        <v>2200</v>
      </c>
      <c r="N1636">
        <v>0</v>
      </c>
    </row>
    <row r="1637" spans="1:14" x14ac:dyDescent="0.25">
      <c r="A1637">
        <v>1282.96758</v>
      </c>
      <c r="B1637" s="1">
        <f>DATE(2013,11,3) + TIME(23,13,18)</f>
        <v>41581.967569444445</v>
      </c>
      <c r="C1637">
        <v>80</v>
      </c>
      <c r="D1637">
        <v>79.542831421000002</v>
      </c>
      <c r="E1637">
        <v>50</v>
      </c>
      <c r="F1637">
        <v>49.786930083999998</v>
      </c>
      <c r="G1637">
        <v>1306.2102050999999</v>
      </c>
      <c r="H1637">
        <v>1294.9111327999999</v>
      </c>
      <c r="I1637">
        <v>1390.4251709</v>
      </c>
      <c r="J1637">
        <v>1371.8806152</v>
      </c>
      <c r="K1637">
        <v>0</v>
      </c>
      <c r="L1637">
        <v>2200</v>
      </c>
      <c r="M1637">
        <v>2200</v>
      </c>
      <c r="N1637">
        <v>0</v>
      </c>
    </row>
    <row r="1638" spans="1:14" x14ac:dyDescent="0.25">
      <c r="A1638">
        <v>1283.2599</v>
      </c>
      <c r="B1638" s="1">
        <f>DATE(2013,11,4) + TIME(6,14,15)</f>
        <v>41582.259895833333</v>
      </c>
      <c r="C1638">
        <v>80</v>
      </c>
      <c r="D1638">
        <v>79.508789062000005</v>
      </c>
      <c r="E1638">
        <v>50</v>
      </c>
      <c r="F1638">
        <v>49.832653045999997</v>
      </c>
      <c r="G1638">
        <v>1306.1994629000001</v>
      </c>
      <c r="H1638">
        <v>1294.8990478999999</v>
      </c>
      <c r="I1638">
        <v>1390.3468018000001</v>
      </c>
      <c r="J1638">
        <v>1371.8271483999999</v>
      </c>
      <c r="K1638">
        <v>0</v>
      </c>
      <c r="L1638">
        <v>2200</v>
      </c>
      <c r="M1638">
        <v>2200</v>
      </c>
      <c r="N1638">
        <v>0</v>
      </c>
    </row>
    <row r="1639" spans="1:14" x14ac:dyDescent="0.25">
      <c r="A1639">
        <v>1283.5719300000001</v>
      </c>
      <c r="B1639" s="1">
        <f>DATE(2013,11,4) + TIME(13,43,34)</f>
        <v>41582.571921296294</v>
      </c>
      <c r="C1639">
        <v>80</v>
      </c>
      <c r="D1639">
        <v>79.473007202000005</v>
      </c>
      <c r="E1639">
        <v>50</v>
      </c>
      <c r="F1639">
        <v>49.868618011000002</v>
      </c>
      <c r="G1639">
        <v>1306.1882324000001</v>
      </c>
      <c r="H1639">
        <v>1294.8863524999999</v>
      </c>
      <c r="I1639">
        <v>1390.2750243999999</v>
      </c>
      <c r="J1639">
        <v>1371.7768555</v>
      </c>
      <c r="K1639">
        <v>0</v>
      </c>
      <c r="L1639">
        <v>2200</v>
      </c>
      <c r="M1639">
        <v>2200</v>
      </c>
      <c r="N1639">
        <v>0</v>
      </c>
    </row>
    <row r="1640" spans="1:14" x14ac:dyDescent="0.25">
      <c r="A1640">
        <v>1283.908711</v>
      </c>
      <c r="B1640" s="1">
        <f>DATE(2013,11,4) + TIME(21,48,32)</f>
        <v>41582.908703703702</v>
      </c>
      <c r="C1640">
        <v>80</v>
      </c>
      <c r="D1640">
        <v>79.435058593999997</v>
      </c>
      <c r="E1640">
        <v>50</v>
      </c>
      <c r="F1640">
        <v>49.896663666000002</v>
      </c>
      <c r="G1640">
        <v>1306.1762695</v>
      </c>
      <c r="H1640">
        <v>1294.8728027</v>
      </c>
      <c r="I1640">
        <v>1390.2081298999999</v>
      </c>
      <c r="J1640">
        <v>1371.7288818</v>
      </c>
      <c r="K1640">
        <v>0</v>
      </c>
      <c r="L1640">
        <v>2200</v>
      </c>
      <c r="M1640">
        <v>2200</v>
      </c>
      <c r="N1640">
        <v>0</v>
      </c>
    </row>
    <row r="1641" spans="1:14" x14ac:dyDescent="0.25">
      <c r="A1641">
        <v>1284.2687020000001</v>
      </c>
      <c r="B1641" s="1">
        <f>DATE(2013,11,5) + TIME(6,26,55)</f>
        <v>41583.268692129626</v>
      </c>
      <c r="C1641">
        <v>80</v>
      </c>
      <c r="D1641">
        <v>79.395034789999997</v>
      </c>
      <c r="E1641">
        <v>50</v>
      </c>
      <c r="F1641">
        <v>49.917953490999999</v>
      </c>
      <c r="G1641">
        <v>1306.1634521000001</v>
      </c>
      <c r="H1641">
        <v>1294.8582764</v>
      </c>
      <c r="I1641">
        <v>1390.1452637</v>
      </c>
      <c r="J1641">
        <v>1371.6827393000001</v>
      </c>
      <c r="K1641">
        <v>0</v>
      </c>
      <c r="L1641">
        <v>2200</v>
      </c>
      <c r="M1641">
        <v>2200</v>
      </c>
      <c r="N1641">
        <v>0</v>
      </c>
    </row>
    <row r="1642" spans="1:14" x14ac:dyDescent="0.25">
      <c r="A1642">
        <v>1284.657541</v>
      </c>
      <c r="B1642" s="1">
        <f>DATE(2013,11,5) + TIME(15,46,51)</f>
        <v>41583.657534722224</v>
      </c>
      <c r="C1642">
        <v>80</v>
      </c>
      <c r="D1642">
        <v>79.352493285999998</v>
      </c>
      <c r="E1642">
        <v>50</v>
      </c>
      <c r="F1642">
        <v>49.933944701999998</v>
      </c>
      <c r="G1642">
        <v>1306.1497803</v>
      </c>
      <c r="H1642">
        <v>1294.8428954999999</v>
      </c>
      <c r="I1642">
        <v>1390.0858154</v>
      </c>
      <c r="J1642">
        <v>1371.6383057</v>
      </c>
      <c r="K1642">
        <v>0</v>
      </c>
      <c r="L1642">
        <v>2200</v>
      </c>
      <c r="M1642">
        <v>2200</v>
      </c>
      <c r="N1642">
        <v>0</v>
      </c>
    </row>
    <row r="1643" spans="1:14" x14ac:dyDescent="0.25">
      <c r="A1643">
        <v>1285.081987</v>
      </c>
      <c r="B1643" s="1">
        <f>DATE(2013,11,6) + TIME(1,58,3)</f>
        <v>41584.081979166665</v>
      </c>
      <c r="C1643">
        <v>80</v>
      </c>
      <c r="D1643">
        <v>79.306892395000006</v>
      </c>
      <c r="E1643">
        <v>50</v>
      </c>
      <c r="F1643">
        <v>49.945781707999998</v>
      </c>
      <c r="G1643">
        <v>1306.1350098</v>
      </c>
      <c r="H1643">
        <v>1294.8262939000001</v>
      </c>
      <c r="I1643">
        <v>1390.0288086</v>
      </c>
      <c r="J1643">
        <v>1371.5949707</v>
      </c>
      <c r="K1643">
        <v>0</v>
      </c>
      <c r="L1643">
        <v>2200</v>
      </c>
      <c r="M1643">
        <v>2200</v>
      </c>
      <c r="N1643">
        <v>0</v>
      </c>
    </row>
    <row r="1644" spans="1:14" x14ac:dyDescent="0.25">
      <c r="A1644">
        <v>1285.5508520000001</v>
      </c>
      <c r="B1644" s="1">
        <f>DATE(2013,11,6) + TIME(13,13,13)</f>
        <v>41584.550844907404</v>
      </c>
      <c r="C1644">
        <v>80</v>
      </c>
      <c r="D1644">
        <v>79.257537842000005</v>
      </c>
      <c r="E1644">
        <v>50</v>
      </c>
      <c r="F1644">
        <v>49.954399109000001</v>
      </c>
      <c r="G1644">
        <v>1306.1191406</v>
      </c>
      <c r="H1644">
        <v>1294.8081055</v>
      </c>
      <c r="I1644">
        <v>1389.9730225000001</v>
      </c>
      <c r="J1644">
        <v>1371.5518798999999</v>
      </c>
      <c r="K1644">
        <v>0</v>
      </c>
      <c r="L1644">
        <v>2200</v>
      </c>
      <c r="M1644">
        <v>2200</v>
      </c>
      <c r="N1644">
        <v>0</v>
      </c>
    </row>
    <row r="1645" spans="1:14" x14ac:dyDescent="0.25">
      <c r="A1645">
        <v>1286.076061</v>
      </c>
      <c r="B1645" s="1">
        <f>DATE(2013,11,7) + TIME(1,49,31)</f>
        <v>41585.076053240744</v>
      </c>
      <c r="C1645">
        <v>80</v>
      </c>
      <c r="D1645">
        <v>79.203536987000007</v>
      </c>
      <c r="E1645">
        <v>50</v>
      </c>
      <c r="F1645">
        <v>49.960540770999998</v>
      </c>
      <c r="G1645">
        <v>1306.1015625</v>
      </c>
      <c r="H1645">
        <v>1294.7882079999999</v>
      </c>
      <c r="I1645">
        <v>1389.9176024999999</v>
      </c>
      <c r="J1645">
        <v>1371.5086670000001</v>
      </c>
      <c r="K1645">
        <v>0</v>
      </c>
      <c r="L1645">
        <v>2200</v>
      </c>
      <c r="M1645">
        <v>2200</v>
      </c>
      <c r="N1645">
        <v>0</v>
      </c>
    </row>
    <row r="1646" spans="1:14" x14ac:dyDescent="0.25">
      <c r="A1646">
        <v>1286.615753</v>
      </c>
      <c r="B1646" s="1">
        <f>DATE(2013,11,7) + TIME(14,46,41)</f>
        <v>41585.615752314814</v>
      </c>
      <c r="C1646">
        <v>80</v>
      </c>
      <c r="D1646">
        <v>79.147346497000001</v>
      </c>
      <c r="E1646">
        <v>50</v>
      </c>
      <c r="F1646">
        <v>49.964550017999997</v>
      </c>
      <c r="G1646">
        <v>1306.0817870999999</v>
      </c>
      <c r="H1646">
        <v>1294.7661132999999</v>
      </c>
      <c r="I1646">
        <v>1389.8618164</v>
      </c>
      <c r="J1646">
        <v>1371.4647216999999</v>
      </c>
      <c r="K1646">
        <v>0</v>
      </c>
      <c r="L1646">
        <v>2200</v>
      </c>
      <c r="M1646">
        <v>2200</v>
      </c>
      <c r="N1646">
        <v>0</v>
      </c>
    </row>
    <row r="1647" spans="1:14" x14ac:dyDescent="0.25">
      <c r="A1647">
        <v>1287.1622440000001</v>
      </c>
      <c r="B1647" s="1">
        <f>DATE(2013,11,8) + TIME(3,53,37)</f>
        <v>41586.162233796298</v>
      </c>
      <c r="C1647">
        <v>80</v>
      </c>
      <c r="D1647">
        <v>79.089935303000004</v>
      </c>
      <c r="E1647">
        <v>50</v>
      </c>
      <c r="F1647">
        <v>49.967132567999997</v>
      </c>
      <c r="G1647">
        <v>1306.0614014</v>
      </c>
      <c r="H1647">
        <v>1294.7432861</v>
      </c>
      <c r="I1647">
        <v>1389.8094481999999</v>
      </c>
      <c r="J1647">
        <v>1371.4233397999999</v>
      </c>
      <c r="K1647">
        <v>0</v>
      </c>
      <c r="L1647">
        <v>2200</v>
      </c>
      <c r="M1647">
        <v>2200</v>
      </c>
      <c r="N1647">
        <v>0</v>
      </c>
    </row>
    <row r="1648" spans="1:14" x14ac:dyDescent="0.25">
      <c r="A1648">
        <v>1287.7226439999999</v>
      </c>
      <c r="B1648" s="1">
        <f>DATE(2013,11,8) + TIME(17,20,36)</f>
        <v>41586.722638888888</v>
      </c>
      <c r="C1648">
        <v>80</v>
      </c>
      <c r="D1648">
        <v>79.03125</v>
      </c>
      <c r="E1648">
        <v>50</v>
      </c>
      <c r="F1648">
        <v>49.968826294000003</v>
      </c>
      <c r="G1648">
        <v>1306.0410156</v>
      </c>
      <c r="H1648">
        <v>1294.7202147999999</v>
      </c>
      <c r="I1648">
        <v>1389.7606201000001</v>
      </c>
      <c r="J1648">
        <v>1371.3847656</v>
      </c>
      <c r="K1648">
        <v>0</v>
      </c>
      <c r="L1648">
        <v>2200</v>
      </c>
      <c r="M1648">
        <v>2200</v>
      </c>
      <c r="N1648">
        <v>0</v>
      </c>
    </row>
    <row r="1649" spans="1:14" x14ac:dyDescent="0.25">
      <c r="A1649">
        <v>1288.3036420000001</v>
      </c>
      <c r="B1649" s="1">
        <f>DATE(2013,11,9) + TIME(7,17,14)</f>
        <v>41587.30363425926</v>
      </c>
      <c r="C1649">
        <v>80</v>
      </c>
      <c r="D1649">
        <v>78.971046447999996</v>
      </c>
      <c r="E1649">
        <v>50</v>
      </c>
      <c r="F1649">
        <v>49.969947814999998</v>
      </c>
      <c r="G1649">
        <v>1306.0200195</v>
      </c>
      <c r="H1649">
        <v>1294.6965332</v>
      </c>
      <c r="I1649">
        <v>1389.7143555</v>
      </c>
      <c r="J1649">
        <v>1371.3481445</v>
      </c>
      <c r="K1649">
        <v>0</v>
      </c>
      <c r="L1649">
        <v>2200</v>
      </c>
      <c r="M1649">
        <v>2200</v>
      </c>
      <c r="N1649">
        <v>0</v>
      </c>
    </row>
    <row r="1650" spans="1:14" x14ac:dyDescent="0.25">
      <c r="A1650">
        <v>1288.912202</v>
      </c>
      <c r="B1650" s="1">
        <f>DATE(2013,11,9) + TIME(21,53,34)</f>
        <v>41587.912199074075</v>
      </c>
      <c r="C1650">
        <v>80</v>
      </c>
      <c r="D1650">
        <v>78.908905028999996</v>
      </c>
      <c r="E1650">
        <v>50</v>
      </c>
      <c r="F1650">
        <v>49.970699310000001</v>
      </c>
      <c r="G1650">
        <v>1305.9984131000001</v>
      </c>
      <c r="H1650">
        <v>1294.671875</v>
      </c>
      <c r="I1650">
        <v>1389.6696777</v>
      </c>
      <c r="J1650">
        <v>1371.3127440999999</v>
      </c>
      <c r="K1650">
        <v>0</v>
      </c>
      <c r="L1650">
        <v>2200</v>
      </c>
      <c r="M1650">
        <v>2200</v>
      </c>
      <c r="N1650">
        <v>0</v>
      </c>
    </row>
    <row r="1651" spans="1:14" x14ac:dyDescent="0.25">
      <c r="A1651">
        <v>1289.556104</v>
      </c>
      <c r="B1651" s="1">
        <f>DATE(2013,11,10) + TIME(13,20,47)</f>
        <v>41588.55609953704</v>
      </c>
      <c r="C1651">
        <v>80</v>
      </c>
      <c r="D1651">
        <v>78.844306946000003</v>
      </c>
      <c r="E1651">
        <v>50</v>
      </c>
      <c r="F1651">
        <v>49.971210480000003</v>
      </c>
      <c r="G1651">
        <v>1305.9758300999999</v>
      </c>
      <c r="H1651">
        <v>1294.6461182</v>
      </c>
      <c r="I1651">
        <v>1389.6259766000001</v>
      </c>
      <c r="J1651">
        <v>1371.2783202999999</v>
      </c>
      <c r="K1651">
        <v>0</v>
      </c>
      <c r="L1651">
        <v>2200</v>
      </c>
      <c r="M1651">
        <v>2200</v>
      </c>
      <c r="N1651">
        <v>0</v>
      </c>
    </row>
    <row r="1652" spans="1:14" x14ac:dyDescent="0.25">
      <c r="A1652">
        <v>1290.24469</v>
      </c>
      <c r="B1652" s="1">
        <f>DATE(2013,11,11) + TIME(5,52,21)</f>
        <v>41589.244687500002</v>
      </c>
      <c r="C1652">
        <v>80</v>
      </c>
      <c r="D1652">
        <v>78.776588439999998</v>
      </c>
      <c r="E1652">
        <v>50</v>
      </c>
      <c r="F1652">
        <v>49.971561432000001</v>
      </c>
      <c r="G1652">
        <v>1305.9519043</v>
      </c>
      <c r="H1652">
        <v>1294.6188964999999</v>
      </c>
      <c r="I1652">
        <v>1389.5828856999999</v>
      </c>
      <c r="J1652">
        <v>1371.2443848</v>
      </c>
      <c r="K1652">
        <v>0</v>
      </c>
      <c r="L1652">
        <v>2200</v>
      </c>
      <c r="M1652">
        <v>2200</v>
      </c>
      <c r="N1652">
        <v>0</v>
      </c>
    </row>
    <row r="1653" spans="1:14" x14ac:dyDescent="0.25">
      <c r="A1653">
        <v>1290.989787</v>
      </c>
      <c r="B1653" s="1">
        <f>DATE(2013,11,11) + TIME(23,45,17)</f>
        <v>41589.98978009259</v>
      </c>
      <c r="C1653">
        <v>80</v>
      </c>
      <c r="D1653">
        <v>78.704910278</v>
      </c>
      <c r="E1653">
        <v>50</v>
      </c>
      <c r="F1653">
        <v>49.971805572999997</v>
      </c>
      <c r="G1653">
        <v>1305.9262695</v>
      </c>
      <c r="H1653">
        <v>1294.5895995999999</v>
      </c>
      <c r="I1653">
        <v>1389.5396728999999</v>
      </c>
      <c r="J1653">
        <v>1371.2104492000001</v>
      </c>
      <c r="K1653">
        <v>0</v>
      </c>
      <c r="L1653">
        <v>2200</v>
      </c>
      <c r="M1653">
        <v>2200</v>
      </c>
      <c r="N1653">
        <v>0</v>
      </c>
    </row>
    <row r="1654" spans="1:14" x14ac:dyDescent="0.25">
      <c r="A1654">
        <v>1291.7934809999999</v>
      </c>
      <c r="B1654" s="1">
        <f>DATE(2013,11,12) + TIME(19,2,36)</f>
        <v>41590.79347222222</v>
      </c>
      <c r="C1654">
        <v>80</v>
      </c>
      <c r="D1654">
        <v>78.628868103000002</v>
      </c>
      <c r="E1654">
        <v>50</v>
      </c>
      <c r="F1654">
        <v>49.971981049</v>
      </c>
      <c r="G1654">
        <v>1305.8984375</v>
      </c>
      <c r="H1654">
        <v>1294.5579834</v>
      </c>
      <c r="I1654">
        <v>1389.4958495999999</v>
      </c>
      <c r="J1654">
        <v>1371.1760254000001</v>
      </c>
      <c r="K1654">
        <v>0</v>
      </c>
      <c r="L1654">
        <v>2200</v>
      </c>
      <c r="M1654">
        <v>2200</v>
      </c>
      <c r="N1654">
        <v>0</v>
      </c>
    </row>
    <row r="1655" spans="1:14" x14ac:dyDescent="0.25">
      <c r="A1655">
        <v>1292.630735</v>
      </c>
      <c r="B1655" s="1">
        <f>DATE(2013,11,13) + TIME(15,8,15)</f>
        <v>41591.630729166667</v>
      </c>
      <c r="C1655">
        <v>80</v>
      </c>
      <c r="D1655">
        <v>78.549530028999996</v>
      </c>
      <c r="E1655">
        <v>50</v>
      </c>
      <c r="F1655">
        <v>49.972099303999997</v>
      </c>
      <c r="G1655">
        <v>1305.8684082</v>
      </c>
      <c r="H1655">
        <v>1294.5236815999999</v>
      </c>
      <c r="I1655">
        <v>1389.4516602000001</v>
      </c>
      <c r="J1655">
        <v>1371.1414795000001</v>
      </c>
      <c r="K1655">
        <v>0</v>
      </c>
      <c r="L1655">
        <v>2200</v>
      </c>
      <c r="M1655">
        <v>2200</v>
      </c>
      <c r="N1655">
        <v>0</v>
      </c>
    </row>
    <row r="1656" spans="1:14" x14ac:dyDescent="0.25">
      <c r="A1656">
        <v>1293.5008350000001</v>
      </c>
      <c r="B1656" s="1">
        <f>DATE(2013,11,14) + TIME(12,1,12)</f>
        <v>41592.500833333332</v>
      </c>
      <c r="C1656">
        <v>80</v>
      </c>
      <c r="D1656">
        <v>78.467391968000001</v>
      </c>
      <c r="E1656">
        <v>50</v>
      </c>
      <c r="F1656">
        <v>49.972183227999999</v>
      </c>
      <c r="G1656">
        <v>1305.8369141000001</v>
      </c>
      <c r="H1656">
        <v>1294.487793</v>
      </c>
      <c r="I1656">
        <v>1389.4085693</v>
      </c>
      <c r="J1656">
        <v>1371.1079102000001</v>
      </c>
      <c r="K1656">
        <v>0</v>
      </c>
      <c r="L1656">
        <v>2200</v>
      </c>
      <c r="M1656">
        <v>2200</v>
      </c>
      <c r="N1656">
        <v>0</v>
      </c>
    </row>
    <row r="1657" spans="1:14" x14ac:dyDescent="0.25">
      <c r="A1657">
        <v>1294.392288</v>
      </c>
      <c r="B1657" s="1">
        <f>DATE(2013,11,15) + TIME(9,24,53)</f>
        <v>41593.392280092594</v>
      </c>
      <c r="C1657">
        <v>80</v>
      </c>
      <c r="D1657">
        <v>78.383346558</v>
      </c>
      <c r="E1657">
        <v>50</v>
      </c>
      <c r="F1657">
        <v>49.972240448000001</v>
      </c>
      <c r="G1657">
        <v>1305.8040771000001</v>
      </c>
      <c r="H1657">
        <v>1294.4503173999999</v>
      </c>
      <c r="I1657">
        <v>1389.3665771000001</v>
      </c>
      <c r="J1657">
        <v>1371.0751952999999</v>
      </c>
      <c r="K1657">
        <v>0</v>
      </c>
      <c r="L1657">
        <v>2200</v>
      </c>
      <c r="M1657">
        <v>2200</v>
      </c>
      <c r="N1657">
        <v>0</v>
      </c>
    </row>
    <row r="1658" spans="1:14" x14ac:dyDescent="0.25">
      <c r="A1658">
        <v>1295.3047059999999</v>
      </c>
      <c r="B1658" s="1">
        <f>DATE(2013,11,16) + TIME(7,18,46)</f>
        <v>41594.304699074077</v>
      </c>
      <c r="C1658">
        <v>80</v>
      </c>
      <c r="D1658">
        <v>78.297866821</v>
      </c>
      <c r="E1658">
        <v>50</v>
      </c>
      <c r="F1658">
        <v>49.972286224000001</v>
      </c>
      <c r="G1658">
        <v>1305.7702637</v>
      </c>
      <c r="H1658">
        <v>1294.411499</v>
      </c>
      <c r="I1658">
        <v>1389.3261719</v>
      </c>
      <c r="J1658">
        <v>1371.0438231999999</v>
      </c>
      <c r="K1658">
        <v>0</v>
      </c>
      <c r="L1658">
        <v>2200</v>
      </c>
      <c r="M1658">
        <v>2200</v>
      </c>
      <c r="N1658">
        <v>0</v>
      </c>
    </row>
    <row r="1659" spans="1:14" x14ac:dyDescent="0.25">
      <c r="A1659">
        <v>1296.2488860000001</v>
      </c>
      <c r="B1659" s="1">
        <f>DATE(2013,11,17) + TIME(5,58,23)</f>
        <v>41595.248877314814</v>
      </c>
      <c r="C1659">
        <v>80</v>
      </c>
      <c r="D1659">
        <v>78.210716247999997</v>
      </c>
      <c r="E1659">
        <v>50</v>
      </c>
      <c r="F1659">
        <v>49.972316741999997</v>
      </c>
      <c r="G1659">
        <v>1305.7355957</v>
      </c>
      <c r="H1659">
        <v>1294.3714600000001</v>
      </c>
      <c r="I1659">
        <v>1389.2872314000001</v>
      </c>
      <c r="J1659">
        <v>1371.0135498</v>
      </c>
      <c r="K1659">
        <v>0</v>
      </c>
      <c r="L1659">
        <v>2200</v>
      </c>
      <c r="M1659">
        <v>2200</v>
      </c>
      <c r="N1659">
        <v>0</v>
      </c>
    </row>
    <row r="1660" spans="1:14" x14ac:dyDescent="0.25">
      <c r="A1660">
        <v>1297.2362129999999</v>
      </c>
      <c r="B1660" s="1">
        <f>DATE(2013,11,18) + TIME(5,40,8)</f>
        <v>41596.236203703702</v>
      </c>
      <c r="C1660">
        <v>80</v>
      </c>
      <c r="D1660">
        <v>78.121322632000002</v>
      </c>
      <c r="E1660">
        <v>50</v>
      </c>
      <c r="F1660">
        <v>49.972343445</v>
      </c>
      <c r="G1660">
        <v>1305.6994629000001</v>
      </c>
      <c r="H1660">
        <v>1294.3297118999999</v>
      </c>
      <c r="I1660">
        <v>1389.2491454999999</v>
      </c>
      <c r="J1660">
        <v>1370.9841309000001</v>
      </c>
      <c r="K1660">
        <v>0</v>
      </c>
      <c r="L1660">
        <v>2200</v>
      </c>
      <c r="M1660">
        <v>2200</v>
      </c>
      <c r="N1660">
        <v>0</v>
      </c>
    </row>
    <row r="1661" spans="1:14" x14ac:dyDescent="0.25">
      <c r="A1661">
        <v>1298.279577</v>
      </c>
      <c r="B1661" s="1">
        <f>DATE(2013,11,19) + TIME(6,42,35)</f>
        <v>41597.27957175926</v>
      </c>
      <c r="C1661">
        <v>80</v>
      </c>
      <c r="D1661">
        <v>78.028884887999993</v>
      </c>
      <c r="E1661">
        <v>50</v>
      </c>
      <c r="F1661">
        <v>49.972366332999997</v>
      </c>
      <c r="G1661">
        <v>1305.6613769999999</v>
      </c>
      <c r="H1661">
        <v>1294.2856445</v>
      </c>
      <c r="I1661">
        <v>1389.2114257999999</v>
      </c>
      <c r="J1661">
        <v>1370.9550781</v>
      </c>
      <c r="K1661">
        <v>0</v>
      </c>
      <c r="L1661">
        <v>2200</v>
      </c>
      <c r="M1661">
        <v>2200</v>
      </c>
      <c r="N1661">
        <v>0</v>
      </c>
    </row>
    <row r="1662" spans="1:14" x14ac:dyDescent="0.25">
      <c r="A1662">
        <v>1299.3947109999999</v>
      </c>
      <c r="B1662" s="1">
        <f>DATE(2013,11,20) + TIME(9,28,23)</f>
        <v>41598.39471064815</v>
      </c>
      <c r="C1662">
        <v>80</v>
      </c>
      <c r="D1662">
        <v>77.932403563999998</v>
      </c>
      <c r="E1662">
        <v>50</v>
      </c>
      <c r="F1662">
        <v>49.972385406000001</v>
      </c>
      <c r="G1662">
        <v>1305.6209716999999</v>
      </c>
      <c r="H1662">
        <v>1294.2386475000001</v>
      </c>
      <c r="I1662">
        <v>1389.1738281</v>
      </c>
      <c r="J1662">
        <v>1370.9260254000001</v>
      </c>
      <c r="K1662">
        <v>0</v>
      </c>
      <c r="L1662">
        <v>2200</v>
      </c>
      <c r="M1662">
        <v>2200</v>
      </c>
      <c r="N1662">
        <v>0</v>
      </c>
    </row>
    <row r="1663" spans="1:14" x14ac:dyDescent="0.25">
      <c r="A1663">
        <v>1300.6016440000001</v>
      </c>
      <c r="B1663" s="1">
        <f>DATE(2013,11,21) + TIME(14,26,22)</f>
        <v>41599.601643518516</v>
      </c>
      <c r="C1663">
        <v>80</v>
      </c>
      <c r="D1663">
        <v>77.830635071000003</v>
      </c>
      <c r="E1663">
        <v>50</v>
      </c>
      <c r="F1663">
        <v>49.972404480000002</v>
      </c>
      <c r="G1663">
        <v>1305.5773925999999</v>
      </c>
      <c r="H1663">
        <v>1294.1877440999999</v>
      </c>
      <c r="I1663">
        <v>1389.1357422000001</v>
      </c>
      <c r="J1663">
        <v>1370.8968506000001</v>
      </c>
      <c r="K1663">
        <v>0</v>
      </c>
      <c r="L1663">
        <v>2200</v>
      </c>
      <c r="M1663">
        <v>2200</v>
      </c>
      <c r="N1663">
        <v>0</v>
      </c>
    </row>
    <row r="1664" spans="1:14" x14ac:dyDescent="0.25">
      <c r="A1664">
        <v>1301.8531109999999</v>
      </c>
      <c r="B1664" s="1">
        <f>DATE(2013,11,22) + TIME(20,28,28)</f>
        <v>41600.853101851855</v>
      </c>
      <c r="C1664">
        <v>80</v>
      </c>
      <c r="D1664">
        <v>77.724578856999997</v>
      </c>
      <c r="E1664">
        <v>50</v>
      </c>
      <c r="F1664">
        <v>49.972423552999999</v>
      </c>
      <c r="G1664">
        <v>1305.5296631000001</v>
      </c>
      <c r="H1664">
        <v>1294.1322021000001</v>
      </c>
      <c r="I1664">
        <v>1389.0968018000001</v>
      </c>
      <c r="J1664">
        <v>1370.8668213000001</v>
      </c>
      <c r="K1664">
        <v>0</v>
      </c>
      <c r="L1664">
        <v>2200</v>
      </c>
      <c r="M1664">
        <v>2200</v>
      </c>
      <c r="N1664">
        <v>0</v>
      </c>
    </row>
    <row r="1665" spans="1:14" x14ac:dyDescent="0.25">
      <c r="A1665">
        <v>1303.1144830000001</v>
      </c>
      <c r="B1665" s="1">
        <f>DATE(2013,11,24) + TIME(2,44,51)</f>
        <v>41602.114479166667</v>
      </c>
      <c r="C1665">
        <v>80</v>
      </c>
      <c r="D1665">
        <v>77.616584778000004</v>
      </c>
      <c r="E1665">
        <v>50</v>
      </c>
      <c r="F1665">
        <v>49.972438812</v>
      </c>
      <c r="G1665">
        <v>1305.4794922000001</v>
      </c>
      <c r="H1665">
        <v>1294.0734863</v>
      </c>
      <c r="I1665">
        <v>1389.0584716999999</v>
      </c>
      <c r="J1665">
        <v>1370.8375243999999</v>
      </c>
      <c r="K1665">
        <v>0</v>
      </c>
      <c r="L1665">
        <v>2200</v>
      </c>
      <c r="M1665">
        <v>2200</v>
      </c>
      <c r="N1665">
        <v>0</v>
      </c>
    </row>
    <row r="1666" spans="1:14" x14ac:dyDescent="0.25">
      <c r="A1666">
        <v>1304.4010559999999</v>
      </c>
      <c r="B1666" s="1">
        <f>DATE(2013,11,25) + TIME(9,37,31)</f>
        <v>41603.401053240741</v>
      </c>
      <c r="C1666">
        <v>80</v>
      </c>
      <c r="D1666">
        <v>77.507637024000005</v>
      </c>
      <c r="E1666">
        <v>50</v>
      </c>
      <c r="F1666">
        <v>49.972454071000001</v>
      </c>
      <c r="G1666">
        <v>1305.4283447</v>
      </c>
      <c r="H1666">
        <v>1294.0133057</v>
      </c>
      <c r="I1666">
        <v>1389.0219727000001</v>
      </c>
      <c r="J1666">
        <v>1370.8094481999999</v>
      </c>
      <c r="K1666">
        <v>0</v>
      </c>
      <c r="L1666">
        <v>2200</v>
      </c>
      <c r="M1666">
        <v>2200</v>
      </c>
      <c r="N1666">
        <v>0</v>
      </c>
    </row>
    <row r="1667" spans="1:14" x14ac:dyDescent="0.25">
      <c r="A1667">
        <v>1305.728124</v>
      </c>
      <c r="B1667" s="1">
        <f>DATE(2013,11,26) + TIME(17,28,29)</f>
        <v>41604.728113425925</v>
      </c>
      <c r="C1667">
        <v>80</v>
      </c>
      <c r="D1667">
        <v>77.397422790999997</v>
      </c>
      <c r="E1667">
        <v>50</v>
      </c>
      <c r="F1667">
        <v>49.972469330000003</v>
      </c>
      <c r="G1667">
        <v>1305.3754882999999</v>
      </c>
      <c r="H1667">
        <v>1293.9508057</v>
      </c>
      <c r="I1667">
        <v>1388.9866943</v>
      </c>
      <c r="J1667">
        <v>1370.7824707</v>
      </c>
      <c r="K1667">
        <v>0</v>
      </c>
      <c r="L1667">
        <v>2200</v>
      </c>
      <c r="M1667">
        <v>2200</v>
      </c>
      <c r="N1667">
        <v>0</v>
      </c>
    </row>
    <row r="1668" spans="1:14" x14ac:dyDescent="0.25">
      <c r="A1668">
        <v>1307.1119080000001</v>
      </c>
      <c r="B1668" s="1">
        <f>DATE(2013,11,28) + TIME(2,41,8)</f>
        <v>41606.111898148149</v>
      </c>
      <c r="C1668">
        <v>80</v>
      </c>
      <c r="D1668">
        <v>77.285118103000002</v>
      </c>
      <c r="E1668">
        <v>50</v>
      </c>
      <c r="F1668">
        <v>49.972484588999997</v>
      </c>
      <c r="G1668">
        <v>1305.3203125</v>
      </c>
      <c r="H1668">
        <v>1293.8850098</v>
      </c>
      <c r="I1668">
        <v>1388.9519043</v>
      </c>
      <c r="J1668">
        <v>1370.7558594</v>
      </c>
      <c r="K1668">
        <v>0</v>
      </c>
      <c r="L1668">
        <v>2200</v>
      </c>
      <c r="M1668">
        <v>2200</v>
      </c>
      <c r="N1668">
        <v>0</v>
      </c>
    </row>
    <row r="1669" spans="1:14" x14ac:dyDescent="0.25">
      <c r="A1669">
        <v>1308.5707540000001</v>
      </c>
      <c r="B1669" s="1">
        <f>DATE(2013,11,29) + TIME(13,41,53)</f>
        <v>41607.570752314816</v>
      </c>
      <c r="C1669">
        <v>80</v>
      </c>
      <c r="D1669">
        <v>77.169624329000001</v>
      </c>
      <c r="E1669">
        <v>50</v>
      </c>
      <c r="F1669">
        <v>49.972503662000001</v>
      </c>
      <c r="G1669">
        <v>1305.2618408000001</v>
      </c>
      <c r="H1669">
        <v>1293.8153076000001</v>
      </c>
      <c r="I1669">
        <v>1388.9174805</v>
      </c>
      <c r="J1669">
        <v>1370.7294922000001</v>
      </c>
      <c r="K1669">
        <v>0</v>
      </c>
      <c r="L1669">
        <v>2200</v>
      </c>
      <c r="M1669">
        <v>2200</v>
      </c>
      <c r="N1669">
        <v>0</v>
      </c>
    </row>
    <row r="1670" spans="1:14" x14ac:dyDescent="0.25">
      <c r="A1670">
        <v>1310</v>
      </c>
      <c r="B1670" s="1">
        <f>DATE(2013,12,1) + TIME(0,0,0)</f>
        <v>41609</v>
      </c>
      <c r="C1670">
        <v>80</v>
      </c>
      <c r="D1670">
        <v>77.053504943999997</v>
      </c>
      <c r="E1670">
        <v>50</v>
      </c>
      <c r="F1670">
        <v>49.972522736000002</v>
      </c>
      <c r="G1670">
        <v>1305.1992187999999</v>
      </c>
      <c r="H1670">
        <v>1293.7404785000001</v>
      </c>
      <c r="I1670">
        <v>1388.8828125</v>
      </c>
      <c r="J1670">
        <v>1370.7030029</v>
      </c>
      <c r="K1670">
        <v>0</v>
      </c>
      <c r="L1670">
        <v>2200</v>
      </c>
      <c r="M1670">
        <v>2200</v>
      </c>
      <c r="N1670">
        <v>0</v>
      </c>
    </row>
    <row r="1671" spans="1:14" x14ac:dyDescent="0.25">
      <c r="A1671">
        <v>1311.556161</v>
      </c>
      <c r="B1671" s="1">
        <f>DATE(2013,12,2) + TIME(13,20,52)</f>
        <v>41610.556157407409</v>
      </c>
      <c r="C1671">
        <v>80</v>
      </c>
      <c r="D1671">
        <v>76.934852599999999</v>
      </c>
      <c r="E1671">
        <v>50</v>
      </c>
      <c r="F1671">
        <v>49.972541808999999</v>
      </c>
      <c r="G1671">
        <v>1305.1368408000001</v>
      </c>
      <c r="H1671">
        <v>1293.6649170000001</v>
      </c>
      <c r="I1671">
        <v>1388.8504639</v>
      </c>
      <c r="J1671">
        <v>1370.6783447</v>
      </c>
      <c r="K1671">
        <v>0</v>
      </c>
      <c r="L1671">
        <v>2200</v>
      </c>
      <c r="M1671">
        <v>2200</v>
      </c>
      <c r="N1671">
        <v>0</v>
      </c>
    </row>
    <row r="1672" spans="1:14" x14ac:dyDescent="0.25">
      <c r="A1672">
        <v>1313.2266770000001</v>
      </c>
      <c r="B1672" s="1">
        <f>DATE(2013,12,4) + TIME(5,26,24)</f>
        <v>41612.226666666669</v>
      </c>
      <c r="C1672">
        <v>80</v>
      </c>
      <c r="D1672">
        <v>76.810707092000001</v>
      </c>
      <c r="E1672">
        <v>50</v>
      </c>
      <c r="F1672">
        <v>49.972564697000003</v>
      </c>
      <c r="G1672">
        <v>1305.0678711</v>
      </c>
      <c r="H1672">
        <v>1293.5812988</v>
      </c>
      <c r="I1672">
        <v>1388.8168945</v>
      </c>
      <c r="J1672">
        <v>1370.6527100000001</v>
      </c>
      <c r="K1672">
        <v>0</v>
      </c>
      <c r="L1672">
        <v>2200</v>
      </c>
      <c r="M1672">
        <v>2200</v>
      </c>
      <c r="N1672">
        <v>0</v>
      </c>
    </row>
    <row r="1673" spans="1:14" x14ac:dyDescent="0.25">
      <c r="A1673">
        <v>1314.9314059999999</v>
      </c>
      <c r="B1673" s="1">
        <f>DATE(2013,12,5) + TIME(22,21,13)</f>
        <v>41613.931400462963</v>
      </c>
      <c r="C1673">
        <v>80</v>
      </c>
      <c r="D1673">
        <v>76.682296753000003</v>
      </c>
      <c r="E1673">
        <v>50</v>
      </c>
      <c r="F1673">
        <v>49.972587584999999</v>
      </c>
      <c r="G1673">
        <v>1304.9923096</v>
      </c>
      <c r="H1673">
        <v>1293.4897461</v>
      </c>
      <c r="I1673">
        <v>1388.7823486</v>
      </c>
      <c r="J1673">
        <v>1370.6263428</v>
      </c>
      <c r="K1673">
        <v>0</v>
      </c>
      <c r="L1673">
        <v>2200</v>
      </c>
      <c r="M1673">
        <v>2200</v>
      </c>
      <c r="N1673">
        <v>0</v>
      </c>
    </row>
    <row r="1674" spans="1:14" x14ac:dyDescent="0.25">
      <c r="A1674">
        <v>1316.6673659999999</v>
      </c>
      <c r="B1674" s="1">
        <f>DATE(2013,12,7) + TIME(16,1,0)</f>
        <v>41615.667361111111</v>
      </c>
      <c r="C1674">
        <v>80</v>
      </c>
      <c r="D1674">
        <v>76.552062988000003</v>
      </c>
      <c r="E1674">
        <v>50</v>
      </c>
      <c r="F1674">
        <v>49.972610474</v>
      </c>
      <c r="G1674">
        <v>1304.9135742000001</v>
      </c>
      <c r="H1674">
        <v>1293.3935547000001</v>
      </c>
      <c r="I1674">
        <v>1388.7486572</v>
      </c>
      <c r="J1674">
        <v>1370.6005858999999</v>
      </c>
      <c r="K1674">
        <v>0</v>
      </c>
      <c r="L1674">
        <v>2200</v>
      </c>
      <c r="M1674">
        <v>2200</v>
      </c>
      <c r="N1674">
        <v>0</v>
      </c>
    </row>
    <row r="1675" spans="1:14" x14ac:dyDescent="0.25">
      <c r="A1675">
        <v>1318.4287019999999</v>
      </c>
      <c r="B1675" s="1">
        <f>DATE(2013,12,9) + TIME(10,17,19)</f>
        <v>41617.42869212963</v>
      </c>
      <c r="C1675">
        <v>80</v>
      </c>
      <c r="D1675">
        <v>76.421104431000003</v>
      </c>
      <c r="E1675">
        <v>50</v>
      </c>
      <c r="F1675">
        <v>49.972633362000003</v>
      </c>
      <c r="G1675">
        <v>1304.8316649999999</v>
      </c>
      <c r="H1675">
        <v>1293.2928466999999</v>
      </c>
      <c r="I1675">
        <v>1388.7159423999999</v>
      </c>
      <c r="J1675">
        <v>1370.5755615</v>
      </c>
      <c r="K1675">
        <v>0</v>
      </c>
      <c r="L1675">
        <v>2200</v>
      </c>
      <c r="M1675">
        <v>2200</v>
      </c>
      <c r="N1675">
        <v>0</v>
      </c>
    </row>
    <row r="1676" spans="1:14" x14ac:dyDescent="0.25">
      <c r="A1676">
        <v>1320.220208</v>
      </c>
      <c r="B1676" s="1">
        <f>DATE(2013,12,11) + TIME(5,17,6)</f>
        <v>41619.220208333332</v>
      </c>
      <c r="C1676">
        <v>80</v>
      </c>
      <c r="D1676">
        <v>76.289840698000006</v>
      </c>
      <c r="E1676">
        <v>50</v>
      </c>
      <c r="F1676">
        <v>49.97265625</v>
      </c>
      <c r="G1676">
        <v>1304.7468262</v>
      </c>
      <c r="H1676">
        <v>1293.1878661999999</v>
      </c>
      <c r="I1676">
        <v>1388.684082</v>
      </c>
      <c r="J1676">
        <v>1370.5512695</v>
      </c>
      <c r="K1676">
        <v>0</v>
      </c>
      <c r="L1676">
        <v>2200</v>
      </c>
      <c r="M1676">
        <v>2200</v>
      </c>
      <c r="N1676">
        <v>0</v>
      </c>
    </row>
    <row r="1677" spans="1:14" x14ac:dyDescent="0.25">
      <c r="A1677">
        <v>1322.046257</v>
      </c>
      <c r="B1677" s="1">
        <f>DATE(2013,12,13) + TIME(1,6,36)</f>
        <v>41621.046249999999</v>
      </c>
      <c r="C1677">
        <v>80</v>
      </c>
      <c r="D1677">
        <v>76.158180236999996</v>
      </c>
      <c r="E1677">
        <v>50</v>
      </c>
      <c r="F1677">
        <v>49.972682953000003</v>
      </c>
      <c r="G1677">
        <v>1304.6585693</v>
      </c>
      <c r="H1677">
        <v>1293.078125</v>
      </c>
      <c r="I1677">
        <v>1388.6530762</v>
      </c>
      <c r="J1677">
        <v>1370.5274658000001</v>
      </c>
      <c r="K1677">
        <v>0</v>
      </c>
      <c r="L1677">
        <v>2200</v>
      </c>
      <c r="M1677">
        <v>2200</v>
      </c>
      <c r="N1677">
        <v>0</v>
      </c>
    </row>
    <row r="1678" spans="1:14" x14ac:dyDescent="0.25">
      <c r="A1678">
        <v>1323.9112</v>
      </c>
      <c r="B1678" s="1">
        <f>DATE(2013,12,14) + TIME(21,52,7)</f>
        <v>41622.911192129628</v>
      </c>
      <c r="C1678">
        <v>80</v>
      </c>
      <c r="D1678">
        <v>76.025909424000005</v>
      </c>
      <c r="E1678">
        <v>50</v>
      </c>
      <c r="F1678">
        <v>49.972709655999999</v>
      </c>
      <c r="G1678">
        <v>1304.5666504000001</v>
      </c>
      <c r="H1678">
        <v>1292.9632568</v>
      </c>
      <c r="I1678">
        <v>1388.6226807</v>
      </c>
      <c r="J1678">
        <v>1370.5041504000001</v>
      </c>
      <c r="K1678">
        <v>0</v>
      </c>
      <c r="L1678">
        <v>2200</v>
      </c>
      <c r="M1678">
        <v>2200</v>
      </c>
      <c r="N1678">
        <v>0</v>
      </c>
    </row>
    <row r="1679" spans="1:14" x14ac:dyDescent="0.25">
      <c r="A1679">
        <v>1325.820592</v>
      </c>
      <c r="B1679" s="1">
        <f>DATE(2013,12,16) + TIME(19,41,39)</f>
        <v>41624.820590277777</v>
      </c>
      <c r="C1679">
        <v>80</v>
      </c>
      <c r="D1679">
        <v>75.892730713000006</v>
      </c>
      <c r="E1679">
        <v>50</v>
      </c>
      <c r="F1679">
        <v>49.972736359000002</v>
      </c>
      <c r="G1679">
        <v>1304.4705810999999</v>
      </c>
      <c r="H1679">
        <v>1292.8427733999999</v>
      </c>
      <c r="I1679">
        <v>1388.5927733999999</v>
      </c>
      <c r="J1679">
        <v>1370.4813231999999</v>
      </c>
      <c r="K1679">
        <v>0</v>
      </c>
      <c r="L1679">
        <v>2200</v>
      </c>
      <c r="M1679">
        <v>2200</v>
      </c>
      <c r="N1679">
        <v>0</v>
      </c>
    </row>
    <row r="1680" spans="1:14" x14ac:dyDescent="0.25">
      <c r="A1680">
        <v>1327.7788049999999</v>
      </c>
      <c r="B1680" s="1">
        <f>DATE(2013,12,18) + TIME(18,41,28)</f>
        <v>41626.778796296298</v>
      </c>
      <c r="C1680">
        <v>80</v>
      </c>
      <c r="D1680">
        <v>75.758316039999997</v>
      </c>
      <c r="E1680">
        <v>50</v>
      </c>
      <c r="F1680">
        <v>49.972763061999999</v>
      </c>
      <c r="G1680">
        <v>1304.3701172000001</v>
      </c>
      <c r="H1680">
        <v>1292.7159423999999</v>
      </c>
      <c r="I1680">
        <v>1388.5633545000001</v>
      </c>
      <c r="J1680">
        <v>1370.4587402</v>
      </c>
      <c r="K1680">
        <v>0</v>
      </c>
      <c r="L1680">
        <v>2200</v>
      </c>
      <c r="M1680">
        <v>2200</v>
      </c>
      <c r="N1680">
        <v>0</v>
      </c>
    </row>
    <row r="1681" spans="1:14" x14ac:dyDescent="0.25">
      <c r="A1681">
        <v>1329.780483</v>
      </c>
      <c r="B1681" s="1">
        <f>DATE(2013,12,20) + TIME(18,43,53)</f>
        <v>41628.780474537038</v>
      </c>
      <c r="C1681">
        <v>80</v>
      </c>
      <c r="D1681">
        <v>75.622596740999995</v>
      </c>
      <c r="E1681">
        <v>50</v>
      </c>
      <c r="F1681">
        <v>49.972793578999998</v>
      </c>
      <c r="G1681">
        <v>1304.2647704999999</v>
      </c>
      <c r="H1681">
        <v>1292.5822754000001</v>
      </c>
      <c r="I1681">
        <v>1388.5343018000001</v>
      </c>
      <c r="J1681">
        <v>1370.4365233999999</v>
      </c>
      <c r="K1681">
        <v>0</v>
      </c>
      <c r="L1681">
        <v>2200</v>
      </c>
      <c r="M1681">
        <v>2200</v>
      </c>
      <c r="N1681">
        <v>0</v>
      </c>
    </row>
    <row r="1682" spans="1:14" x14ac:dyDescent="0.25">
      <c r="A1682">
        <v>1331.8177619999999</v>
      </c>
      <c r="B1682" s="1">
        <f>DATE(2013,12,22) + TIME(19,37,34)</f>
        <v>41630.817754629628</v>
      </c>
      <c r="C1682">
        <v>80</v>
      </c>
      <c r="D1682">
        <v>75.485832213999998</v>
      </c>
      <c r="E1682">
        <v>50</v>
      </c>
      <c r="F1682">
        <v>49.972824097</v>
      </c>
      <c r="G1682">
        <v>1304.1544189000001</v>
      </c>
      <c r="H1682">
        <v>1292.4417725000001</v>
      </c>
      <c r="I1682">
        <v>1388.5057373</v>
      </c>
      <c r="J1682">
        <v>1370.4144286999999</v>
      </c>
      <c r="K1682">
        <v>0</v>
      </c>
      <c r="L1682">
        <v>2200</v>
      </c>
      <c r="M1682">
        <v>2200</v>
      </c>
      <c r="N1682">
        <v>0</v>
      </c>
    </row>
    <row r="1683" spans="1:14" x14ac:dyDescent="0.25">
      <c r="A1683">
        <v>1333.8866479999999</v>
      </c>
      <c r="B1683" s="1">
        <f>DATE(2013,12,24) + TIME(21,16,46)</f>
        <v>41632.886643518519</v>
      </c>
      <c r="C1683">
        <v>80</v>
      </c>
      <c r="D1683">
        <v>75.348373413000004</v>
      </c>
      <c r="E1683">
        <v>50</v>
      </c>
      <c r="F1683">
        <v>49.972854613999999</v>
      </c>
      <c r="G1683">
        <v>1304.0395507999999</v>
      </c>
      <c r="H1683">
        <v>1292.2946777</v>
      </c>
      <c r="I1683">
        <v>1388.4775391000001</v>
      </c>
      <c r="J1683">
        <v>1370.3928223</v>
      </c>
      <c r="K1683">
        <v>0</v>
      </c>
      <c r="L1683">
        <v>2200</v>
      </c>
      <c r="M1683">
        <v>2200</v>
      </c>
      <c r="N1683">
        <v>0</v>
      </c>
    </row>
    <row r="1684" spans="1:14" x14ac:dyDescent="0.25">
      <c r="A1684">
        <v>1335.9756219999999</v>
      </c>
      <c r="B1684" s="1">
        <f>DATE(2013,12,26) + TIME(23,24,53)</f>
        <v>41634.975613425922</v>
      </c>
      <c r="C1684">
        <v>80</v>
      </c>
      <c r="D1684">
        <v>75.210639954000001</v>
      </c>
      <c r="E1684">
        <v>50</v>
      </c>
      <c r="F1684">
        <v>49.972885132000002</v>
      </c>
      <c r="G1684">
        <v>1303.9201660000001</v>
      </c>
      <c r="H1684">
        <v>1292.1409911999999</v>
      </c>
      <c r="I1684">
        <v>1388.4499512</v>
      </c>
      <c r="J1684">
        <v>1370.371582</v>
      </c>
      <c r="K1684">
        <v>0</v>
      </c>
      <c r="L1684">
        <v>2200</v>
      </c>
      <c r="M1684">
        <v>2200</v>
      </c>
      <c r="N1684">
        <v>0</v>
      </c>
    </row>
    <row r="1685" spans="1:14" x14ac:dyDescent="0.25">
      <c r="A1685">
        <v>1338.088487</v>
      </c>
      <c r="B1685" s="1">
        <f>DATE(2013,12,29) + TIME(2,7,25)</f>
        <v>41637.088483796295</v>
      </c>
      <c r="C1685">
        <v>80</v>
      </c>
      <c r="D1685">
        <v>75.072944641000007</v>
      </c>
      <c r="E1685">
        <v>50</v>
      </c>
      <c r="F1685">
        <v>49.972915649000001</v>
      </c>
      <c r="G1685">
        <v>1303.7967529</v>
      </c>
      <c r="H1685">
        <v>1291.9815673999999</v>
      </c>
      <c r="I1685">
        <v>1388.4230957</v>
      </c>
      <c r="J1685">
        <v>1370.3507079999999</v>
      </c>
      <c r="K1685">
        <v>0</v>
      </c>
      <c r="L1685">
        <v>2200</v>
      </c>
      <c r="M1685">
        <v>2200</v>
      </c>
      <c r="N1685">
        <v>0</v>
      </c>
    </row>
    <row r="1686" spans="1:14" x14ac:dyDescent="0.25">
      <c r="A1686">
        <v>1340.2311400000001</v>
      </c>
      <c r="B1686" s="1">
        <f>DATE(2013,12,31) + TIME(5,32,50)</f>
        <v>41639.231134259258</v>
      </c>
      <c r="C1686">
        <v>80</v>
      </c>
      <c r="D1686">
        <v>74.935089110999996</v>
      </c>
      <c r="E1686">
        <v>50</v>
      </c>
      <c r="F1686">
        <v>49.972946167000003</v>
      </c>
      <c r="G1686">
        <v>1303.6690673999999</v>
      </c>
      <c r="H1686">
        <v>1291.8157959</v>
      </c>
      <c r="I1686">
        <v>1388.3967285000001</v>
      </c>
      <c r="J1686">
        <v>1370.3303223</v>
      </c>
      <c r="K1686">
        <v>0</v>
      </c>
      <c r="L1686">
        <v>2200</v>
      </c>
      <c r="M1686">
        <v>2200</v>
      </c>
      <c r="N1686">
        <v>0</v>
      </c>
    </row>
    <row r="1687" spans="1:14" x14ac:dyDescent="0.25">
      <c r="A1687">
        <v>1341</v>
      </c>
      <c r="B1687" s="1">
        <f>DATE(2014,1,1) + TIME(0,0,0)</f>
        <v>41640</v>
      </c>
      <c r="C1687">
        <v>80</v>
      </c>
      <c r="D1687">
        <v>74.845603943</v>
      </c>
      <c r="E1687">
        <v>50</v>
      </c>
      <c r="F1687">
        <v>49.972953795999999</v>
      </c>
      <c r="G1687">
        <v>1303.5405272999999</v>
      </c>
      <c r="H1687">
        <v>1291.6558838000001</v>
      </c>
      <c r="I1687">
        <v>1388.3699951000001</v>
      </c>
      <c r="J1687">
        <v>1370.3096923999999</v>
      </c>
      <c r="K1687">
        <v>0</v>
      </c>
      <c r="L1687">
        <v>2200</v>
      </c>
      <c r="M1687">
        <v>2200</v>
      </c>
      <c r="N1687">
        <v>0</v>
      </c>
    </row>
    <row r="1688" spans="1:14" x14ac:dyDescent="0.25">
      <c r="A1688">
        <v>1343.1771200000001</v>
      </c>
      <c r="B1688" s="1">
        <f>DATE(2014,1,3) + TIME(4,15,3)</f>
        <v>41642.177118055559</v>
      </c>
      <c r="C1688">
        <v>80</v>
      </c>
      <c r="D1688">
        <v>74.735443114999995</v>
      </c>
      <c r="E1688">
        <v>50</v>
      </c>
      <c r="F1688">
        <v>49.972991942999997</v>
      </c>
      <c r="G1688">
        <v>1303.4838867000001</v>
      </c>
      <c r="H1688">
        <v>1291.5708007999999</v>
      </c>
      <c r="I1688">
        <v>1388.3616943</v>
      </c>
      <c r="J1688">
        <v>1370.3033447</v>
      </c>
      <c r="K1688">
        <v>0</v>
      </c>
      <c r="L1688">
        <v>2200</v>
      </c>
      <c r="M1688">
        <v>2200</v>
      </c>
      <c r="N1688">
        <v>0</v>
      </c>
    </row>
    <row r="1689" spans="1:14" x14ac:dyDescent="0.25">
      <c r="A1689">
        <v>1345.409257</v>
      </c>
      <c r="B1689" s="1">
        <f>DATE(2014,1,5) + TIME(9,49,19)</f>
        <v>41644.409247685187</v>
      </c>
      <c r="C1689">
        <v>80</v>
      </c>
      <c r="D1689">
        <v>74.604522704999994</v>
      </c>
      <c r="E1689">
        <v>50</v>
      </c>
      <c r="F1689">
        <v>49.973026275999999</v>
      </c>
      <c r="G1689">
        <v>1303.3483887</v>
      </c>
      <c r="H1689">
        <v>1291.3952637</v>
      </c>
      <c r="I1689">
        <v>1388.3364257999999</v>
      </c>
      <c r="J1689">
        <v>1370.2836914</v>
      </c>
      <c r="K1689">
        <v>0</v>
      </c>
      <c r="L1689">
        <v>2200</v>
      </c>
      <c r="M1689">
        <v>2200</v>
      </c>
      <c r="N1689">
        <v>0</v>
      </c>
    </row>
    <row r="1690" spans="1:14" x14ac:dyDescent="0.25">
      <c r="A1690">
        <v>1347.685563</v>
      </c>
      <c r="B1690" s="1">
        <f>DATE(2014,1,7) + TIME(16,27,12)</f>
        <v>41646.685555555552</v>
      </c>
      <c r="C1690">
        <v>80</v>
      </c>
      <c r="D1690">
        <v>74.465866089000002</v>
      </c>
      <c r="E1690">
        <v>50</v>
      </c>
      <c r="F1690">
        <v>49.973060607999997</v>
      </c>
      <c r="G1690">
        <v>1303.2042236</v>
      </c>
      <c r="H1690">
        <v>1291.2060547000001</v>
      </c>
      <c r="I1690">
        <v>1388.3112793</v>
      </c>
      <c r="J1690">
        <v>1370.2641602000001</v>
      </c>
      <c r="K1690">
        <v>0</v>
      </c>
      <c r="L1690">
        <v>2200</v>
      </c>
      <c r="M1690">
        <v>2200</v>
      </c>
      <c r="N1690">
        <v>0</v>
      </c>
    </row>
    <row r="1691" spans="1:14" x14ac:dyDescent="0.25">
      <c r="A1691">
        <v>1349.994477</v>
      </c>
      <c r="B1691" s="1">
        <f>DATE(2014,1,9) + TIME(23,52,2)</f>
        <v>41648.994467592594</v>
      </c>
      <c r="C1691">
        <v>80</v>
      </c>
      <c r="D1691">
        <v>74.323822020999998</v>
      </c>
      <c r="E1691">
        <v>50</v>
      </c>
      <c r="F1691">
        <v>49.973094940000003</v>
      </c>
      <c r="G1691">
        <v>1303.0532227000001</v>
      </c>
      <c r="H1691">
        <v>1291.0068358999999</v>
      </c>
      <c r="I1691">
        <v>1388.2863769999999</v>
      </c>
      <c r="J1691">
        <v>1370.244751</v>
      </c>
      <c r="K1691">
        <v>0</v>
      </c>
      <c r="L1691">
        <v>2200</v>
      </c>
      <c r="M1691">
        <v>2200</v>
      </c>
      <c r="N1691">
        <v>0</v>
      </c>
    </row>
    <row r="1692" spans="1:14" x14ac:dyDescent="0.25">
      <c r="A1692">
        <v>1352.333601</v>
      </c>
      <c r="B1692" s="1">
        <f>DATE(2014,1,12) + TIME(8,0,23)</f>
        <v>41651.333599537036</v>
      </c>
      <c r="C1692">
        <v>80</v>
      </c>
      <c r="D1692">
        <v>74.179931640999996</v>
      </c>
      <c r="E1692">
        <v>50</v>
      </c>
      <c r="F1692">
        <v>49.973129272000001</v>
      </c>
      <c r="G1692">
        <v>1302.8966064000001</v>
      </c>
      <c r="H1692">
        <v>1290.7990723</v>
      </c>
      <c r="I1692">
        <v>1388.2618408000001</v>
      </c>
      <c r="J1692">
        <v>1370.2255858999999</v>
      </c>
      <c r="K1692">
        <v>0</v>
      </c>
      <c r="L1692">
        <v>2200</v>
      </c>
      <c r="M1692">
        <v>2200</v>
      </c>
      <c r="N1692">
        <v>0</v>
      </c>
    </row>
    <row r="1693" spans="1:14" x14ac:dyDescent="0.25">
      <c r="A1693">
        <v>1354.698545</v>
      </c>
      <c r="B1693" s="1">
        <f>DATE(2014,1,14) + TIME(16,45,54)</f>
        <v>41653.698541666665</v>
      </c>
      <c r="C1693">
        <v>80</v>
      </c>
      <c r="D1693">
        <v>74.034667968999997</v>
      </c>
      <c r="E1693">
        <v>50</v>
      </c>
      <c r="F1693">
        <v>49.973163605000003</v>
      </c>
      <c r="G1693">
        <v>1302.734375</v>
      </c>
      <c r="H1693">
        <v>1290.5831298999999</v>
      </c>
      <c r="I1693">
        <v>1388.2375488</v>
      </c>
      <c r="J1693">
        <v>1370.2066649999999</v>
      </c>
      <c r="K1693">
        <v>0</v>
      </c>
      <c r="L1693">
        <v>2200</v>
      </c>
      <c r="M1693">
        <v>2200</v>
      </c>
      <c r="N1693">
        <v>0</v>
      </c>
    </row>
    <row r="1694" spans="1:14" x14ac:dyDescent="0.25">
      <c r="A1694">
        <v>1357.0950330000001</v>
      </c>
      <c r="B1694" s="1">
        <f>DATE(2014,1,17) + TIME(2,16,50)</f>
        <v>41656.095023148147</v>
      </c>
      <c r="C1694">
        <v>80</v>
      </c>
      <c r="D1694">
        <v>73.888046265</v>
      </c>
      <c r="E1694">
        <v>50</v>
      </c>
      <c r="F1694">
        <v>49.973201752000001</v>
      </c>
      <c r="G1694">
        <v>1302.5668945</v>
      </c>
      <c r="H1694">
        <v>1290.3592529</v>
      </c>
      <c r="I1694">
        <v>1388.2137451000001</v>
      </c>
      <c r="J1694">
        <v>1370.1881103999999</v>
      </c>
      <c r="K1694">
        <v>0</v>
      </c>
      <c r="L1694">
        <v>2200</v>
      </c>
      <c r="M1694">
        <v>2200</v>
      </c>
      <c r="N1694">
        <v>0</v>
      </c>
    </row>
    <row r="1695" spans="1:14" x14ac:dyDescent="0.25">
      <c r="A1695">
        <v>1359.528057</v>
      </c>
      <c r="B1695" s="1">
        <f>DATE(2014,1,19) + TIME(12,40,24)</f>
        <v>41658.528055555558</v>
      </c>
      <c r="C1695">
        <v>80</v>
      </c>
      <c r="D1695">
        <v>73.739685058999996</v>
      </c>
      <c r="E1695">
        <v>50</v>
      </c>
      <c r="F1695">
        <v>49.973236084</v>
      </c>
      <c r="G1695">
        <v>1302.3936768000001</v>
      </c>
      <c r="H1695">
        <v>1290.1269531</v>
      </c>
      <c r="I1695">
        <v>1388.1901855000001</v>
      </c>
      <c r="J1695">
        <v>1370.1695557</v>
      </c>
      <c r="K1695">
        <v>0</v>
      </c>
      <c r="L1695">
        <v>2200</v>
      </c>
      <c r="M1695">
        <v>2200</v>
      </c>
      <c r="N1695">
        <v>0</v>
      </c>
    </row>
    <row r="1696" spans="1:14" x14ac:dyDescent="0.25">
      <c r="A1696">
        <v>1362.002502</v>
      </c>
      <c r="B1696" s="1">
        <f>DATE(2014,1,22) + TIME(0,3,36)</f>
        <v>41661.002500000002</v>
      </c>
      <c r="C1696">
        <v>80</v>
      </c>
      <c r="D1696">
        <v>73.589096068999993</v>
      </c>
      <c r="E1696">
        <v>50</v>
      </c>
      <c r="F1696">
        <v>49.973274230999998</v>
      </c>
      <c r="G1696">
        <v>1302.2144774999999</v>
      </c>
      <c r="H1696">
        <v>1289.8856201000001</v>
      </c>
      <c r="I1696">
        <v>1388.1668701000001</v>
      </c>
      <c r="J1696">
        <v>1370.1512451000001</v>
      </c>
      <c r="K1696">
        <v>0</v>
      </c>
      <c r="L1696">
        <v>2200</v>
      </c>
      <c r="M1696">
        <v>2200</v>
      </c>
      <c r="N1696">
        <v>0</v>
      </c>
    </row>
    <row r="1697" spans="1:14" x14ac:dyDescent="0.25">
      <c r="A1697">
        <v>1364.5232579999999</v>
      </c>
      <c r="B1697" s="1">
        <f>DATE(2014,1,24) + TIME(12,33,29)</f>
        <v>41663.523252314815</v>
      </c>
      <c r="C1697">
        <v>80</v>
      </c>
      <c r="D1697">
        <v>73.435729980000005</v>
      </c>
      <c r="E1697">
        <v>50</v>
      </c>
      <c r="F1697">
        <v>49.973312378000003</v>
      </c>
      <c r="G1697">
        <v>1302.0285644999999</v>
      </c>
      <c r="H1697">
        <v>1289.6346435999999</v>
      </c>
      <c r="I1697">
        <v>1388.1436768000001</v>
      </c>
      <c r="J1697">
        <v>1370.1330565999999</v>
      </c>
      <c r="K1697">
        <v>0</v>
      </c>
      <c r="L1697">
        <v>2200</v>
      </c>
      <c r="M1697">
        <v>2200</v>
      </c>
      <c r="N1697">
        <v>0</v>
      </c>
    </row>
    <row r="1698" spans="1:14" x14ac:dyDescent="0.25">
      <c r="A1698">
        <v>1367.095286</v>
      </c>
      <c r="B1698" s="1">
        <f>DATE(2014,1,27) + TIME(2,17,12)</f>
        <v>41666.095277777778</v>
      </c>
      <c r="C1698">
        <v>80</v>
      </c>
      <c r="D1698">
        <v>73.279014587000006</v>
      </c>
      <c r="E1698">
        <v>50</v>
      </c>
      <c r="F1698">
        <v>49.973350525000001</v>
      </c>
      <c r="G1698">
        <v>1301.8356934000001</v>
      </c>
      <c r="H1698">
        <v>1289.3732910000001</v>
      </c>
      <c r="I1698">
        <v>1388.1206055</v>
      </c>
      <c r="J1698">
        <v>1370.1148682</v>
      </c>
      <c r="K1698">
        <v>0</v>
      </c>
      <c r="L1698">
        <v>2200</v>
      </c>
      <c r="M1698">
        <v>2200</v>
      </c>
      <c r="N1698">
        <v>0</v>
      </c>
    </row>
    <row r="1699" spans="1:14" x14ac:dyDescent="0.25">
      <c r="A1699">
        <v>1369.7217439999999</v>
      </c>
      <c r="B1699" s="1">
        <f>DATE(2014,1,29) + TIME(17,19,18)</f>
        <v>41668.721736111111</v>
      </c>
      <c r="C1699">
        <v>80</v>
      </c>
      <c r="D1699">
        <v>73.118362426999994</v>
      </c>
      <c r="E1699">
        <v>50</v>
      </c>
      <c r="F1699">
        <v>49.973388671999999</v>
      </c>
      <c r="G1699">
        <v>1301.6352539</v>
      </c>
      <c r="H1699">
        <v>1289.1008300999999</v>
      </c>
      <c r="I1699">
        <v>1388.0976562000001</v>
      </c>
      <c r="J1699">
        <v>1370.0968018000001</v>
      </c>
      <c r="K1699">
        <v>0</v>
      </c>
      <c r="L1699">
        <v>2200</v>
      </c>
      <c r="M1699">
        <v>2200</v>
      </c>
      <c r="N1699">
        <v>0</v>
      </c>
    </row>
    <row r="1700" spans="1:14" x14ac:dyDescent="0.25">
      <c r="A1700">
        <v>1372</v>
      </c>
      <c r="B1700" s="1">
        <f>DATE(2014,2,1) + TIME(0,0,0)</f>
        <v>41671</v>
      </c>
      <c r="C1700">
        <v>80</v>
      </c>
      <c r="D1700">
        <v>72.960273743000002</v>
      </c>
      <c r="E1700">
        <v>50</v>
      </c>
      <c r="F1700">
        <v>49.973423003999997</v>
      </c>
      <c r="G1700">
        <v>1301.4278564000001</v>
      </c>
      <c r="H1700">
        <v>1288.8197021000001</v>
      </c>
      <c r="I1700">
        <v>1388.0744629000001</v>
      </c>
      <c r="J1700">
        <v>1370.0783690999999</v>
      </c>
      <c r="K1700">
        <v>0</v>
      </c>
      <c r="L1700">
        <v>2200</v>
      </c>
      <c r="M1700">
        <v>2200</v>
      </c>
      <c r="N1700">
        <v>0</v>
      </c>
    </row>
    <row r="1701" spans="1:14" x14ac:dyDescent="0.25">
      <c r="A1701">
        <v>1374.6680160000001</v>
      </c>
      <c r="B1701" s="1">
        <f>DATE(2014,2,3) + TIME(16,1,56)</f>
        <v>41673.668009259258</v>
      </c>
      <c r="C1701">
        <v>80</v>
      </c>
      <c r="D1701">
        <v>72.805114746000001</v>
      </c>
      <c r="E1701">
        <v>50</v>
      </c>
      <c r="F1701">
        <v>49.973464966000002</v>
      </c>
      <c r="G1701">
        <v>1301.2397461</v>
      </c>
      <c r="H1701">
        <v>1288.5593262</v>
      </c>
      <c r="I1701">
        <v>1388.0550536999999</v>
      </c>
      <c r="J1701">
        <v>1370.0629882999999</v>
      </c>
      <c r="K1701">
        <v>0</v>
      </c>
      <c r="L1701">
        <v>2200</v>
      </c>
      <c r="M1701">
        <v>2200</v>
      </c>
      <c r="N1701">
        <v>0</v>
      </c>
    </row>
    <row r="1702" spans="1:14" x14ac:dyDescent="0.25">
      <c r="A1702">
        <v>1377.3994809999999</v>
      </c>
      <c r="B1702" s="1">
        <f>DATE(2014,2,6) + TIME(9,35,15)</f>
        <v>41676.39947916667</v>
      </c>
      <c r="C1702">
        <v>80</v>
      </c>
      <c r="D1702">
        <v>72.636810303000004</v>
      </c>
      <c r="E1702">
        <v>50</v>
      </c>
      <c r="F1702">
        <v>49.973503113</v>
      </c>
      <c r="G1702">
        <v>1301.0229492000001</v>
      </c>
      <c r="H1702">
        <v>1288.2629394999999</v>
      </c>
      <c r="I1702">
        <v>1388.0325928</v>
      </c>
      <c r="J1702">
        <v>1370.0451660000001</v>
      </c>
      <c r="K1702">
        <v>0</v>
      </c>
      <c r="L1702">
        <v>2200</v>
      </c>
      <c r="M1702">
        <v>2200</v>
      </c>
      <c r="N1702">
        <v>0</v>
      </c>
    </row>
    <row r="1703" spans="1:14" x14ac:dyDescent="0.25">
      <c r="A1703">
        <v>1380.169766</v>
      </c>
      <c r="B1703" s="1">
        <f>DATE(2014,2,9) + TIME(4,4,27)</f>
        <v>41679.169756944444</v>
      </c>
      <c r="C1703">
        <v>80</v>
      </c>
      <c r="D1703">
        <v>72.460731506000002</v>
      </c>
      <c r="E1703">
        <v>50</v>
      </c>
      <c r="F1703">
        <v>49.973545074</v>
      </c>
      <c r="G1703">
        <v>1300.7958983999999</v>
      </c>
      <c r="H1703">
        <v>1287.9509277</v>
      </c>
      <c r="I1703">
        <v>1388.0098877</v>
      </c>
      <c r="J1703">
        <v>1370.0270995999999</v>
      </c>
      <c r="K1703">
        <v>0</v>
      </c>
      <c r="L1703">
        <v>2200</v>
      </c>
      <c r="M1703">
        <v>2200</v>
      </c>
      <c r="N1703">
        <v>0</v>
      </c>
    </row>
    <row r="1704" spans="1:14" x14ac:dyDescent="0.25">
      <c r="A1704">
        <v>1382.9853270000001</v>
      </c>
      <c r="B1704" s="1">
        <f>DATE(2014,2,11) + TIME(23,38,52)</f>
        <v>41681.985324074078</v>
      </c>
      <c r="C1704">
        <v>80</v>
      </c>
      <c r="D1704">
        <v>72.278617858999993</v>
      </c>
      <c r="E1704">
        <v>50</v>
      </c>
      <c r="F1704">
        <v>49.973587035999998</v>
      </c>
      <c r="G1704">
        <v>1300.5612793</v>
      </c>
      <c r="H1704">
        <v>1287.6273193</v>
      </c>
      <c r="I1704">
        <v>1387.9873047000001</v>
      </c>
      <c r="J1704">
        <v>1370.0091553</v>
      </c>
      <c r="K1704">
        <v>0</v>
      </c>
      <c r="L1704">
        <v>2200</v>
      </c>
      <c r="M1704">
        <v>2200</v>
      </c>
      <c r="N1704">
        <v>0</v>
      </c>
    </row>
    <row r="1705" spans="1:14" x14ac:dyDescent="0.25">
      <c r="A1705">
        <v>1385.8522599999999</v>
      </c>
      <c r="B1705" s="1">
        <f>DATE(2014,2,14) + TIME(20,27,15)</f>
        <v>41684.852256944447</v>
      </c>
      <c r="C1705">
        <v>80</v>
      </c>
      <c r="D1705">
        <v>72.090187072999996</v>
      </c>
      <c r="E1705">
        <v>50</v>
      </c>
      <c r="F1705">
        <v>49.973628998000002</v>
      </c>
      <c r="G1705">
        <v>1300.3190918</v>
      </c>
      <c r="H1705">
        <v>1287.2919922000001</v>
      </c>
      <c r="I1705">
        <v>1387.9648437999999</v>
      </c>
      <c r="J1705">
        <v>1369.9910889</v>
      </c>
      <c r="K1705">
        <v>0</v>
      </c>
      <c r="L1705">
        <v>2200</v>
      </c>
      <c r="M1705">
        <v>2200</v>
      </c>
      <c r="N1705">
        <v>0</v>
      </c>
    </row>
    <row r="1706" spans="1:14" x14ac:dyDescent="0.25">
      <c r="A1706">
        <v>1388.776826</v>
      </c>
      <c r="B1706" s="1">
        <f>DATE(2014,2,17) + TIME(18,38,37)</f>
        <v>41687.776817129627</v>
      </c>
      <c r="C1706">
        <v>80</v>
      </c>
      <c r="D1706">
        <v>71.894615173000005</v>
      </c>
      <c r="E1706">
        <v>50</v>
      </c>
      <c r="F1706">
        <v>49.973670959000003</v>
      </c>
      <c r="G1706">
        <v>1300.0687256000001</v>
      </c>
      <c r="H1706">
        <v>1286.9443358999999</v>
      </c>
      <c r="I1706">
        <v>1387.9422606999999</v>
      </c>
      <c r="J1706">
        <v>1369.9730225000001</v>
      </c>
      <c r="K1706">
        <v>0</v>
      </c>
      <c r="L1706">
        <v>2200</v>
      </c>
      <c r="M1706">
        <v>2200</v>
      </c>
      <c r="N1706">
        <v>0</v>
      </c>
    </row>
    <row r="1707" spans="1:14" x14ac:dyDescent="0.25">
      <c r="A1707">
        <v>1391.7372820000001</v>
      </c>
      <c r="B1707" s="1">
        <f>DATE(2014,2,20) + TIME(17,41,41)</f>
        <v>41690.737280092595</v>
      </c>
      <c r="C1707">
        <v>80</v>
      </c>
      <c r="D1707">
        <v>71.691322326999995</v>
      </c>
      <c r="E1707">
        <v>50</v>
      </c>
      <c r="F1707">
        <v>49.973716736</v>
      </c>
      <c r="G1707">
        <v>1299.8098144999999</v>
      </c>
      <c r="H1707">
        <v>1286.5838623</v>
      </c>
      <c r="I1707">
        <v>1387.9195557</v>
      </c>
      <c r="J1707">
        <v>1369.9547118999999</v>
      </c>
      <c r="K1707">
        <v>0</v>
      </c>
      <c r="L1707">
        <v>2200</v>
      </c>
      <c r="M1707">
        <v>2200</v>
      </c>
      <c r="N1707">
        <v>0</v>
      </c>
    </row>
    <row r="1708" spans="1:14" x14ac:dyDescent="0.25">
      <c r="A1708">
        <v>1394.7325960000001</v>
      </c>
      <c r="B1708" s="1">
        <f>DATE(2014,2,23) + TIME(17,34,56)</f>
        <v>41693.732592592591</v>
      </c>
      <c r="C1708">
        <v>80</v>
      </c>
      <c r="D1708">
        <v>71.480529785000002</v>
      </c>
      <c r="E1708">
        <v>50</v>
      </c>
      <c r="F1708">
        <v>49.973758697999997</v>
      </c>
      <c r="G1708">
        <v>1299.5439452999999</v>
      </c>
      <c r="H1708">
        <v>1286.2125243999999</v>
      </c>
      <c r="I1708">
        <v>1387.8967285000001</v>
      </c>
      <c r="J1708">
        <v>1369.9364014</v>
      </c>
      <c r="K1708">
        <v>0</v>
      </c>
      <c r="L1708">
        <v>2200</v>
      </c>
      <c r="M1708">
        <v>2200</v>
      </c>
      <c r="N1708">
        <v>0</v>
      </c>
    </row>
    <row r="1709" spans="1:14" x14ac:dyDescent="0.25">
      <c r="A1709">
        <v>1397.7698680000001</v>
      </c>
      <c r="B1709" s="1">
        <f>DATE(2014,2,26) + TIME(18,28,36)</f>
        <v>41696.769861111112</v>
      </c>
      <c r="C1709">
        <v>80</v>
      </c>
      <c r="D1709">
        <v>71.26171875</v>
      </c>
      <c r="E1709">
        <v>50</v>
      </c>
      <c r="F1709">
        <v>49.973804473999998</v>
      </c>
      <c r="G1709">
        <v>1299.2714844</v>
      </c>
      <c r="H1709">
        <v>1285.8305664</v>
      </c>
      <c r="I1709">
        <v>1387.8741454999999</v>
      </c>
      <c r="J1709">
        <v>1369.9180908000001</v>
      </c>
      <c r="K1709">
        <v>0</v>
      </c>
      <c r="L1709">
        <v>2200</v>
      </c>
      <c r="M1709">
        <v>2200</v>
      </c>
      <c r="N1709">
        <v>0</v>
      </c>
    </row>
    <row r="1710" spans="1:14" x14ac:dyDescent="0.25">
      <c r="A1710">
        <v>1400</v>
      </c>
      <c r="B1710" s="1">
        <f>DATE(2014,3,1) + TIME(0,0,0)</f>
        <v>41699</v>
      </c>
      <c r="C1710">
        <v>80</v>
      </c>
      <c r="D1710">
        <v>71.051467896000005</v>
      </c>
      <c r="E1710">
        <v>50</v>
      </c>
      <c r="F1710">
        <v>49.973834990999997</v>
      </c>
      <c r="G1710">
        <v>1298.9949951000001</v>
      </c>
      <c r="H1710">
        <v>1285.4461670000001</v>
      </c>
      <c r="I1710">
        <v>1387.8509521000001</v>
      </c>
      <c r="J1710">
        <v>1369.8992920000001</v>
      </c>
      <c r="K1710">
        <v>0</v>
      </c>
      <c r="L1710">
        <v>2200</v>
      </c>
      <c r="M1710">
        <v>2200</v>
      </c>
      <c r="N1710">
        <v>0</v>
      </c>
    </row>
    <row r="1711" spans="1:14" x14ac:dyDescent="0.25">
      <c r="A1711">
        <v>1403.086274</v>
      </c>
      <c r="B1711" s="1">
        <f>DATE(2014,3,4) + TIME(2,4,14)</f>
        <v>41702.086273148147</v>
      </c>
      <c r="C1711">
        <v>80</v>
      </c>
      <c r="D1711">
        <v>70.852455139</v>
      </c>
      <c r="E1711">
        <v>50</v>
      </c>
      <c r="F1711">
        <v>49.973880768000001</v>
      </c>
      <c r="G1711">
        <v>1298.7758789</v>
      </c>
      <c r="H1711">
        <v>1285.1291504000001</v>
      </c>
      <c r="I1711">
        <v>1387.8347168</v>
      </c>
      <c r="J1711">
        <v>1369.8861084</v>
      </c>
      <c r="K1711">
        <v>0</v>
      </c>
      <c r="L1711">
        <v>2200</v>
      </c>
      <c r="M1711">
        <v>2200</v>
      </c>
      <c r="N1711">
        <v>0</v>
      </c>
    </row>
    <row r="1712" spans="1:14" x14ac:dyDescent="0.25">
      <c r="A1712">
        <v>1406.2641410000001</v>
      </c>
      <c r="B1712" s="1">
        <f>DATE(2014,3,7) + TIME(6,20,21)</f>
        <v>41705.264131944445</v>
      </c>
      <c r="C1712">
        <v>80</v>
      </c>
      <c r="D1712">
        <v>70.616104125999996</v>
      </c>
      <c r="E1712">
        <v>50</v>
      </c>
      <c r="F1712">
        <v>49.973926544000001</v>
      </c>
      <c r="G1712">
        <v>1298.4926757999999</v>
      </c>
      <c r="H1712">
        <v>1284.7318115</v>
      </c>
      <c r="I1712">
        <v>1387.8118896000001</v>
      </c>
      <c r="J1712">
        <v>1369.8675536999999</v>
      </c>
      <c r="K1712">
        <v>0</v>
      </c>
      <c r="L1712">
        <v>2200</v>
      </c>
      <c r="M1712">
        <v>2200</v>
      </c>
      <c r="N1712">
        <v>0</v>
      </c>
    </row>
    <row r="1713" spans="1:14" x14ac:dyDescent="0.25">
      <c r="A1713">
        <v>1409.4888840000001</v>
      </c>
      <c r="B1713" s="1">
        <f>DATE(2014,3,10) + TIME(11,43,59)</f>
        <v>41708.488877314812</v>
      </c>
      <c r="C1713">
        <v>80</v>
      </c>
      <c r="D1713">
        <v>70.360473632999998</v>
      </c>
      <c r="E1713">
        <v>50</v>
      </c>
      <c r="F1713">
        <v>49.973972320999998</v>
      </c>
      <c r="G1713">
        <v>1298.1936035000001</v>
      </c>
      <c r="H1713">
        <v>1284.3088379000001</v>
      </c>
      <c r="I1713">
        <v>1387.7885742000001</v>
      </c>
      <c r="J1713">
        <v>1369.8485106999999</v>
      </c>
      <c r="K1713">
        <v>0</v>
      </c>
      <c r="L1713">
        <v>2200</v>
      </c>
      <c r="M1713">
        <v>2200</v>
      </c>
      <c r="N1713">
        <v>0</v>
      </c>
    </row>
    <row r="1714" spans="1:14" x14ac:dyDescent="0.25">
      <c r="A1714">
        <v>1412.7687559999999</v>
      </c>
      <c r="B1714" s="1">
        <f>DATE(2014,3,13) + TIME(18,27,0)</f>
        <v>41711.768750000003</v>
      </c>
      <c r="C1714">
        <v>80</v>
      </c>
      <c r="D1714">
        <v>70.091148376000007</v>
      </c>
      <c r="E1714">
        <v>50</v>
      </c>
      <c r="F1714">
        <v>49.974018096999998</v>
      </c>
      <c r="G1714">
        <v>1297.8859863</v>
      </c>
      <c r="H1714">
        <v>1283.871582</v>
      </c>
      <c r="I1714">
        <v>1387.7651367000001</v>
      </c>
      <c r="J1714">
        <v>1369.8292236</v>
      </c>
      <c r="K1714">
        <v>0</v>
      </c>
      <c r="L1714">
        <v>2200</v>
      </c>
      <c r="M1714">
        <v>2200</v>
      </c>
      <c r="N1714">
        <v>0</v>
      </c>
    </row>
    <row r="1715" spans="1:14" x14ac:dyDescent="0.25">
      <c r="A1715">
        <v>1416.1116589999999</v>
      </c>
      <c r="B1715" s="1">
        <f>DATE(2014,3,17) + TIME(2,40,47)</f>
        <v>41715.111655092594</v>
      </c>
      <c r="C1715">
        <v>80</v>
      </c>
      <c r="D1715">
        <v>69.807830811000002</v>
      </c>
      <c r="E1715">
        <v>50</v>
      </c>
      <c r="F1715">
        <v>49.974063872999999</v>
      </c>
      <c r="G1715">
        <v>1297.5701904</v>
      </c>
      <c r="H1715">
        <v>1283.4211425999999</v>
      </c>
      <c r="I1715">
        <v>1387.7413329999999</v>
      </c>
      <c r="J1715">
        <v>1369.8095702999999</v>
      </c>
      <c r="K1715">
        <v>0</v>
      </c>
      <c r="L1715">
        <v>2200</v>
      </c>
      <c r="M1715">
        <v>2200</v>
      </c>
      <c r="N1715">
        <v>0</v>
      </c>
    </row>
    <row r="1716" spans="1:14" x14ac:dyDescent="0.25">
      <c r="A1716">
        <v>1419.5261579999999</v>
      </c>
      <c r="B1716" s="1">
        <f>DATE(2014,3,20) + TIME(12,37,40)</f>
        <v>41718.52615740741</v>
      </c>
      <c r="C1716">
        <v>80</v>
      </c>
      <c r="D1716">
        <v>69.509109496999997</v>
      </c>
      <c r="E1716">
        <v>50</v>
      </c>
      <c r="F1716">
        <v>49.974113463999998</v>
      </c>
      <c r="G1716">
        <v>1297.2460937999999</v>
      </c>
      <c r="H1716">
        <v>1282.9575195</v>
      </c>
      <c r="I1716">
        <v>1387.7171631000001</v>
      </c>
      <c r="J1716">
        <v>1369.7896728999999</v>
      </c>
      <c r="K1716">
        <v>0</v>
      </c>
      <c r="L1716">
        <v>2200</v>
      </c>
      <c r="M1716">
        <v>2200</v>
      </c>
      <c r="N1716">
        <v>0</v>
      </c>
    </row>
    <row r="1717" spans="1:14" x14ac:dyDescent="0.25">
      <c r="A1717">
        <v>1423.009339</v>
      </c>
      <c r="B1717" s="1">
        <f>DATE(2014,3,24) + TIME(0,13,26)</f>
        <v>41722.009328703702</v>
      </c>
      <c r="C1717">
        <v>80</v>
      </c>
      <c r="D1717">
        <v>69.193946838000002</v>
      </c>
      <c r="E1717">
        <v>50</v>
      </c>
      <c r="F1717">
        <v>49.974159241000002</v>
      </c>
      <c r="G1717">
        <v>1296.9133300999999</v>
      </c>
      <c r="H1717">
        <v>1282.4796143000001</v>
      </c>
      <c r="I1717">
        <v>1387.6925048999999</v>
      </c>
      <c r="J1717">
        <v>1369.7692870999999</v>
      </c>
      <c r="K1717">
        <v>0</v>
      </c>
      <c r="L1717">
        <v>2200</v>
      </c>
      <c r="M1717">
        <v>2200</v>
      </c>
      <c r="N1717">
        <v>0</v>
      </c>
    </row>
    <row r="1718" spans="1:14" x14ac:dyDescent="0.25">
      <c r="A1718">
        <v>1426.5509360000001</v>
      </c>
      <c r="B1718" s="1">
        <f>DATE(2014,3,27) + TIME(13,13,20)</f>
        <v>41725.550925925927</v>
      </c>
      <c r="C1718">
        <v>80</v>
      </c>
      <c r="D1718">
        <v>68.861495972</v>
      </c>
      <c r="E1718">
        <v>50</v>
      </c>
      <c r="F1718">
        <v>49.974208832000002</v>
      </c>
      <c r="G1718">
        <v>1296.5721435999999</v>
      </c>
      <c r="H1718">
        <v>1281.9881591999999</v>
      </c>
      <c r="I1718">
        <v>1387.6673584</v>
      </c>
      <c r="J1718">
        <v>1369.7482910000001</v>
      </c>
      <c r="K1718">
        <v>0</v>
      </c>
      <c r="L1718">
        <v>2200</v>
      </c>
      <c r="M1718">
        <v>2200</v>
      </c>
      <c r="N1718">
        <v>0</v>
      </c>
    </row>
    <row r="1719" spans="1:14" x14ac:dyDescent="0.25">
      <c r="A1719">
        <v>1430.1610929999999</v>
      </c>
      <c r="B1719" s="1">
        <f>DATE(2014,3,31) + TIME(3,51,58)</f>
        <v>41729.161087962966</v>
      </c>
      <c r="C1719">
        <v>80</v>
      </c>
      <c r="D1719">
        <v>68.511566161999994</v>
      </c>
      <c r="E1719">
        <v>50</v>
      </c>
      <c r="F1719">
        <v>49.974258423000002</v>
      </c>
      <c r="G1719">
        <v>1296.2237548999999</v>
      </c>
      <c r="H1719">
        <v>1281.4846190999999</v>
      </c>
      <c r="I1719">
        <v>1387.6418457</v>
      </c>
      <c r="J1719">
        <v>1369.7270507999999</v>
      </c>
      <c r="K1719">
        <v>0</v>
      </c>
      <c r="L1719">
        <v>2200</v>
      </c>
      <c r="M1719">
        <v>2200</v>
      </c>
      <c r="N1719">
        <v>0</v>
      </c>
    </row>
    <row r="1720" spans="1:14" x14ac:dyDescent="0.25">
      <c r="A1720">
        <v>1431</v>
      </c>
      <c r="B1720" s="1">
        <f>DATE(2014,4,1) + TIME(0,0,0)</f>
        <v>41730</v>
      </c>
      <c r="C1720">
        <v>80</v>
      </c>
      <c r="D1720">
        <v>68.282875060999999</v>
      </c>
      <c r="E1720">
        <v>50</v>
      </c>
      <c r="F1720">
        <v>49.974266051999997</v>
      </c>
      <c r="G1720">
        <v>1295.8874512</v>
      </c>
      <c r="H1720">
        <v>1281.0310059000001</v>
      </c>
      <c r="I1720">
        <v>1387.614624</v>
      </c>
      <c r="J1720">
        <v>1369.7041016000001</v>
      </c>
      <c r="K1720">
        <v>0</v>
      </c>
      <c r="L1720">
        <v>2200</v>
      </c>
      <c r="M1720">
        <v>2200</v>
      </c>
      <c r="N1720">
        <v>0</v>
      </c>
    </row>
    <row r="1721" spans="1:14" x14ac:dyDescent="0.25">
      <c r="A1721">
        <v>1434.689216</v>
      </c>
      <c r="B1721" s="1">
        <f>DATE(2014,4,4) + TIME(16,32,28)</f>
        <v>41733.689212962963</v>
      </c>
      <c r="C1721">
        <v>80</v>
      </c>
      <c r="D1721">
        <v>68.028274535999998</v>
      </c>
      <c r="E1721">
        <v>50</v>
      </c>
      <c r="F1721">
        <v>49.974319457999997</v>
      </c>
      <c r="G1721">
        <v>1295.7651367000001</v>
      </c>
      <c r="H1721">
        <v>1280.8084716999999</v>
      </c>
      <c r="I1721">
        <v>1387.6097411999999</v>
      </c>
      <c r="J1721">
        <v>1369.6999512</v>
      </c>
      <c r="K1721">
        <v>0</v>
      </c>
      <c r="L1721">
        <v>2200</v>
      </c>
      <c r="M1721">
        <v>2200</v>
      </c>
      <c r="N1721">
        <v>0</v>
      </c>
    </row>
    <row r="1722" spans="1:14" x14ac:dyDescent="0.25">
      <c r="A1722">
        <v>1438.491935</v>
      </c>
      <c r="B1722" s="1">
        <f>DATE(2014,4,8) + TIME(11,48,23)</f>
        <v>41737.491932870369</v>
      </c>
      <c r="C1722">
        <v>80</v>
      </c>
      <c r="D1722">
        <v>67.656898498999993</v>
      </c>
      <c r="E1722">
        <v>50</v>
      </c>
      <c r="F1722">
        <v>49.974372864000003</v>
      </c>
      <c r="G1722">
        <v>1295.4173584</v>
      </c>
      <c r="H1722">
        <v>1280.3099365</v>
      </c>
      <c r="I1722">
        <v>1387.5827637</v>
      </c>
      <c r="J1722">
        <v>1369.6773682</v>
      </c>
      <c r="K1722">
        <v>0</v>
      </c>
      <c r="L1722">
        <v>2200</v>
      </c>
      <c r="M1722">
        <v>2200</v>
      </c>
      <c r="N1722">
        <v>0</v>
      </c>
    </row>
    <row r="1723" spans="1:14" x14ac:dyDescent="0.25">
      <c r="A1723">
        <v>1442.392392</v>
      </c>
      <c r="B1723" s="1">
        <f>DATE(2014,4,12) + TIME(9,25,2)</f>
        <v>41741.392384259256</v>
      </c>
      <c r="C1723">
        <v>80</v>
      </c>
      <c r="D1723">
        <v>67.243759155000006</v>
      </c>
      <c r="E1723">
        <v>50</v>
      </c>
      <c r="F1723">
        <v>49.974422455000003</v>
      </c>
      <c r="G1723">
        <v>1295.0460204999999</v>
      </c>
      <c r="H1723">
        <v>1279.7684326000001</v>
      </c>
      <c r="I1723">
        <v>1387.5550536999999</v>
      </c>
      <c r="J1723">
        <v>1369.6539307</v>
      </c>
      <c r="K1723">
        <v>0</v>
      </c>
      <c r="L1723">
        <v>2200</v>
      </c>
      <c r="M1723">
        <v>2200</v>
      </c>
      <c r="N1723">
        <v>0</v>
      </c>
    </row>
    <row r="1724" spans="1:14" x14ac:dyDescent="0.25">
      <c r="A1724">
        <v>1446.378592</v>
      </c>
      <c r="B1724" s="1">
        <f>DATE(2014,4,16) + TIME(9,5,10)</f>
        <v>41745.378587962965</v>
      </c>
      <c r="C1724">
        <v>80</v>
      </c>
      <c r="D1724">
        <v>66.803871154999996</v>
      </c>
      <c r="E1724">
        <v>50</v>
      </c>
      <c r="F1724">
        <v>49.974475861000002</v>
      </c>
      <c r="G1724">
        <v>1294.6633300999999</v>
      </c>
      <c r="H1724">
        <v>1279.2070312000001</v>
      </c>
      <c r="I1724">
        <v>1387.5263672000001</v>
      </c>
      <c r="J1724">
        <v>1369.6295166</v>
      </c>
      <c r="K1724">
        <v>0</v>
      </c>
      <c r="L1724">
        <v>2200</v>
      </c>
      <c r="M1724">
        <v>2200</v>
      </c>
      <c r="N1724">
        <v>0</v>
      </c>
    </row>
    <row r="1725" spans="1:14" x14ac:dyDescent="0.25">
      <c r="A1725">
        <v>1450.4651699999999</v>
      </c>
      <c r="B1725" s="1">
        <f>DATE(2014,4,20) + TIME(11,9,50)</f>
        <v>41749.465162037035</v>
      </c>
      <c r="C1725">
        <v>80</v>
      </c>
      <c r="D1725">
        <v>66.340087890999996</v>
      </c>
      <c r="E1725">
        <v>50</v>
      </c>
      <c r="F1725">
        <v>49.974533080999997</v>
      </c>
      <c r="G1725">
        <v>1294.2729492000001</v>
      </c>
      <c r="H1725">
        <v>1278.6318358999999</v>
      </c>
      <c r="I1725">
        <v>1387.4969481999999</v>
      </c>
      <c r="J1725">
        <v>1369.6043701000001</v>
      </c>
      <c r="K1725">
        <v>0</v>
      </c>
      <c r="L1725">
        <v>2200</v>
      </c>
      <c r="M1725">
        <v>2200</v>
      </c>
      <c r="N1725">
        <v>0</v>
      </c>
    </row>
    <row r="1726" spans="1:14" x14ac:dyDescent="0.25">
      <c r="A1726">
        <v>1454.66822</v>
      </c>
      <c r="B1726" s="1">
        <f>DATE(2014,4,24) + TIME(16,2,14)</f>
        <v>41753.668217592596</v>
      </c>
      <c r="C1726">
        <v>80</v>
      </c>
      <c r="D1726">
        <v>65.851417541999993</v>
      </c>
      <c r="E1726">
        <v>50</v>
      </c>
      <c r="F1726">
        <v>49.974586487000003</v>
      </c>
      <c r="G1726">
        <v>1293.8751221</v>
      </c>
      <c r="H1726">
        <v>1278.0432129000001</v>
      </c>
      <c r="I1726">
        <v>1387.4664307</v>
      </c>
      <c r="J1726">
        <v>1369.5782471</v>
      </c>
      <c r="K1726">
        <v>0</v>
      </c>
      <c r="L1726">
        <v>2200</v>
      </c>
      <c r="M1726">
        <v>2200</v>
      </c>
      <c r="N1726">
        <v>0</v>
      </c>
    </row>
    <row r="1727" spans="1:14" x14ac:dyDescent="0.25">
      <c r="A1727">
        <v>1458.9803179999999</v>
      </c>
      <c r="B1727" s="1">
        <f>DATE(2014,4,28) + TIME(23,31,39)</f>
        <v>41757.980312500003</v>
      </c>
      <c r="C1727">
        <v>80</v>
      </c>
      <c r="D1727">
        <v>65.336334229000002</v>
      </c>
      <c r="E1727">
        <v>50</v>
      </c>
      <c r="F1727">
        <v>49.974643706999998</v>
      </c>
      <c r="G1727">
        <v>1293.4691161999999</v>
      </c>
      <c r="H1727">
        <v>1277.4403076000001</v>
      </c>
      <c r="I1727">
        <v>1387.4349365</v>
      </c>
      <c r="J1727">
        <v>1369.5510254000001</v>
      </c>
      <c r="K1727">
        <v>0</v>
      </c>
      <c r="L1727">
        <v>2200</v>
      </c>
      <c r="M1727">
        <v>2200</v>
      </c>
      <c r="N1727">
        <v>0</v>
      </c>
    </row>
    <row r="1728" spans="1:14" x14ac:dyDescent="0.25">
      <c r="A1728">
        <v>1461</v>
      </c>
      <c r="B1728" s="1">
        <f>DATE(2014,5,1) + TIME(0,0,0)</f>
        <v>41760</v>
      </c>
      <c r="C1728">
        <v>80</v>
      </c>
      <c r="D1728">
        <v>64.877967834000003</v>
      </c>
      <c r="E1728">
        <v>50</v>
      </c>
      <c r="F1728">
        <v>49.974666595000002</v>
      </c>
      <c r="G1728">
        <v>1293.0643310999999</v>
      </c>
      <c r="H1728">
        <v>1276.8581543</v>
      </c>
      <c r="I1728">
        <v>1387.4016113</v>
      </c>
      <c r="J1728">
        <v>1369.5222168</v>
      </c>
      <c r="K1728">
        <v>0</v>
      </c>
      <c r="L1728">
        <v>2200</v>
      </c>
      <c r="M1728">
        <v>2200</v>
      </c>
      <c r="N1728">
        <v>0</v>
      </c>
    </row>
    <row r="1729" spans="1:14" x14ac:dyDescent="0.25">
      <c r="A1729">
        <v>1461.0000010000001</v>
      </c>
      <c r="B1729" s="1">
        <f>DATE(2014,5,1) + TIME(0,0,0)</f>
        <v>41760</v>
      </c>
      <c r="C1729">
        <v>80</v>
      </c>
      <c r="D1729">
        <v>64.878112793</v>
      </c>
      <c r="E1729">
        <v>50</v>
      </c>
      <c r="F1729">
        <v>49.974563599</v>
      </c>
      <c r="G1729">
        <v>1310.7185059000001</v>
      </c>
      <c r="H1729">
        <v>1294.0019531</v>
      </c>
      <c r="I1729">
        <v>1368.7205810999999</v>
      </c>
      <c r="J1729">
        <v>1351.4542236</v>
      </c>
      <c r="K1729">
        <v>2200</v>
      </c>
      <c r="L1729">
        <v>0</v>
      </c>
      <c r="M1729">
        <v>0</v>
      </c>
      <c r="N1729">
        <v>2200</v>
      </c>
    </row>
    <row r="1730" spans="1:14" x14ac:dyDescent="0.25">
      <c r="A1730">
        <v>1461.000004</v>
      </c>
      <c r="B1730" s="1">
        <f>DATE(2014,5,1) + TIME(0,0,0)</f>
        <v>41760</v>
      </c>
      <c r="C1730">
        <v>80</v>
      </c>
      <c r="D1730">
        <v>64.878494262999993</v>
      </c>
      <c r="E1730">
        <v>50</v>
      </c>
      <c r="F1730">
        <v>49.97429657</v>
      </c>
      <c r="G1730">
        <v>1312.8911132999999</v>
      </c>
      <c r="H1730">
        <v>1296.4201660000001</v>
      </c>
      <c r="I1730">
        <v>1366.5825195</v>
      </c>
      <c r="J1730">
        <v>1349.3154297000001</v>
      </c>
      <c r="K1730">
        <v>2200</v>
      </c>
      <c r="L1730">
        <v>0</v>
      </c>
      <c r="M1730">
        <v>0</v>
      </c>
      <c r="N1730">
        <v>2200</v>
      </c>
    </row>
    <row r="1731" spans="1:14" x14ac:dyDescent="0.25">
      <c r="A1731">
        <v>1461.0000130000001</v>
      </c>
      <c r="B1731" s="1">
        <f>DATE(2014,5,1) + TIME(0,0,1)</f>
        <v>41760.000011574077</v>
      </c>
      <c r="C1731">
        <v>80</v>
      </c>
      <c r="D1731">
        <v>64.879348754999995</v>
      </c>
      <c r="E1731">
        <v>50</v>
      </c>
      <c r="F1731">
        <v>49.973690032999997</v>
      </c>
      <c r="G1731">
        <v>1317.6536865</v>
      </c>
      <c r="H1731">
        <v>1301.5096435999999</v>
      </c>
      <c r="I1731">
        <v>1361.7862548999999</v>
      </c>
      <c r="J1731">
        <v>1344.5183105000001</v>
      </c>
      <c r="K1731">
        <v>2200</v>
      </c>
      <c r="L1731">
        <v>0</v>
      </c>
      <c r="M1731">
        <v>0</v>
      </c>
      <c r="N1731">
        <v>2200</v>
      </c>
    </row>
    <row r="1732" spans="1:14" x14ac:dyDescent="0.25">
      <c r="A1732">
        <v>1461.0000399999999</v>
      </c>
      <c r="B1732" s="1">
        <f>DATE(2014,5,1) + TIME(0,0,3)</f>
        <v>41760.000034722223</v>
      </c>
      <c r="C1732">
        <v>80</v>
      </c>
      <c r="D1732">
        <v>64.880928040000001</v>
      </c>
      <c r="E1732">
        <v>50</v>
      </c>
      <c r="F1732">
        <v>49.972679137999997</v>
      </c>
      <c r="G1732">
        <v>1325.4013672000001</v>
      </c>
      <c r="H1732">
        <v>1309.390625</v>
      </c>
      <c r="I1732">
        <v>1353.7711182</v>
      </c>
      <c r="J1732">
        <v>1336.5039062000001</v>
      </c>
      <c r="K1732">
        <v>2200</v>
      </c>
      <c r="L1732">
        <v>0</v>
      </c>
      <c r="M1732">
        <v>0</v>
      </c>
      <c r="N1732">
        <v>2200</v>
      </c>
    </row>
    <row r="1733" spans="1:14" x14ac:dyDescent="0.25">
      <c r="A1733">
        <v>1461.000121</v>
      </c>
      <c r="B1733" s="1">
        <f>DATE(2014,5,1) + TIME(0,0,10)</f>
        <v>41760.000115740739</v>
      </c>
      <c r="C1733">
        <v>80</v>
      </c>
      <c r="D1733">
        <v>64.883728027000004</v>
      </c>
      <c r="E1733">
        <v>50</v>
      </c>
      <c r="F1733">
        <v>49.971439361999998</v>
      </c>
      <c r="G1733">
        <v>1334.737793</v>
      </c>
      <c r="H1733">
        <v>1318.6193848</v>
      </c>
      <c r="I1733">
        <v>1343.9868164</v>
      </c>
      <c r="J1733">
        <v>1326.723999</v>
      </c>
      <c r="K1733">
        <v>2200</v>
      </c>
      <c r="L1733">
        <v>0</v>
      </c>
      <c r="M1733">
        <v>0</v>
      </c>
      <c r="N1733">
        <v>2200</v>
      </c>
    </row>
    <row r="1734" spans="1:14" x14ac:dyDescent="0.25">
      <c r="A1734">
        <v>1461.000364</v>
      </c>
      <c r="B1734" s="1">
        <f>DATE(2014,5,1) + TIME(0,0,31)</f>
        <v>41760.000358796293</v>
      </c>
      <c r="C1734">
        <v>80</v>
      </c>
      <c r="D1734">
        <v>64.889739989999995</v>
      </c>
      <c r="E1734">
        <v>50</v>
      </c>
      <c r="F1734">
        <v>49.970146178999997</v>
      </c>
      <c r="G1734">
        <v>1344.4274902</v>
      </c>
      <c r="H1734">
        <v>1328.15625</v>
      </c>
      <c r="I1734">
        <v>1333.9141846</v>
      </c>
      <c r="J1734">
        <v>1316.659668</v>
      </c>
      <c r="K1734">
        <v>2200</v>
      </c>
      <c r="L1734">
        <v>0</v>
      </c>
      <c r="M1734">
        <v>0</v>
      </c>
      <c r="N1734">
        <v>2200</v>
      </c>
    </row>
    <row r="1735" spans="1:14" x14ac:dyDescent="0.25">
      <c r="A1735">
        <v>1461.0010930000001</v>
      </c>
      <c r="B1735" s="1">
        <f>DATE(2014,5,1) + TIME(0,1,34)</f>
        <v>41760.001087962963</v>
      </c>
      <c r="C1735">
        <v>80</v>
      </c>
      <c r="D1735">
        <v>64.905380249000004</v>
      </c>
      <c r="E1735">
        <v>50</v>
      </c>
      <c r="F1735">
        <v>49.968803405999999</v>
      </c>
      <c r="G1735">
        <v>1354.3836670000001</v>
      </c>
      <c r="H1735">
        <v>1337.9401855000001</v>
      </c>
      <c r="I1735">
        <v>1323.847168</v>
      </c>
      <c r="J1735">
        <v>1306.5996094</v>
      </c>
      <c r="K1735">
        <v>2200</v>
      </c>
      <c r="L1735">
        <v>0</v>
      </c>
      <c r="M1735">
        <v>0</v>
      </c>
      <c r="N1735">
        <v>2200</v>
      </c>
    </row>
    <row r="1736" spans="1:14" x14ac:dyDescent="0.25">
      <c r="A1736">
        <v>1461.0032799999999</v>
      </c>
      <c r="B1736" s="1">
        <f>DATE(2014,5,1) + TIME(0,4,43)</f>
        <v>41760.003275462965</v>
      </c>
      <c r="C1736">
        <v>80</v>
      </c>
      <c r="D1736">
        <v>64.950164795000006</v>
      </c>
      <c r="E1736">
        <v>50</v>
      </c>
      <c r="F1736">
        <v>49.967300414999997</v>
      </c>
      <c r="G1736">
        <v>1364.7955322</v>
      </c>
      <c r="H1736">
        <v>1348.1470947</v>
      </c>
      <c r="I1736">
        <v>1313.7476807</v>
      </c>
      <c r="J1736">
        <v>1296.4711914</v>
      </c>
      <c r="K1736">
        <v>2200</v>
      </c>
      <c r="L1736">
        <v>0</v>
      </c>
      <c r="M1736">
        <v>0</v>
      </c>
      <c r="N1736">
        <v>2200</v>
      </c>
    </row>
    <row r="1737" spans="1:14" x14ac:dyDescent="0.25">
      <c r="A1737">
        <v>1461.0098410000001</v>
      </c>
      <c r="B1737" s="1">
        <f>DATE(2014,5,1) + TIME(0,14,10)</f>
        <v>41760.009837962964</v>
      </c>
      <c r="C1737">
        <v>80</v>
      </c>
      <c r="D1737">
        <v>65.082160950000002</v>
      </c>
      <c r="E1737">
        <v>50</v>
      </c>
      <c r="F1737">
        <v>49.965396880999997</v>
      </c>
      <c r="G1737">
        <v>1374.8923339999999</v>
      </c>
      <c r="H1737">
        <v>1358.0764160000001</v>
      </c>
      <c r="I1737">
        <v>1304.1088867000001</v>
      </c>
      <c r="J1737">
        <v>1286.7545166</v>
      </c>
      <c r="K1737">
        <v>2200</v>
      </c>
      <c r="L1737">
        <v>0</v>
      </c>
      <c r="M1737">
        <v>0</v>
      </c>
      <c r="N1737">
        <v>2200</v>
      </c>
    </row>
    <row r="1738" spans="1:14" x14ac:dyDescent="0.25">
      <c r="A1738">
        <v>1461.029524</v>
      </c>
      <c r="B1738" s="1">
        <f>DATE(2014,5,1) + TIME(0,42,30)</f>
        <v>41760.029513888891</v>
      </c>
      <c r="C1738">
        <v>80</v>
      </c>
      <c r="D1738">
        <v>65.467414856000005</v>
      </c>
      <c r="E1738">
        <v>50</v>
      </c>
      <c r="F1738">
        <v>49.962425232000001</v>
      </c>
      <c r="G1738">
        <v>1382.5507812000001</v>
      </c>
      <c r="H1738">
        <v>1365.7235106999999</v>
      </c>
      <c r="I1738">
        <v>1296.7852783000001</v>
      </c>
      <c r="J1738">
        <v>1279.3674315999999</v>
      </c>
      <c r="K1738">
        <v>2200</v>
      </c>
      <c r="L1738">
        <v>0</v>
      </c>
      <c r="M1738">
        <v>0</v>
      </c>
      <c r="N1738">
        <v>2200</v>
      </c>
    </row>
    <row r="1739" spans="1:14" x14ac:dyDescent="0.25">
      <c r="A1739">
        <v>1461.059401</v>
      </c>
      <c r="B1739" s="1">
        <f>DATE(2014,5,1) + TIME(1,25,32)</f>
        <v>41760.059398148151</v>
      </c>
      <c r="C1739">
        <v>80</v>
      </c>
      <c r="D1739">
        <v>66.029335021999998</v>
      </c>
      <c r="E1739">
        <v>50</v>
      </c>
      <c r="F1739">
        <v>49.958999634000001</v>
      </c>
      <c r="G1739">
        <v>1385.6212158000001</v>
      </c>
      <c r="H1739">
        <v>1368.9017334</v>
      </c>
      <c r="I1739">
        <v>1294.0142822</v>
      </c>
      <c r="J1739">
        <v>1276.5750731999999</v>
      </c>
      <c r="K1739">
        <v>2200</v>
      </c>
      <c r="L1739">
        <v>0</v>
      </c>
      <c r="M1739">
        <v>0</v>
      </c>
      <c r="N1739">
        <v>2200</v>
      </c>
    </row>
    <row r="1740" spans="1:14" x14ac:dyDescent="0.25">
      <c r="A1740">
        <v>1461.0899810000001</v>
      </c>
      <c r="B1740" s="1">
        <f>DATE(2014,5,1) + TIME(2,9,34)</f>
        <v>41760.08997685185</v>
      </c>
      <c r="C1740">
        <v>80</v>
      </c>
      <c r="D1740">
        <v>66.581855774000005</v>
      </c>
      <c r="E1740">
        <v>50</v>
      </c>
      <c r="F1740">
        <v>49.955776215</v>
      </c>
      <c r="G1740">
        <v>1386.5661620999999</v>
      </c>
      <c r="H1740">
        <v>1369.965332</v>
      </c>
      <c r="I1740">
        <v>1293.2716064000001</v>
      </c>
      <c r="J1740">
        <v>1275.8265381000001</v>
      </c>
      <c r="K1740">
        <v>2200</v>
      </c>
      <c r="L1740">
        <v>0</v>
      </c>
      <c r="M1740">
        <v>0</v>
      </c>
      <c r="N1740">
        <v>2200</v>
      </c>
    </row>
    <row r="1741" spans="1:14" x14ac:dyDescent="0.25">
      <c r="A1741">
        <v>1461.12121</v>
      </c>
      <c r="B1741" s="1">
        <f>DATE(2014,5,1) + TIME(2,54,32)</f>
        <v>41760.121203703704</v>
      </c>
      <c r="C1741">
        <v>80</v>
      </c>
      <c r="D1741">
        <v>67.123443604000002</v>
      </c>
      <c r="E1741">
        <v>50</v>
      </c>
      <c r="F1741">
        <v>49.952590942</v>
      </c>
      <c r="G1741">
        <v>1386.8161620999999</v>
      </c>
      <c r="H1741">
        <v>1370.3347168</v>
      </c>
      <c r="I1741">
        <v>1293.1002197</v>
      </c>
      <c r="J1741">
        <v>1275.6531981999999</v>
      </c>
      <c r="K1741">
        <v>2200</v>
      </c>
      <c r="L1741">
        <v>0</v>
      </c>
      <c r="M1741">
        <v>0</v>
      </c>
      <c r="N1741">
        <v>2200</v>
      </c>
    </row>
    <row r="1742" spans="1:14" x14ac:dyDescent="0.25">
      <c r="A1742">
        <v>1461.1530949999999</v>
      </c>
      <c r="B1742" s="1">
        <f>DATE(2014,5,1) + TIME(3,40,27)</f>
        <v>41760.153090277781</v>
      </c>
      <c r="C1742">
        <v>80</v>
      </c>
      <c r="D1742">
        <v>67.653770446999999</v>
      </c>
      <c r="E1742">
        <v>50</v>
      </c>
      <c r="F1742">
        <v>49.949394226000003</v>
      </c>
      <c r="G1742">
        <v>1386.8125</v>
      </c>
      <c r="H1742">
        <v>1370.4477539</v>
      </c>
      <c r="I1742">
        <v>1293.0836182</v>
      </c>
      <c r="J1742">
        <v>1275.6358643000001</v>
      </c>
      <c r="K1742">
        <v>2200</v>
      </c>
      <c r="L1742">
        <v>0</v>
      </c>
      <c r="M1742">
        <v>0</v>
      </c>
      <c r="N1742">
        <v>2200</v>
      </c>
    </row>
    <row r="1743" spans="1:14" x14ac:dyDescent="0.25">
      <c r="A1743">
        <v>1461.1856660000001</v>
      </c>
      <c r="B1743" s="1">
        <f>DATE(2014,5,1) + TIME(4,27,21)</f>
        <v>41760.185659722221</v>
      </c>
      <c r="C1743">
        <v>80</v>
      </c>
      <c r="D1743">
        <v>68.172851562000005</v>
      </c>
      <c r="E1743">
        <v>50</v>
      </c>
      <c r="F1743">
        <v>49.946159363</v>
      </c>
      <c r="G1743">
        <v>1386.7100829999999</v>
      </c>
      <c r="H1743">
        <v>1370.4582519999999</v>
      </c>
      <c r="I1743">
        <v>1293.1003418</v>
      </c>
      <c r="J1743">
        <v>1275.6523437999999</v>
      </c>
      <c r="K1743">
        <v>2200</v>
      </c>
      <c r="L1743">
        <v>0</v>
      </c>
      <c r="M1743">
        <v>0</v>
      </c>
      <c r="N1743">
        <v>2200</v>
      </c>
    </row>
    <row r="1744" spans="1:14" x14ac:dyDescent="0.25">
      <c r="A1744">
        <v>1461.218948</v>
      </c>
      <c r="B1744" s="1">
        <f>DATE(2014,5,1) + TIME(5,15,17)</f>
        <v>41760.218946759262</v>
      </c>
      <c r="C1744">
        <v>80</v>
      </c>
      <c r="D1744">
        <v>68.680641174000002</v>
      </c>
      <c r="E1744">
        <v>50</v>
      </c>
      <c r="F1744">
        <v>49.942893982000001</v>
      </c>
      <c r="G1744">
        <v>1386.5683594</v>
      </c>
      <c r="H1744">
        <v>1370.4255370999999</v>
      </c>
      <c r="I1744">
        <v>1293.1180420000001</v>
      </c>
      <c r="J1744">
        <v>1275.6696777</v>
      </c>
      <c r="K1744">
        <v>2200</v>
      </c>
      <c r="L1744">
        <v>0</v>
      </c>
      <c r="M1744">
        <v>0</v>
      </c>
      <c r="N1744">
        <v>2200</v>
      </c>
    </row>
    <row r="1745" spans="1:14" x14ac:dyDescent="0.25">
      <c r="A1745">
        <v>1461.252988</v>
      </c>
      <c r="B1745" s="1">
        <f>DATE(2014,5,1) + TIME(6,4,18)</f>
        <v>41760.252986111111</v>
      </c>
      <c r="C1745">
        <v>80</v>
      </c>
      <c r="D1745">
        <v>69.177322387999993</v>
      </c>
      <c r="E1745">
        <v>50</v>
      </c>
      <c r="F1745">
        <v>49.939582825000002</v>
      </c>
      <c r="G1745">
        <v>1386.4117432</v>
      </c>
      <c r="H1745">
        <v>1370.3740233999999</v>
      </c>
      <c r="I1745">
        <v>1293.1304932</v>
      </c>
      <c r="J1745">
        <v>1275.6818848</v>
      </c>
      <c r="K1745">
        <v>2200</v>
      </c>
      <c r="L1745">
        <v>0</v>
      </c>
      <c r="M1745">
        <v>0</v>
      </c>
      <c r="N1745">
        <v>2200</v>
      </c>
    </row>
    <row r="1746" spans="1:14" x14ac:dyDescent="0.25">
      <c r="A1746">
        <v>1461.28783</v>
      </c>
      <c r="B1746" s="1">
        <f>DATE(2014,5,1) + TIME(6,54,28)</f>
        <v>41760.287824074076</v>
      </c>
      <c r="C1746">
        <v>80</v>
      </c>
      <c r="D1746">
        <v>69.663002014</v>
      </c>
      <c r="E1746">
        <v>50</v>
      </c>
      <c r="F1746">
        <v>49.936229705999999</v>
      </c>
      <c r="G1746">
        <v>1386.2507324000001</v>
      </c>
      <c r="H1746">
        <v>1370.3145752</v>
      </c>
      <c r="I1746">
        <v>1293.1379394999999</v>
      </c>
      <c r="J1746">
        <v>1275.6892089999999</v>
      </c>
      <c r="K1746">
        <v>2200</v>
      </c>
      <c r="L1746">
        <v>0</v>
      </c>
      <c r="M1746">
        <v>0</v>
      </c>
      <c r="N1746">
        <v>2200</v>
      </c>
    </row>
    <row r="1747" spans="1:14" x14ac:dyDescent="0.25">
      <c r="A1747">
        <v>1461.323519</v>
      </c>
      <c r="B1747" s="1">
        <f>DATE(2014,5,1) + TIME(7,45,52)</f>
        <v>41760.323518518519</v>
      </c>
      <c r="C1747">
        <v>80</v>
      </c>
      <c r="D1747">
        <v>70.137657165999997</v>
      </c>
      <c r="E1747">
        <v>50</v>
      </c>
      <c r="F1747">
        <v>49.932826996000003</v>
      </c>
      <c r="G1747">
        <v>1386.0902100000001</v>
      </c>
      <c r="H1747">
        <v>1370.2519531</v>
      </c>
      <c r="I1747">
        <v>1293.1423339999999</v>
      </c>
      <c r="J1747">
        <v>1275.6932373</v>
      </c>
      <c r="K1747">
        <v>2200</v>
      </c>
      <c r="L1747">
        <v>0</v>
      </c>
      <c r="M1747">
        <v>0</v>
      </c>
      <c r="N1747">
        <v>2200</v>
      </c>
    </row>
    <row r="1748" spans="1:14" x14ac:dyDescent="0.25">
      <c r="A1748">
        <v>1461.3601060000001</v>
      </c>
      <c r="B1748" s="1">
        <f>DATE(2014,5,1) + TIME(8,38,33)</f>
        <v>41760.36010416667</v>
      </c>
      <c r="C1748">
        <v>80</v>
      </c>
      <c r="D1748">
        <v>70.601226807000003</v>
      </c>
      <c r="E1748">
        <v>50</v>
      </c>
      <c r="F1748">
        <v>49.929378509999999</v>
      </c>
      <c r="G1748">
        <v>1385.9324951000001</v>
      </c>
      <c r="H1748">
        <v>1370.1885986</v>
      </c>
      <c r="I1748">
        <v>1293.1446533000001</v>
      </c>
      <c r="J1748">
        <v>1275.6953125</v>
      </c>
      <c r="K1748">
        <v>2200</v>
      </c>
      <c r="L1748">
        <v>0</v>
      </c>
      <c r="M1748">
        <v>0</v>
      </c>
      <c r="N1748">
        <v>2200</v>
      </c>
    </row>
    <row r="1749" spans="1:14" x14ac:dyDescent="0.25">
      <c r="A1749">
        <v>1461.397645</v>
      </c>
      <c r="B1749" s="1">
        <f>DATE(2014,5,1) + TIME(9,32,36)</f>
        <v>41760.397638888891</v>
      </c>
      <c r="C1749">
        <v>80</v>
      </c>
      <c r="D1749">
        <v>71.053993224999999</v>
      </c>
      <c r="E1749">
        <v>50</v>
      </c>
      <c r="F1749">
        <v>49.925872802999997</v>
      </c>
      <c r="G1749">
        <v>1385.7785644999999</v>
      </c>
      <c r="H1749">
        <v>1370.1256103999999</v>
      </c>
      <c r="I1749">
        <v>1293.145874</v>
      </c>
      <c r="J1749">
        <v>1275.6962891000001</v>
      </c>
      <c r="K1749">
        <v>2200</v>
      </c>
      <c r="L1749">
        <v>0</v>
      </c>
      <c r="M1749">
        <v>0</v>
      </c>
      <c r="N1749">
        <v>2200</v>
      </c>
    </row>
    <row r="1750" spans="1:14" x14ac:dyDescent="0.25">
      <c r="A1750">
        <v>1461.436195</v>
      </c>
      <c r="B1750" s="1">
        <f>DATE(2014,5,1) + TIME(10,28,7)</f>
        <v>41760.436192129629</v>
      </c>
      <c r="C1750">
        <v>80</v>
      </c>
      <c r="D1750">
        <v>71.496025084999999</v>
      </c>
      <c r="E1750">
        <v>50</v>
      </c>
      <c r="F1750">
        <v>49.922309875000003</v>
      </c>
      <c r="G1750">
        <v>1385.6286620999999</v>
      </c>
      <c r="H1750">
        <v>1370.0635986</v>
      </c>
      <c r="I1750">
        <v>1293.1464844</v>
      </c>
      <c r="J1750">
        <v>1275.6965332</v>
      </c>
      <c r="K1750">
        <v>2200</v>
      </c>
      <c r="L1750">
        <v>0</v>
      </c>
      <c r="M1750">
        <v>0</v>
      </c>
      <c r="N1750">
        <v>2200</v>
      </c>
    </row>
    <row r="1751" spans="1:14" x14ac:dyDescent="0.25">
      <c r="A1751">
        <v>1461.475819</v>
      </c>
      <c r="B1751" s="1">
        <f>DATE(2014,5,1) + TIME(11,25,10)</f>
        <v>41760.475810185184</v>
      </c>
      <c r="C1751">
        <v>80</v>
      </c>
      <c r="D1751">
        <v>71.927360535000005</v>
      </c>
      <c r="E1751">
        <v>50</v>
      </c>
      <c r="F1751">
        <v>49.918685912999997</v>
      </c>
      <c r="G1751">
        <v>1385.4829102000001</v>
      </c>
      <c r="H1751">
        <v>1370.0026855000001</v>
      </c>
      <c r="I1751">
        <v>1293.1467285000001</v>
      </c>
      <c r="J1751">
        <v>1275.6965332</v>
      </c>
      <c r="K1751">
        <v>2200</v>
      </c>
      <c r="L1751">
        <v>0</v>
      </c>
      <c r="M1751">
        <v>0</v>
      </c>
      <c r="N1751">
        <v>2200</v>
      </c>
    </row>
    <row r="1752" spans="1:14" x14ac:dyDescent="0.25">
      <c r="A1752">
        <v>1461.5165870000001</v>
      </c>
      <c r="B1752" s="1">
        <f>DATE(2014,5,1) + TIME(12,23,53)</f>
        <v>41760.516585648147</v>
      </c>
      <c r="C1752">
        <v>80</v>
      </c>
      <c r="D1752">
        <v>72.348045349000003</v>
      </c>
      <c r="E1752">
        <v>50</v>
      </c>
      <c r="F1752">
        <v>49.914997100999997</v>
      </c>
      <c r="G1752">
        <v>1385.3414307</v>
      </c>
      <c r="H1752">
        <v>1369.9429932</v>
      </c>
      <c r="I1752">
        <v>1293.1467285000001</v>
      </c>
      <c r="J1752">
        <v>1275.6962891000001</v>
      </c>
      <c r="K1752">
        <v>2200</v>
      </c>
      <c r="L1752">
        <v>0</v>
      </c>
      <c r="M1752">
        <v>0</v>
      </c>
      <c r="N1752">
        <v>2200</v>
      </c>
    </row>
    <row r="1753" spans="1:14" x14ac:dyDescent="0.25">
      <c r="A1753">
        <v>1461.558575</v>
      </c>
      <c r="B1753" s="1">
        <f>DATE(2014,5,1) + TIME(13,24,20)</f>
        <v>41760.558564814812</v>
      </c>
      <c r="C1753">
        <v>80</v>
      </c>
      <c r="D1753">
        <v>72.758094787999994</v>
      </c>
      <c r="E1753">
        <v>50</v>
      </c>
      <c r="F1753">
        <v>49.911235808999997</v>
      </c>
      <c r="G1753">
        <v>1385.2039795000001</v>
      </c>
      <c r="H1753">
        <v>1369.8845214999999</v>
      </c>
      <c r="I1753">
        <v>1293.1466064000001</v>
      </c>
      <c r="J1753">
        <v>1275.6959228999999</v>
      </c>
      <c r="K1753">
        <v>2200</v>
      </c>
      <c r="L1753">
        <v>0</v>
      </c>
      <c r="M1753">
        <v>0</v>
      </c>
      <c r="N1753">
        <v>2200</v>
      </c>
    </row>
    <row r="1754" spans="1:14" x14ac:dyDescent="0.25">
      <c r="A1754">
        <v>1461.6018799999999</v>
      </c>
      <c r="B1754" s="1">
        <f>DATE(2014,5,1) + TIME(14,26,42)</f>
        <v>41760.601875</v>
      </c>
      <c r="C1754">
        <v>80</v>
      </c>
      <c r="D1754">
        <v>73.157653808999996</v>
      </c>
      <c r="E1754">
        <v>50</v>
      </c>
      <c r="F1754">
        <v>49.907394408999998</v>
      </c>
      <c r="G1754">
        <v>1385.0704346</v>
      </c>
      <c r="H1754">
        <v>1369.8271483999999</v>
      </c>
      <c r="I1754">
        <v>1293.1464844</v>
      </c>
      <c r="J1754">
        <v>1275.6954346</v>
      </c>
      <c r="K1754">
        <v>2200</v>
      </c>
      <c r="L1754">
        <v>0</v>
      </c>
      <c r="M1754">
        <v>0</v>
      </c>
      <c r="N1754">
        <v>2200</v>
      </c>
    </row>
    <row r="1755" spans="1:14" x14ac:dyDescent="0.25">
      <c r="A1755">
        <v>1461.646587</v>
      </c>
      <c r="B1755" s="1">
        <f>DATE(2014,5,1) + TIME(15,31,5)</f>
        <v>41760.646585648145</v>
      </c>
      <c r="C1755">
        <v>80</v>
      </c>
      <c r="D1755">
        <v>73.546661377000007</v>
      </c>
      <c r="E1755">
        <v>50</v>
      </c>
      <c r="F1755">
        <v>49.903472899999997</v>
      </c>
      <c r="G1755">
        <v>1384.9404297000001</v>
      </c>
      <c r="H1755">
        <v>1369.7707519999999</v>
      </c>
      <c r="I1755">
        <v>1293.1462402</v>
      </c>
      <c r="J1755">
        <v>1275.6948242000001</v>
      </c>
      <c r="K1755">
        <v>2200</v>
      </c>
      <c r="L1755">
        <v>0</v>
      </c>
      <c r="M1755">
        <v>0</v>
      </c>
      <c r="N1755">
        <v>2200</v>
      </c>
    </row>
    <row r="1756" spans="1:14" x14ac:dyDescent="0.25">
      <c r="A1756">
        <v>1461.6927909999999</v>
      </c>
      <c r="B1756" s="1">
        <f>DATE(2014,5,1) + TIME(16,37,37)</f>
        <v>41760.692789351851</v>
      </c>
      <c r="C1756">
        <v>80</v>
      </c>
      <c r="D1756">
        <v>73.925064086999996</v>
      </c>
      <c r="E1756">
        <v>50</v>
      </c>
      <c r="F1756">
        <v>49.899463654000002</v>
      </c>
      <c r="G1756">
        <v>1384.8140868999999</v>
      </c>
      <c r="H1756">
        <v>1369.7154541</v>
      </c>
      <c r="I1756">
        <v>1293.1459961</v>
      </c>
      <c r="J1756">
        <v>1275.6942139</v>
      </c>
      <c r="K1756">
        <v>2200</v>
      </c>
      <c r="L1756">
        <v>0</v>
      </c>
      <c r="M1756">
        <v>0</v>
      </c>
      <c r="N1756">
        <v>2200</v>
      </c>
    </row>
    <row r="1757" spans="1:14" x14ac:dyDescent="0.25">
      <c r="A1757">
        <v>1461.740603</v>
      </c>
      <c r="B1757" s="1">
        <f>DATE(2014,5,1) + TIME(17,46,28)</f>
        <v>41760.740601851852</v>
      </c>
      <c r="C1757">
        <v>80</v>
      </c>
      <c r="D1757">
        <v>74.292846679999997</v>
      </c>
      <c r="E1757">
        <v>50</v>
      </c>
      <c r="F1757">
        <v>49.895359038999999</v>
      </c>
      <c r="G1757">
        <v>1384.690918</v>
      </c>
      <c r="H1757">
        <v>1369.6608887</v>
      </c>
      <c r="I1757">
        <v>1293.1456298999999</v>
      </c>
      <c r="J1757">
        <v>1275.6936035000001</v>
      </c>
      <c r="K1757">
        <v>2200</v>
      </c>
      <c r="L1757">
        <v>0</v>
      </c>
      <c r="M1757">
        <v>0</v>
      </c>
      <c r="N1757">
        <v>2200</v>
      </c>
    </row>
    <row r="1758" spans="1:14" x14ac:dyDescent="0.25">
      <c r="A1758">
        <v>1461.7901449999999</v>
      </c>
      <c r="B1758" s="1">
        <f>DATE(2014,5,1) + TIME(18,57,48)</f>
        <v>41760.790138888886</v>
      </c>
      <c r="C1758">
        <v>80</v>
      </c>
      <c r="D1758">
        <v>74.649993895999998</v>
      </c>
      <c r="E1758">
        <v>50</v>
      </c>
      <c r="F1758">
        <v>49.891147613999998</v>
      </c>
      <c r="G1758">
        <v>1384.5710449000001</v>
      </c>
      <c r="H1758">
        <v>1369.6070557</v>
      </c>
      <c r="I1758">
        <v>1293.1452637</v>
      </c>
      <c r="J1758">
        <v>1275.6928711</v>
      </c>
      <c r="K1758">
        <v>2200</v>
      </c>
      <c r="L1758">
        <v>0</v>
      </c>
      <c r="M1758">
        <v>0</v>
      </c>
      <c r="N1758">
        <v>2200</v>
      </c>
    </row>
    <row r="1759" spans="1:14" x14ac:dyDescent="0.25">
      <c r="A1759">
        <v>1461.841555</v>
      </c>
      <c r="B1759" s="1">
        <f>DATE(2014,5,1) + TIME(20,11,50)</f>
        <v>41760.841550925928</v>
      </c>
      <c r="C1759">
        <v>80</v>
      </c>
      <c r="D1759">
        <v>74.996467589999995</v>
      </c>
      <c r="E1759">
        <v>50</v>
      </c>
      <c r="F1759">
        <v>49.886825561999999</v>
      </c>
      <c r="G1759">
        <v>1384.4539795000001</v>
      </c>
      <c r="H1759">
        <v>1369.5539550999999</v>
      </c>
      <c r="I1759">
        <v>1293.1448975000001</v>
      </c>
      <c r="J1759">
        <v>1275.6921387</v>
      </c>
      <c r="K1759">
        <v>2200</v>
      </c>
      <c r="L1759">
        <v>0</v>
      </c>
      <c r="M1759">
        <v>0</v>
      </c>
      <c r="N1759">
        <v>2200</v>
      </c>
    </row>
    <row r="1760" spans="1:14" x14ac:dyDescent="0.25">
      <c r="A1760">
        <v>1461.8949849999999</v>
      </c>
      <c r="B1760" s="1">
        <f>DATE(2014,5,1) + TIME(21,28,46)</f>
        <v>41760.894976851851</v>
      </c>
      <c r="C1760">
        <v>80</v>
      </c>
      <c r="D1760">
        <v>75.331993103000002</v>
      </c>
      <c r="E1760">
        <v>50</v>
      </c>
      <c r="F1760">
        <v>49.882385253999999</v>
      </c>
      <c r="G1760">
        <v>1384.3398437999999</v>
      </c>
      <c r="H1760">
        <v>1369.5013428</v>
      </c>
      <c r="I1760">
        <v>1293.1444091999999</v>
      </c>
      <c r="J1760">
        <v>1275.6912841999999</v>
      </c>
      <c r="K1760">
        <v>2200</v>
      </c>
      <c r="L1760">
        <v>0</v>
      </c>
      <c r="M1760">
        <v>0</v>
      </c>
      <c r="N1760">
        <v>2200</v>
      </c>
    </row>
    <row r="1761" spans="1:14" x14ac:dyDescent="0.25">
      <c r="A1761">
        <v>1461.9506080000001</v>
      </c>
      <c r="B1761" s="1">
        <f>DATE(2014,5,1) + TIME(22,48,52)</f>
        <v>41760.950601851851</v>
      </c>
      <c r="C1761">
        <v>80</v>
      </c>
      <c r="D1761">
        <v>75.656761169000006</v>
      </c>
      <c r="E1761">
        <v>50</v>
      </c>
      <c r="F1761">
        <v>49.877807617000002</v>
      </c>
      <c r="G1761">
        <v>1384.2282714999999</v>
      </c>
      <c r="H1761">
        <v>1369.4493408000001</v>
      </c>
      <c r="I1761">
        <v>1293.1439209</v>
      </c>
      <c r="J1761">
        <v>1275.6904297000001</v>
      </c>
      <c r="K1761">
        <v>2200</v>
      </c>
      <c r="L1761">
        <v>0</v>
      </c>
      <c r="M1761">
        <v>0</v>
      </c>
      <c r="N1761">
        <v>2200</v>
      </c>
    </row>
    <row r="1762" spans="1:14" x14ac:dyDescent="0.25">
      <c r="A1762">
        <v>1462.0086160000001</v>
      </c>
      <c r="B1762" s="1">
        <f>DATE(2014,5,2) + TIME(0,12,24)</f>
        <v>41761.008611111109</v>
      </c>
      <c r="C1762">
        <v>80</v>
      </c>
      <c r="D1762">
        <v>75.970718383999994</v>
      </c>
      <c r="E1762">
        <v>50</v>
      </c>
      <c r="F1762">
        <v>49.873088836999997</v>
      </c>
      <c r="G1762">
        <v>1384.1191406</v>
      </c>
      <c r="H1762">
        <v>1369.3975829999999</v>
      </c>
      <c r="I1762">
        <v>1293.1433105000001</v>
      </c>
      <c r="J1762">
        <v>1275.6894531</v>
      </c>
      <c r="K1762">
        <v>2200</v>
      </c>
      <c r="L1762">
        <v>0</v>
      </c>
      <c r="M1762">
        <v>0</v>
      </c>
      <c r="N1762">
        <v>2200</v>
      </c>
    </row>
    <row r="1763" spans="1:14" x14ac:dyDescent="0.25">
      <c r="A1763">
        <v>1462.0692280000001</v>
      </c>
      <c r="B1763" s="1">
        <f>DATE(2014,5,2) + TIME(1,39,41)</f>
        <v>41761.069224537037</v>
      </c>
      <c r="C1763">
        <v>80</v>
      </c>
      <c r="D1763">
        <v>76.273796082000004</v>
      </c>
      <c r="E1763">
        <v>50</v>
      </c>
      <c r="F1763">
        <v>49.868213654000002</v>
      </c>
      <c r="G1763">
        <v>1384.0123291</v>
      </c>
      <c r="H1763">
        <v>1369.3460693</v>
      </c>
      <c r="I1763">
        <v>1293.1427002</v>
      </c>
      <c r="J1763">
        <v>1275.6884766000001</v>
      </c>
      <c r="K1763">
        <v>2200</v>
      </c>
      <c r="L1763">
        <v>0</v>
      </c>
      <c r="M1763">
        <v>0</v>
      </c>
      <c r="N1763">
        <v>2200</v>
      </c>
    </row>
    <row r="1764" spans="1:14" x14ac:dyDescent="0.25">
      <c r="A1764">
        <v>1462.1327080000001</v>
      </c>
      <c r="B1764" s="1">
        <f>DATE(2014,5,2) + TIME(3,11,5)</f>
        <v>41761.132696759261</v>
      </c>
      <c r="C1764">
        <v>80</v>
      </c>
      <c r="D1764">
        <v>76.565994262999993</v>
      </c>
      <c r="E1764">
        <v>50</v>
      </c>
      <c r="F1764">
        <v>49.863162994</v>
      </c>
      <c r="G1764">
        <v>1383.9075928</v>
      </c>
      <c r="H1764">
        <v>1369.2946777</v>
      </c>
      <c r="I1764">
        <v>1293.1420897999999</v>
      </c>
      <c r="J1764">
        <v>1275.6875</v>
      </c>
      <c r="K1764">
        <v>2200</v>
      </c>
      <c r="L1764">
        <v>0</v>
      </c>
      <c r="M1764">
        <v>0</v>
      </c>
      <c r="N1764">
        <v>2200</v>
      </c>
    </row>
    <row r="1765" spans="1:14" x14ac:dyDescent="0.25">
      <c r="A1765">
        <v>1462.1993649999999</v>
      </c>
      <c r="B1765" s="1">
        <f>DATE(2014,5,2) + TIME(4,47,5)</f>
        <v>41761.199363425927</v>
      </c>
      <c r="C1765">
        <v>80</v>
      </c>
      <c r="D1765">
        <v>76.847297667999996</v>
      </c>
      <c r="E1765">
        <v>50</v>
      </c>
      <c r="F1765">
        <v>49.857917786000002</v>
      </c>
      <c r="G1765">
        <v>1383.8046875</v>
      </c>
      <c r="H1765">
        <v>1369.2434082</v>
      </c>
      <c r="I1765">
        <v>1293.1414795000001</v>
      </c>
      <c r="J1765">
        <v>1275.6864014</v>
      </c>
      <c r="K1765">
        <v>2200</v>
      </c>
      <c r="L1765">
        <v>0</v>
      </c>
      <c r="M1765">
        <v>0</v>
      </c>
      <c r="N1765">
        <v>2200</v>
      </c>
    </row>
    <row r="1766" spans="1:14" x14ac:dyDescent="0.25">
      <c r="A1766">
        <v>1462.269501</v>
      </c>
      <c r="B1766" s="1">
        <f>DATE(2014,5,2) + TIME(6,28,4)</f>
        <v>41761.269490740742</v>
      </c>
      <c r="C1766">
        <v>80</v>
      </c>
      <c r="D1766">
        <v>77.117485045999999</v>
      </c>
      <c r="E1766">
        <v>50</v>
      </c>
      <c r="F1766">
        <v>49.852466583000002</v>
      </c>
      <c r="G1766">
        <v>1383.7034911999999</v>
      </c>
      <c r="H1766">
        <v>1369.1918945</v>
      </c>
      <c r="I1766">
        <v>1293.1407471</v>
      </c>
      <c r="J1766">
        <v>1275.6851807</v>
      </c>
      <c r="K1766">
        <v>2200</v>
      </c>
      <c r="L1766">
        <v>0</v>
      </c>
      <c r="M1766">
        <v>0</v>
      </c>
      <c r="N1766">
        <v>2200</v>
      </c>
    </row>
    <row r="1767" spans="1:14" x14ac:dyDescent="0.25">
      <c r="A1767">
        <v>1462.343498</v>
      </c>
      <c r="B1767" s="1">
        <f>DATE(2014,5,2) + TIME(8,14,38)</f>
        <v>41761.343495370369</v>
      </c>
      <c r="C1767">
        <v>80</v>
      </c>
      <c r="D1767">
        <v>77.376457213999998</v>
      </c>
      <c r="E1767">
        <v>50</v>
      </c>
      <c r="F1767">
        <v>49.846778870000001</v>
      </c>
      <c r="G1767">
        <v>1383.6037598</v>
      </c>
      <c r="H1767">
        <v>1369.1402588000001</v>
      </c>
      <c r="I1767">
        <v>1293.1400146000001</v>
      </c>
      <c r="J1767">
        <v>1275.6839600000001</v>
      </c>
      <c r="K1767">
        <v>2200</v>
      </c>
      <c r="L1767">
        <v>0</v>
      </c>
      <c r="M1767">
        <v>0</v>
      </c>
      <c r="N1767">
        <v>2200</v>
      </c>
    </row>
    <row r="1768" spans="1:14" x14ac:dyDescent="0.25">
      <c r="A1768">
        <v>1462.4218080000001</v>
      </c>
      <c r="B1768" s="1">
        <f>DATE(2014,5,2) + TIME(10,7,24)</f>
        <v>41761.421805555554</v>
      </c>
      <c r="C1768">
        <v>80</v>
      </c>
      <c r="D1768">
        <v>77.624099731000001</v>
      </c>
      <c r="E1768">
        <v>50</v>
      </c>
      <c r="F1768">
        <v>49.840831756999997</v>
      </c>
      <c r="G1768">
        <v>1383.5054932</v>
      </c>
      <c r="H1768">
        <v>1369.0882568</v>
      </c>
      <c r="I1768">
        <v>1293.1391602000001</v>
      </c>
      <c r="J1768">
        <v>1275.6826172000001</v>
      </c>
      <c r="K1768">
        <v>2200</v>
      </c>
      <c r="L1768">
        <v>0</v>
      </c>
      <c r="M1768">
        <v>0</v>
      </c>
      <c r="N1768">
        <v>2200</v>
      </c>
    </row>
    <row r="1769" spans="1:14" x14ac:dyDescent="0.25">
      <c r="A1769">
        <v>1462.5049590000001</v>
      </c>
      <c r="B1769" s="1">
        <f>DATE(2014,5,2) + TIME(12,7,8)</f>
        <v>41761.504953703705</v>
      </c>
      <c r="C1769">
        <v>80</v>
      </c>
      <c r="D1769">
        <v>77.860298157000003</v>
      </c>
      <c r="E1769">
        <v>50</v>
      </c>
      <c r="F1769">
        <v>49.834590912000003</v>
      </c>
      <c r="G1769">
        <v>1383.4083252</v>
      </c>
      <c r="H1769">
        <v>1369.0356445</v>
      </c>
      <c r="I1769">
        <v>1293.1383057</v>
      </c>
      <c r="J1769">
        <v>1275.6812743999999</v>
      </c>
      <c r="K1769">
        <v>2200</v>
      </c>
      <c r="L1769">
        <v>0</v>
      </c>
      <c r="M1769">
        <v>0</v>
      </c>
      <c r="N1769">
        <v>2200</v>
      </c>
    </row>
    <row r="1770" spans="1:14" x14ac:dyDescent="0.25">
      <c r="A1770">
        <v>1462.5935609999999</v>
      </c>
      <c r="B1770" s="1">
        <f>DATE(2014,5,2) + TIME(14,14,43)</f>
        <v>41761.593553240738</v>
      </c>
      <c r="C1770">
        <v>80</v>
      </c>
      <c r="D1770">
        <v>78.084869385000005</v>
      </c>
      <c r="E1770">
        <v>50</v>
      </c>
      <c r="F1770">
        <v>49.828025818</v>
      </c>
      <c r="G1770">
        <v>1383.3120117000001</v>
      </c>
      <c r="H1770">
        <v>1368.9824219</v>
      </c>
      <c r="I1770">
        <v>1293.1373291</v>
      </c>
      <c r="J1770">
        <v>1275.6798096</v>
      </c>
      <c r="K1770">
        <v>2200</v>
      </c>
      <c r="L1770">
        <v>0</v>
      </c>
      <c r="M1770">
        <v>0</v>
      </c>
      <c r="N1770">
        <v>2200</v>
      </c>
    </row>
    <row r="1771" spans="1:14" x14ac:dyDescent="0.25">
      <c r="A1771">
        <v>1462.6883909999999</v>
      </c>
      <c r="B1771" s="1">
        <f>DATE(2014,5,2) + TIME(16,31,17)</f>
        <v>41761.688391203701</v>
      </c>
      <c r="C1771">
        <v>80</v>
      </c>
      <c r="D1771">
        <v>78.297729492000002</v>
      </c>
      <c r="E1771">
        <v>50</v>
      </c>
      <c r="F1771">
        <v>49.821090697999999</v>
      </c>
      <c r="G1771">
        <v>1383.2164307</v>
      </c>
      <c r="H1771">
        <v>1368.9283447</v>
      </c>
      <c r="I1771">
        <v>1293.1363524999999</v>
      </c>
      <c r="J1771">
        <v>1275.6782227000001</v>
      </c>
      <c r="K1771">
        <v>2200</v>
      </c>
      <c r="L1771">
        <v>0</v>
      </c>
      <c r="M1771">
        <v>0</v>
      </c>
      <c r="N1771">
        <v>2200</v>
      </c>
    </row>
    <row r="1772" spans="1:14" x14ac:dyDescent="0.25">
      <c r="A1772">
        <v>1462.790373</v>
      </c>
      <c r="B1772" s="1">
        <f>DATE(2014,5,2) + TIME(18,58,8)</f>
        <v>41761.790370370371</v>
      </c>
      <c r="C1772">
        <v>80</v>
      </c>
      <c r="D1772">
        <v>78.498710631999998</v>
      </c>
      <c r="E1772">
        <v>50</v>
      </c>
      <c r="F1772">
        <v>49.813728333</v>
      </c>
      <c r="G1772">
        <v>1383.1212158000001</v>
      </c>
      <c r="H1772">
        <v>1368.8732910000001</v>
      </c>
      <c r="I1772">
        <v>1293.1352539</v>
      </c>
      <c r="J1772">
        <v>1275.6765137</v>
      </c>
      <c r="K1772">
        <v>2200</v>
      </c>
      <c r="L1772">
        <v>0</v>
      </c>
      <c r="M1772">
        <v>0</v>
      </c>
      <c r="N1772">
        <v>2200</v>
      </c>
    </row>
    <row r="1773" spans="1:14" x14ac:dyDescent="0.25">
      <c r="A1773">
        <v>1462.9006440000001</v>
      </c>
      <c r="B1773" s="1">
        <f>DATE(2014,5,2) + TIME(21,36,55)</f>
        <v>41761.900636574072</v>
      </c>
      <c r="C1773">
        <v>80</v>
      </c>
      <c r="D1773">
        <v>78.687667847</v>
      </c>
      <c r="E1773">
        <v>50</v>
      </c>
      <c r="F1773">
        <v>49.805877686000002</v>
      </c>
      <c r="G1773">
        <v>1383.026001</v>
      </c>
      <c r="H1773">
        <v>1368.8167725000001</v>
      </c>
      <c r="I1773">
        <v>1293.1340332</v>
      </c>
      <c r="J1773">
        <v>1275.6748047000001</v>
      </c>
      <c r="K1773">
        <v>2200</v>
      </c>
      <c r="L1773">
        <v>0</v>
      </c>
      <c r="M1773">
        <v>0</v>
      </c>
      <c r="N1773">
        <v>2200</v>
      </c>
    </row>
    <row r="1774" spans="1:14" x14ac:dyDescent="0.25">
      <c r="A1774">
        <v>1463.0206290000001</v>
      </c>
      <c r="B1774" s="1">
        <f>DATE(2014,5,3) + TIME(0,29,42)</f>
        <v>41762.020624999997</v>
      </c>
      <c r="C1774">
        <v>80</v>
      </c>
      <c r="D1774">
        <v>78.864402771000002</v>
      </c>
      <c r="E1774">
        <v>50</v>
      </c>
      <c r="F1774">
        <v>49.797454834</v>
      </c>
      <c r="G1774">
        <v>1382.9306641000001</v>
      </c>
      <c r="H1774">
        <v>1368.7587891000001</v>
      </c>
      <c r="I1774">
        <v>1293.1328125</v>
      </c>
      <c r="J1774">
        <v>1275.6728516000001</v>
      </c>
      <c r="K1774">
        <v>2200</v>
      </c>
      <c r="L1774">
        <v>0</v>
      </c>
      <c r="M1774">
        <v>0</v>
      </c>
      <c r="N1774">
        <v>2200</v>
      </c>
    </row>
    <row r="1775" spans="1:14" x14ac:dyDescent="0.25">
      <c r="A1775">
        <v>1463.1477609999999</v>
      </c>
      <c r="B1775" s="1">
        <f>DATE(2014,5,3) + TIME(3,32,46)</f>
        <v>41762.14775462963</v>
      </c>
      <c r="C1775">
        <v>80</v>
      </c>
      <c r="D1775">
        <v>79.02406311</v>
      </c>
      <c r="E1775">
        <v>50</v>
      </c>
      <c r="F1775">
        <v>49.788631439</v>
      </c>
      <c r="G1775">
        <v>1382.8370361</v>
      </c>
      <c r="H1775">
        <v>1368.7000731999999</v>
      </c>
      <c r="I1775">
        <v>1293.1313477000001</v>
      </c>
      <c r="J1775">
        <v>1275.6706543</v>
      </c>
      <c r="K1775">
        <v>2200</v>
      </c>
      <c r="L1775">
        <v>0</v>
      </c>
      <c r="M1775">
        <v>0</v>
      </c>
      <c r="N1775">
        <v>2200</v>
      </c>
    </row>
    <row r="1776" spans="1:14" x14ac:dyDescent="0.25">
      <c r="A1776">
        <v>1463.275453</v>
      </c>
      <c r="B1776" s="1">
        <f>DATE(2014,5,3) + TIME(6,36,39)</f>
        <v>41762.275451388887</v>
      </c>
      <c r="C1776">
        <v>80</v>
      </c>
      <c r="D1776">
        <v>79.160713196000003</v>
      </c>
      <c r="E1776">
        <v>50</v>
      </c>
      <c r="F1776">
        <v>49.779804230000003</v>
      </c>
      <c r="G1776">
        <v>1382.7489014</v>
      </c>
      <c r="H1776">
        <v>1368.6429443</v>
      </c>
      <c r="I1776">
        <v>1293.1297606999999</v>
      </c>
      <c r="J1776">
        <v>1275.668457</v>
      </c>
      <c r="K1776">
        <v>2200</v>
      </c>
      <c r="L1776">
        <v>0</v>
      </c>
      <c r="M1776">
        <v>0</v>
      </c>
      <c r="N1776">
        <v>2200</v>
      </c>
    </row>
    <row r="1777" spans="1:14" x14ac:dyDescent="0.25">
      <c r="A1777">
        <v>1463.4040339999999</v>
      </c>
      <c r="B1777" s="1">
        <f>DATE(2014,5,3) + TIME(9,41,48)</f>
        <v>41762.404027777775</v>
      </c>
      <c r="C1777">
        <v>80</v>
      </c>
      <c r="D1777">
        <v>79.277870178000001</v>
      </c>
      <c r="E1777">
        <v>50</v>
      </c>
      <c r="F1777">
        <v>49.770957946999999</v>
      </c>
      <c r="G1777">
        <v>1382.6658935999999</v>
      </c>
      <c r="H1777">
        <v>1368.5880127</v>
      </c>
      <c r="I1777">
        <v>1293.1282959</v>
      </c>
      <c r="J1777">
        <v>1275.6662598</v>
      </c>
      <c r="K1777">
        <v>2200</v>
      </c>
      <c r="L1777">
        <v>0</v>
      </c>
      <c r="M1777">
        <v>0</v>
      </c>
      <c r="N1777">
        <v>2200</v>
      </c>
    </row>
    <row r="1778" spans="1:14" x14ac:dyDescent="0.25">
      <c r="A1778">
        <v>1463.5336789999999</v>
      </c>
      <c r="B1778" s="1">
        <f>DATE(2014,5,3) + TIME(12,48,29)</f>
        <v>41762.533668981479</v>
      </c>
      <c r="C1778">
        <v>80</v>
      </c>
      <c r="D1778">
        <v>79.378334045000003</v>
      </c>
      <c r="E1778">
        <v>50</v>
      </c>
      <c r="F1778">
        <v>49.762073516999997</v>
      </c>
      <c r="G1778">
        <v>1382.5875243999999</v>
      </c>
      <c r="H1778">
        <v>1368.5350341999999</v>
      </c>
      <c r="I1778">
        <v>1293.1267089999999</v>
      </c>
      <c r="J1778">
        <v>1275.6639404</v>
      </c>
      <c r="K1778">
        <v>2200</v>
      </c>
      <c r="L1778">
        <v>0</v>
      </c>
      <c r="M1778">
        <v>0</v>
      </c>
      <c r="N1778">
        <v>2200</v>
      </c>
    </row>
    <row r="1779" spans="1:14" x14ac:dyDescent="0.25">
      <c r="A1779">
        <v>1463.664728</v>
      </c>
      <c r="B1779" s="1">
        <f>DATE(2014,5,3) + TIME(15,57,12)</f>
        <v>41762.664722222224</v>
      </c>
      <c r="C1779">
        <v>80</v>
      </c>
      <c r="D1779">
        <v>79.464584350999999</v>
      </c>
      <c r="E1779">
        <v>50</v>
      </c>
      <c r="F1779">
        <v>49.753139496000003</v>
      </c>
      <c r="G1779">
        <v>1382.5128173999999</v>
      </c>
      <c r="H1779">
        <v>1368.4837646000001</v>
      </c>
      <c r="I1779">
        <v>1293.125</v>
      </c>
      <c r="J1779">
        <v>1275.6617432</v>
      </c>
      <c r="K1779">
        <v>2200</v>
      </c>
      <c r="L1779">
        <v>0</v>
      </c>
      <c r="M1779">
        <v>0</v>
      </c>
      <c r="N1779">
        <v>2200</v>
      </c>
    </row>
    <row r="1780" spans="1:14" x14ac:dyDescent="0.25">
      <c r="A1780">
        <v>1463.7975060000001</v>
      </c>
      <c r="B1780" s="1">
        <f>DATE(2014,5,3) + TIME(19,8,24)</f>
        <v>41762.797500000001</v>
      </c>
      <c r="C1780">
        <v>80</v>
      </c>
      <c r="D1780">
        <v>79.538665770999998</v>
      </c>
      <c r="E1780">
        <v>50</v>
      </c>
      <c r="F1780">
        <v>49.744132995999998</v>
      </c>
      <c r="G1780">
        <v>1382.4416504000001</v>
      </c>
      <c r="H1780">
        <v>1368.4339600000001</v>
      </c>
      <c r="I1780">
        <v>1293.1234131000001</v>
      </c>
      <c r="J1780">
        <v>1275.6594238</v>
      </c>
      <c r="K1780">
        <v>2200</v>
      </c>
      <c r="L1780">
        <v>0</v>
      </c>
      <c r="M1780">
        <v>0</v>
      </c>
      <c r="N1780">
        <v>2200</v>
      </c>
    </row>
    <row r="1781" spans="1:14" x14ac:dyDescent="0.25">
      <c r="A1781">
        <v>1463.932372</v>
      </c>
      <c r="B1781" s="1">
        <f>DATE(2014,5,3) + TIME(22,22,36)</f>
        <v>41762.93236111111</v>
      </c>
      <c r="C1781">
        <v>80</v>
      </c>
      <c r="D1781">
        <v>79.602325438999998</v>
      </c>
      <c r="E1781">
        <v>50</v>
      </c>
      <c r="F1781">
        <v>49.735031128000003</v>
      </c>
      <c r="G1781">
        <v>1382.3731689000001</v>
      </c>
      <c r="H1781">
        <v>1368.3854980000001</v>
      </c>
      <c r="I1781">
        <v>1293.1218262</v>
      </c>
      <c r="J1781">
        <v>1275.6571045000001</v>
      </c>
      <c r="K1781">
        <v>2200</v>
      </c>
      <c r="L1781">
        <v>0</v>
      </c>
      <c r="M1781">
        <v>0</v>
      </c>
      <c r="N1781">
        <v>2200</v>
      </c>
    </row>
    <row r="1782" spans="1:14" x14ac:dyDescent="0.25">
      <c r="A1782">
        <v>1464.0696379999999</v>
      </c>
      <c r="B1782" s="1">
        <f>DATE(2014,5,4) + TIME(1,40,16)</f>
        <v>41763.06962962963</v>
      </c>
      <c r="C1782">
        <v>80</v>
      </c>
      <c r="D1782">
        <v>79.656997681000007</v>
      </c>
      <c r="E1782">
        <v>50</v>
      </c>
      <c r="F1782">
        <v>49.725818633999999</v>
      </c>
      <c r="G1782">
        <v>1382.3073730000001</v>
      </c>
      <c r="H1782">
        <v>1368.3381348</v>
      </c>
      <c r="I1782">
        <v>1293.1201172000001</v>
      </c>
      <c r="J1782">
        <v>1275.6546631000001</v>
      </c>
      <c r="K1782">
        <v>2200</v>
      </c>
      <c r="L1782">
        <v>0</v>
      </c>
      <c r="M1782">
        <v>0</v>
      </c>
      <c r="N1782">
        <v>2200</v>
      </c>
    </row>
    <row r="1783" spans="1:14" x14ac:dyDescent="0.25">
      <c r="A1783">
        <v>1464.2096180000001</v>
      </c>
      <c r="B1783" s="1">
        <f>DATE(2014,5,4) + TIME(5,1,50)</f>
        <v>41763.209606481483</v>
      </c>
      <c r="C1783">
        <v>80</v>
      </c>
      <c r="D1783">
        <v>79.703918457</v>
      </c>
      <c r="E1783">
        <v>50</v>
      </c>
      <c r="F1783">
        <v>49.716472625999998</v>
      </c>
      <c r="G1783">
        <v>1382.2435303</v>
      </c>
      <c r="H1783">
        <v>1368.2917480000001</v>
      </c>
      <c r="I1783">
        <v>1293.1184082</v>
      </c>
      <c r="J1783">
        <v>1275.6522216999999</v>
      </c>
      <c r="K1783">
        <v>2200</v>
      </c>
      <c r="L1783">
        <v>0</v>
      </c>
      <c r="M1783">
        <v>0</v>
      </c>
      <c r="N1783">
        <v>2200</v>
      </c>
    </row>
    <row r="1784" spans="1:14" x14ac:dyDescent="0.25">
      <c r="A1784">
        <v>1464.3526649999999</v>
      </c>
      <c r="B1784" s="1">
        <f>DATE(2014,5,4) + TIME(8,27,50)</f>
        <v>41763.352662037039</v>
      </c>
      <c r="C1784">
        <v>80</v>
      </c>
      <c r="D1784">
        <v>79.744148253999995</v>
      </c>
      <c r="E1784">
        <v>50</v>
      </c>
      <c r="F1784">
        <v>49.706977844000001</v>
      </c>
      <c r="G1784">
        <v>1382.1816406</v>
      </c>
      <c r="H1784">
        <v>1368.2460937999999</v>
      </c>
      <c r="I1784">
        <v>1293.1165771000001</v>
      </c>
      <c r="J1784">
        <v>1275.6497803</v>
      </c>
      <c r="K1784">
        <v>2200</v>
      </c>
      <c r="L1784">
        <v>0</v>
      </c>
      <c r="M1784">
        <v>0</v>
      </c>
      <c r="N1784">
        <v>2200</v>
      </c>
    </row>
    <row r="1785" spans="1:14" x14ac:dyDescent="0.25">
      <c r="A1785">
        <v>1464.499149</v>
      </c>
      <c r="B1785" s="1">
        <f>DATE(2014,5,4) + TIME(11,58,46)</f>
        <v>41763.499143518522</v>
      </c>
      <c r="C1785">
        <v>80</v>
      </c>
      <c r="D1785">
        <v>79.778587341000005</v>
      </c>
      <c r="E1785">
        <v>50</v>
      </c>
      <c r="F1785">
        <v>49.697307586999997</v>
      </c>
      <c r="G1785">
        <v>1382.1213379000001</v>
      </c>
      <c r="H1785">
        <v>1368.2012939000001</v>
      </c>
      <c r="I1785">
        <v>1293.1148682</v>
      </c>
      <c r="J1785">
        <v>1275.6472168</v>
      </c>
      <c r="K1785">
        <v>2200</v>
      </c>
      <c r="L1785">
        <v>0</v>
      </c>
      <c r="M1785">
        <v>0</v>
      </c>
      <c r="N1785">
        <v>2200</v>
      </c>
    </row>
    <row r="1786" spans="1:14" x14ac:dyDescent="0.25">
      <c r="A1786">
        <v>1464.6494680000001</v>
      </c>
      <c r="B1786" s="1">
        <f>DATE(2014,5,4) + TIME(15,35,14)</f>
        <v>41763.649467592593</v>
      </c>
      <c r="C1786">
        <v>80</v>
      </c>
      <c r="D1786">
        <v>79.808021545000003</v>
      </c>
      <c r="E1786">
        <v>50</v>
      </c>
      <c r="F1786">
        <v>49.687442779999998</v>
      </c>
      <c r="G1786">
        <v>1382.0623779</v>
      </c>
      <c r="H1786">
        <v>1368.1569824000001</v>
      </c>
      <c r="I1786">
        <v>1293.1129149999999</v>
      </c>
      <c r="J1786">
        <v>1275.6446533000001</v>
      </c>
      <c r="K1786">
        <v>2200</v>
      </c>
      <c r="L1786">
        <v>0</v>
      </c>
      <c r="M1786">
        <v>0</v>
      </c>
      <c r="N1786">
        <v>2200</v>
      </c>
    </row>
    <row r="1787" spans="1:14" x14ac:dyDescent="0.25">
      <c r="A1787">
        <v>1464.8040530000001</v>
      </c>
      <c r="B1787" s="1">
        <f>DATE(2014,5,4) + TIME(19,17,50)</f>
        <v>41763.804050925923</v>
      </c>
      <c r="C1787">
        <v>80</v>
      </c>
      <c r="D1787">
        <v>79.833122252999999</v>
      </c>
      <c r="E1787">
        <v>50</v>
      </c>
      <c r="F1787">
        <v>49.677360534999998</v>
      </c>
      <c r="G1787">
        <v>1382.0045166</v>
      </c>
      <c r="H1787">
        <v>1368.1131591999999</v>
      </c>
      <c r="I1787">
        <v>1293.1110839999999</v>
      </c>
      <c r="J1787">
        <v>1275.6419678</v>
      </c>
      <c r="K1787">
        <v>2200</v>
      </c>
      <c r="L1787">
        <v>0</v>
      </c>
      <c r="M1787">
        <v>0</v>
      </c>
      <c r="N1787">
        <v>2200</v>
      </c>
    </row>
    <row r="1788" spans="1:14" x14ac:dyDescent="0.25">
      <c r="A1788">
        <v>1464.963373</v>
      </c>
      <c r="B1788" s="1">
        <f>DATE(2014,5,4) + TIME(23,7,15)</f>
        <v>41763.963368055556</v>
      </c>
      <c r="C1788">
        <v>80</v>
      </c>
      <c r="D1788">
        <v>79.854476929</v>
      </c>
      <c r="E1788">
        <v>50</v>
      </c>
      <c r="F1788">
        <v>49.667034149000003</v>
      </c>
      <c r="G1788">
        <v>1381.9475098</v>
      </c>
      <c r="H1788">
        <v>1368.0697021000001</v>
      </c>
      <c r="I1788">
        <v>1293.1091309000001</v>
      </c>
      <c r="J1788">
        <v>1275.6391602000001</v>
      </c>
      <c r="K1788">
        <v>2200</v>
      </c>
      <c r="L1788">
        <v>0</v>
      </c>
      <c r="M1788">
        <v>0</v>
      </c>
      <c r="N1788">
        <v>2200</v>
      </c>
    </row>
    <row r="1789" spans="1:14" x14ac:dyDescent="0.25">
      <c r="A1789">
        <v>1465.1279480000001</v>
      </c>
      <c r="B1789" s="1">
        <f>DATE(2014,5,5) + TIME(3,4,14)</f>
        <v>41764.127939814818</v>
      </c>
      <c r="C1789">
        <v>80</v>
      </c>
      <c r="D1789">
        <v>79.872604370000005</v>
      </c>
      <c r="E1789">
        <v>50</v>
      </c>
      <c r="F1789">
        <v>49.656433104999998</v>
      </c>
      <c r="G1789">
        <v>1381.8912353999999</v>
      </c>
      <c r="H1789">
        <v>1368.0264893000001</v>
      </c>
      <c r="I1789">
        <v>1293.1070557</v>
      </c>
      <c r="J1789">
        <v>1275.6363524999999</v>
      </c>
      <c r="K1789">
        <v>2200</v>
      </c>
      <c r="L1789">
        <v>0</v>
      </c>
      <c r="M1789">
        <v>0</v>
      </c>
      <c r="N1789">
        <v>2200</v>
      </c>
    </row>
    <row r="1790" spans="1:14" x14ac:dyDescent="0.25">
      <c r="A1790">
        <v>1465.298356</v>
      </c>
      <c r="B1790" s="1">
        <f>DATE(2014,5,5) + TIME(7,9,37)</f>
        <v>41764.298344907409</v>
      </c>
      <c r="C1790">
        <v>80</v>
      </c>
      <c r="D1790">
        <v>79.887924193999993</v>
      </c>
      <c r="E1790">
        <v>50</v>
      </c>
      <c r="F1790">
        <v>49.645526885999999</v>
      </c>
      <c r="G1790">
        <v>1381.8354492000001</v>
      </c>
      <c r="H1790">
        <v>1367.9833983999999</v>
      </c>
      <c r="I1790">
        <v>1293.1049805</v>
      </c>
      <c r="J1790">
        <v>1275.6333007999999</v>
      </c>
      <c r="K1790">
        <v>2200</v>
      </c>
      <c r="L1790">
        <v>0</v>
      </c>
      <c r="M1790">
        <v>0</v>
      </c>
      <c r="N1790">
        <v>2200</v>
      </c>
    </row>
    <row r="1791" spans="1:14" x14ac:dyDescent="0.25">
      <c r="A1791">
        <v>1465.4752860000001</v>
      </c>
      <c r="B1791" s="1">
        <f>DATE(2014,5,5) + TIME(11,24,24)</f>
        <v>41764.475277777776</v>
      </c>
      <c r="C1791">
        <v>80</v>
      </c>
      <c r="D1791">
        <v>79.900848389000004</v>
      </c>
      <c r="E1791">
        <v>50</v>
      </c>
      <c r="F1791">
        <v>49.634277343999997</v>
      </c>
      <c r="G1791">
        <v>1381.7799072</v>
      </c>
      <c r="H1791">
        <v>1367.9404297000001</v>
      </c>
      <c r="I1791">
        <v>1293.1027832</v>
      </c>
      <c r="J1791">
        <v>1275.630249</v>
      </c>
      <c r="K1791">
        <v>2200</v>
      </c>
      <c r="L1791">
        <v>0</v>
      </c>
      <c r="M1791">
        <v>0</v>
      </c>
      <c r="N1791">
        <v>2200</v>
      </c>
    </row>
    <row r="1792" spans="1:14" x14ac:dyDescent="0.25">
      <c r="A1792">
        <v>1465.6595150000001</v>
      </c>
      <c r="B1792" s="1">
        <f>DATE(2014,5,5) + TIME(15,49,42)</f>
        <v>41764.659513888888</v>
      </c>
      <c r="C1792">
        <v>80</v>
      </c>
      <c r="D1792">
        <v>79.911697387999993</v>
      </c>
      <c r="E1792">
        <v>50</v>
      </c>
      <c r="F1792">
        <v>49.622646332000002</v>
      </c>
      <c r="G1792">
        <v>1381.7246094</v>
      </c>
      <c r="H1792">
        <v>1367.8973389</v>
      </c>
      <c r="I1792">
        <v>1293.1005858999999</v>
      </c>
      <c r="J1792">
        <v>1275.6270752</v>
      </c>
      <c r="K1792">
        <v>2200</v>
      </c>
      <c r="L1792">
        <v>0</v>
      </c>
      <c r="M1792">
        <v>0</v>
      </c>
      <c r="N1792">
        <v>2200</v>
      </c>
    </row>
    <row r="1793" spans="1:14" x14ac:dyDescent="0.25">
      <c r="A1793">
        <v>1465.851807</v>
      </c>
      <c r="B1793" s="1">
        <f>DATE(2014,5,5) + TIME(20,26,36)</f>
        <v>41764.851805555554</v>
      </c>
      <c r="C1793">
        <v>80</v>
      </c>
      <c r="D1793">
        <v>79.920768738000007</v>
      </c>
      <c r="E1793">
        <v>50</v>
      </c>
      <c r="F1793">
        <v>49.610591888000002</v>
      </c>
      <c r="G1793">
        <v>1381.6691894999999</v>
      </c>
      <c r="H1793">
        <v>1367.8540039</v>
      </c>
      <c r="I1793">
        <v>1293.0981445</v>
      </c>
      <c r="J1793">
        <v>1275.6237793</v>
      </c>
      <c r="K1793">
        <v>2200</v>
      </c>
      <c r="L1793">
        <v>0</v>
      </c>
      <c r="M1793">
        <v>0</v>
      </c>
      <c r="N1793">
        <v>2200</v>
      </c>
    </row>
    <row r="1794" spans="1:14" x14ac:dyDescent="0.25">
      <c r="A1794">
        <v>1466.051463</v>
      </c>
      <c r="B1794" s="1">
        <f>DATE(2014,5,6) + TIME(1,14,6)</f>
        <v>41765.051458333335</v>
      </c>
      <c r="C1794">
        <v>80</v>
      </c>
      <c r="D1794">
        <v>79.928268433</v>
      </c>
      <c r="E1794">
        <v>50</v>
      </c>
      <c r="F1794">
        <v>49.598144531000003</v>
      </c>
      <c r="G1794">
        <v>1381.6135254000001</v>
      </c>
      <c r="H1794">
        <v>1367.8104248</v>
      </c>
      <c r="I1794">
        <v>1293.0957031</v>
      </c>
      <c r="J1794">
        <v>1275.6202393000001</v>
      </c>
      <c r="K1794">
        <v>2200</v>
      </c>
      <c r="L1794">
        <v>0</v>
      </c>
      <c r="M1794">
        <v>0</v>
      </c>
      <c r="N1794">
        <v>2200</v>
      </c>
    </row>
    <row r="1795" spans="1:14" x14ac:dyDescent="0.25">
      <c r="A1795">
        <v>1466.2580620000001</v>
      </c>
      <c r="B1795" s="1">
        <f>DATE(2014,5,6) + TIME(6,11,36)</f>
        <v>41765.258055555554</v>
      </c>
      <c r="C1795">
        <v>80</v>
      </c>
      <c r="D1795">
        <v>79.934410095000004</v>
      </c>
      <c r="E1795">
        <v>50</v>
      </c>
      <c r="F1795">
        <v>49.585330962999997</v>
      </c>
      <c r="G1795">
        <v>1381.5579834</v>
      </c>
      <c r="H1795">
        <v>1367.7667236</v>
      </c>
      <c r="I1795">
        <v>1293.0930175999999</v>
      </c>
      <c r="J1795">
        <v>1275.6166992000001</v>
      </c>
      <c r="K1795">
        <v>2200</v>
      </c>
      <c r="L1795">
        <v>0</v>
      </c>
      <c r="M1795">
        <v>0</v>
      </c>
      <c r="N1795">
        <v>2200</v>
      </c>
    </row>
    <row r="1796" spans="1:14" x14ac:dyDescent="0.25">
      <c r="A1796">
        <v>1466.4723570000001</v>
      </c>
      <c r="B1796" s="1">
        <f>DATE(2014,5,6) + TIME(11,20,11)</f>
        <v>41765.472349537034</v>
      </c>
      <c r="C1796">
        <v>80</v>
      </c>
      <c r="D1796">
        <v>79.939430236999996</v>
      </c>
      <c r="E1796">
        <v>50</v>
      </c>
      <c r="F1796">
        <v>49.572116852000001</v>
      </c>
      <c r="G1796">
        <v>1381.5025635</v>
      </c>
      <c r="H1796">
        <v>1367.7231445</v>
      </c>
      <c r="I1796">
        <v>1293.090332</v>
      </c>
      <c r="J1796">
        <v>1275.6129149999999</v>
      </c>
      <c r="K1796">
        <v>2200</v>
      </c>
      <c r="L1796">
        <v>0</v>
      </c>
      <c r="M1796">
        <v>0</v>
      </c>
      <c r="N1796">
        <v>2200</v>
      </c>
    </row>
    <row r="1797" spans="1:14" x14ac:dyDescent="0.25">
      <c r="A1797">
        <v>1466.6951779999999</v>
      </c>
      <c r="B1797" s="1">
        <f>DATE(2014,5,6) + TIME(16,41,3)</f>
        <v>41765.695173611108</v>
      </c>
      <c r="C1797">
        <v>80</v>
      </c>
      <c r="D1797">
        <v>79.943511963000006</v>
      </c>
      <c r="E1797">
        <v>50</v>
      </c>
      <c r="F1797">
        <v>49.558452606000003</v>
      </c>
      <c r="G1797">
        <v>1381.4470214999999</v>
      </c>
      <c r="H1797">
        <v>1367.6794434000001</v>
      </c>
      <c r="I1797">
        <v>1293.0875243999999</v>
      </c>
      <c r="J1797">
        <v>1275.6090088000001</v>
      </c>
      <c r="K1797">
        <v>2200</v>
      </c>
      <c r="L1797">
        <v>0</v>
      </c>
      <c r="M1797">
        <v>0</v>
      </c>
      <c r="N1797">
        <v>2200</v>
      </c>
    </row>
    <row r="1798" spans="1:14" x14ac:dyDescent="0.25">
      <c r="A1798">
        <v>1466.927522</v>
      </c>
      <c r="B1798" s="1">
        <f>DATE(2014,5,6) + TIME(22,15,37)</f>
        <v>41765.927511574075</v>
      </c>
      <c r="C1798">
        <v>80</v>
      </c>
      <c r="D1798">
        <v>79.946830750000004</v>
      </c>
      <c r="E1798">
        <v>50</v>
      </c>
      <c r="F1798">
        <v>49.544296265</v>
      </c>
      <c r="G1798">
        <v>1381.3914795000001</v>
      </c>
      <c r="H1798">
        <v>1367.6354980000001</v>
      </c>
      <c r="I1798">
        <v>1293.0845947</v>
      </c>
      <c r="J1798">
        <v>1275.6049805</v>
      </c>
      <c r="K1798">
        <v>2200</v>
      </c>
      <c r="L1798">
        <v>0</v>
      </c>
      <c r="M1798">
        <v>0</v>
      </c>
      <c r="N1798">
        <v>2200</v>
      </c>
    </row>
    <row r="1799" spans="1:14" x14ac:dyDescent="0.25">
      <c r="A1799">
        <v>1467.170312</v>
      </c>
      <c r="B1799" s="1">
        <f>DATE(2014,5,7) + TIME(4,5,14)</f>
        <v>41766.170300925929</v>
      </c>
      <c r="C1799">
        <v>80</v>
      </c>
      <c r="D1799">
        <v>79.949508667000003</v>
      </c>
      <c r="E1799">
        <v>50</v>
      </c>
      <c r="F1799">
        <v>49.529598235999998</v>
      </c>
      <c r="G1799">
        <v>1381.3354492000001</v>
      </c>
      <c r="H1799">
        <v>1367.5913086</v>
      </c>
      <c r="I1799">
        <v>1293.081543</v>
      </c>
      <c r="J1799">
        <v>1275.6007079999999</v>
      </c>
      <c r="K1799">
        <v>2200</v>
      </c>
      <c r="L1799">
        <v>0</v>
      </c>
      <c r="M1799">
        <v>0</v>
      </c>
      <c r="N1799">
        <v>2200</v>
      </c>
    </row>
    <row r="1800" spans="1:14" x14ac:dyDescent="0.25">
      <c r="A1800">
        <v>1467.4247459999999</v>
      </c>
      <c r="B1800" s="1">
        <f>DATE(2014,5,7) + TIME(10,11,38)</f>
        <v>41766.424745370372</v>
      </c>
      <c r="C1800">
        <v>80</v>
      </c>
      <c r="D1800">
        <v>79.951660156000003</v>
      </c>
      <c r="E1800">
        <v>50</v>
      </c>
      <c r="F1800">
        <v>49.514305114999999</v>
      </c>
      <c r="G1800">
        <v>1381.2788086</v>
      </c>
      <c r="H1800">
        <v>1367.5467529</v>
      </c>
      <c r="I1800">
        <v>1293.0783690999999</v>
      </c>
      <c r="J1800">
        <v>1275.5963135</v>
      </c>
      <c r="K1800">
        <v>2200</v>
      </c>
      <c r="L1800">
        <v>0</v>
      </c>
      <c r="M1800">
        <v>0</v>
      </c>
      <c r="N1800">
        <v>2200</v>
      </c>
    </row>
    <row r="1801" spans="1:14" x14ac:dyDescent="0.25">
      <c r="A1801">
        <v>1467.6869979999999</v>
      </c>
      <c r="B1801" s="1">
        <f>DATE(2014,5,7) + TIME(16,29,16)</f>
        <v>41766.686990740738</v>
      </c>
      <c r="C1801">
        <v>80</v>
      </c>
      <c r="D1801">
        <v>79.953361510999997</v>
      </c>
      <c r="E1801">
        <v>50</v>
      </c>
      <c r="F1801">
        <v>49.498584747000002</v>
      </c>
      <c r="G1801">
        <v>1381.2215576000001</v>
      </c>
      <c r="H1801">
        <v>1367.5015868999999</v>
      </c>
      <c r="I1801">
        <v>1293.0750731999999</v>
      </c>
      <c r="J1801">
        <v>1275.5916748</v>
      </c>
      <c r="K1801">
        <v>2200</v>
      </c>
      <c r="L1801">
        <v>0</v>
      </c>
      <c r="M1801">
        <v>0</v>
      </c>
      <c r="N1801">
        <v>2200</v>
      </c>
    </row>
    <row r="1802" spans="1:14" x14ac:dyDescent="0.25">
      <c r="A1802">
        <v>1467.950959</v>
      </c>
      <c r="B1802" s="1">
        <f>DATE(2014,5,7) + TIME(22,49,22)</f>
        <v>41766.950949074075</v>
      </c>
      <c r="C1802">
        <v>80</v>
      </c>
      <c r="D1802">
        <v>79.954681395999998</v>
      </c>
      <c r="E1802">
        <v>50</v>
      </c>
      <c r="F1802">
        <v>49.482730865000001</v>
      </c>
      <c r="G1802">
        <v>1381.1646728999999</v>
      </c>
      <c r="H1802">
        <v>1367.4566649999999</v>
      </c>
      <c r="I1802">
        <v>1293.0715332</v>
      </c>
      <c r="J1802">
        <v>1275.5869141000001</v>
      </c>
      <c r="K1802">
        <v>2200</v>
      </c>
      <c r="L1802">
        <v>0</v>
      </c>
      <c r="M1802">
        <v>0</v>
      </c>
      <c r="N1802">
        <v>2200</v>
      </c>
    </row>
    <row r="1803" spans="1:14" x14ac:dyDescent="0.25">
      <c r="A1803">
        <v>1468.2174439999999</v>
      </c>
      <c r="B1803" s="1">
        <f>DATE(2014,5,8) + TIME(5,13,7)</f>
        <v>41767.217442129629</v>
      </c>
      <c r="C1803">
        <v>80</v>
      </c>
      <c r="D1803">
        <v>79.955703735</v>
      </c>
      <c r="E1803">
        <v>50</v>
      </c>
      <c r="F1803">
        <v>49.466728209999999</v>
      </c>
      <c r="G1803">
        <v>1381.1091309000001</v>
      </c>
      <c r="H1803">
        <v>1367.4128418</v>
      </c>
      <c r="I1803">
        <v>1293.0679932</v>
      </c>
      <c r="J1803">
        <v>1275.5820312000001</v>
      </c>
      <c r="K1803">
        <v>2200</v>
      </c>
      <c r="L1803">
        <v>0</v>
      </c>
      <c r="M1803">
        <v>0</v>
      </c>
      <c r="N1803">
        <v>2200</v>
      </c>
    </row>
    <row r="1804" spans="1:14" x14ac:dyDescent="0.25">
      <c r="A1804">
        <v>1468.4872290000001</v>
      </c>
      <c r="B1804" s="1">
        <f>DATE(2014,5,8) + TIME(11,41,36)</f>
        <v>41767.487222222226</v>
      </c>
      <c r="C1804">
        <v>80</v>
      </c>
      <c r="D1804">
        <v>79.956512450999995</v>
      </c>
      <c r="E1804">
        <v>50</v>
      </c>
      <c r="F1804">
        <v>49.450557709000002</v>
      </c>
      <c r="G1804">
        <v>1381.0548096</v>
      </c>
      <c r="H1804">
        <v>1367.3701172000001</v>
      </c>
      <c r="I1804">
        <v>1293.0644531</v>
      </c>
      <c r="J1804">
        <v>1275.5771483999999</v>
      </c>
      <c r="K1804">
        <v>2200</v>
      </c>
      <c r="L1804">
        <v>0</v>
      </c>
      <c r="M1804">
        <v>0</v>
      </c>
      <c r="N1804">
        <v>2200</v>
      </c>
    </row>
    <row r="1805" spans="1:14" x14ac:dyDescent="0.25">
      <c r="A1805">
        <v>1468.7610910000001</v>
      </c>
      <c r="B1805" s="1">
        <f>DATE(2014,5,8) + TIME(18,15,58)</f>
        <v>41767.761087962965</v>
      </c>
      <c r="C1805">
        <v>80</v>
      </c>
      <c r="D1805">
        <v>79.957145690999994</v>
      </c>
      <c r="E1805">
        <v>50</v>
      </c>
      <c r="F1805">
        <v>49.434192656999997</v>
      </c>
      <c r="G1805">
        <v>1381.0014647999999</v>
      </c>
      <c r="H1805">
        <v>1367.3282471</v>
      </c>
      <c r="I1805">
        <v>1293.0607910000001</v>
      </c>
      <c r="J1805">
        <v>1275.5722656</v>
      </c>
      <c r="K1805">
        <v>2200</v>
      </c>
      <c r="L1805">
        <v>0</v>
      </c>
      <c r="M1805">
        <v>0</v>
      </c>
      <c r="N1805">
        <v>2200</v>
      </c>
    </row>
    <row r="1806" spans="1:14" x14ac:dyDescent="0.25">
      <c r="A1806">
        <v>1469.0398190000001</v>
      </c>
      <c r="B1806" s="1">
        <f>DATE(2014,5,9) + TIME(0,57,20)</f>
        <v>41768.039814814816</v>
      </c>
      <c r="C1806">
        <v>80</v>
      </c>
      <c r="D1806">
        <v>79.957649231000005</v>
      </c>
      <c r="E1806">
        <v>50</v>
      </c>
      <c r="F1806">
        <v>49.417598724000001</v>
      </c>
      <c r="G1806">
        <v>1380.9489745999999</v>
      </c>
      <c r="H1806">
        <v>1367.2869873</v>
      </c>
      <c r="I1806">
        <v>1293.0571289</v>
      </c>
      <c r="J1806">
        <v>1275.5671387</v>
      </c>
      <c r="K1806">
        <v>2200</v>
      </c>
      <c r="L1806">
        <v>0</v>
      </c>
      <c r="M1806">
        <v>0</v>
      </c>
      <c r="N1806">
        <v>2200</v>
      </c>
    </row>
    <row r="1807" spans="1:14" x14ac:dyDescent="0.25">
      <c r="A1807">
        <v>1469.324239</v>
      </c>
      <c r="B1807" s="1">
        <f>DATE(2014,5,9) + TIME(7,46,54)</f>
        <v>41768.324236111112</v>
      </c>
      <c r="C1807">
        <v>80</v>
      </c>
      <c r="D1807">
        <v>79.958053589000002</v>
      </c>
      <c r="E1807">
        <v>50</v>
      </c>
      <c r="F1807">
        <v>49.400749206999997</v>
      </c>
      <c r="G1807">
        <v>1380.8969727000001</v>
      </c>
      <c r="H1807">
        <v>1367.2462158000001</v>
      </c>
      <c r="I1807">
        <v>1293.0533447</v>
      </c>
      <c r="J1807">
        <v>1275.5620117000001</v>
      </c>
      <c r="K1807">
        <v>2200</v>
      </c>
      <c r="L1807">
        <v>0</v>
      </c>
      <c r="M1807">
        <v>0</v>
      </c>
      <c r="N1807">
        <v>2200</v>
      </c>
    </row>
    <row r="1808" spans="1:14" x14ac:dyDescent="0.25">
      <c r="A1808">
        <v>1469.615221</v>
      </c>
      <c r="B1808" s="1">
        <f>DATE(2014,5,9) + TIME(14,45,55)</f>
        <v>41768.615219907406</v>
      </c>
      <c r="C1808">
        <v>80</v>
      </c>
      <c r="D1808">
        <v>79.958374023000005</v>
      </c>
      <c r="E1808">
        <v>50</v>
      </c>
      <c r="F1808">
        <v>49.383598327999998</v>
      </c>
      <c r="G1808">
        <v>1380.8454589999999</v>
      </c>
      <c r="H1808">
        <v>1367.2058105000001</v>
      </c>
      <c r="I1808">
        <v>1293.0495605000001</v>
      </c>
      <c r="J1808">
        <v>1275.5567627</v>
      </c>
      <c r="K1808">
        <v>2200</v>
      </c>
      <c r="L1808">
        <v>0</v>
      </c>
      <c r="M1808">
        <v>0</v>
      </c>
      <c r="N1808">
        <v>2200</v>
      </c>
    </row>
    <row r="1809" spans="1:14" x14ac:dyDescent="0.25">
      <c r="A1809">
        <v>1469.9137049999999</v>
      </c>
      <c r="B1809" s="1">
        <f>DATE(2014,5,9) + TIME(21,55,44)</f>
        <v>41768.913703703707</v>
      </c>
      <c r="C1809">
        <v>80</v>
      </c>
      <c r="D1809">
        <v>79.958633422999995</v>
      </c>
      <c r="E1809">
        <v>50</v>
      </c>
      <c r="F1809">
        <v>49.366111754999999</v>
      </c>
      <c r="G1809">
        <v>1380.7941894999999</v>
      </c>
      <c r="H1809">
        <v>1367.1656493999999</v>
      </c>
      <c r="I1809">
        <v>1293.0456543</v>
      </c>
      <c r="J1809">
        <v>1275.5513916</v>
      </c>
      <c r="K1809">
        <v>2200</v>
      </c>
      <c r="L1809">
        <v>0</v>
      </c>
      <c r="M1809">
        <v>0</v>
      </c>
      <c r="N1809">
        <v>2200</v>
      </c>
    </row>
    <row r="1810" spans="1:14" x14ac:dyDescent="0.25">
      <c r="A1810">
        <v>1470.220714</v>
      </c>
      <c r="B1810" s="1">
        <f>DATE(2014,5,10) + TIME(5,17,49)</f>
        <v>41769.220706018517</v>
      </c>
      <c r="C1810">
        <v>80</v>
      </c>
      <c r="D1810">
        <v>79.958847046000002</v>
      </c>
      <c r="E1810">
        <v>50</v>
      </c>
      <c r="F1810">
        <v>49.348232269</v>
      </c>
      <c r="G1810">
        <v>1380.7430420000001</v>
      </c>
      <c r="H1810">
        <v>1367.1256103999999</v>
      </c>
      <c r="I1810">
        <v>1293.041626</v>
      </c>
      <c r="J1810">
        <v>1275.5458983999999</v>
      </c>
      <c r="K1810">
        <v>2200</v>
      </c>
      <c r="L1810">
        <v>0</v>
      </c>
      <c r="M1810">
        <v>0</v>
      </c>
      <c r="N1810">
        <v>2200</v>
      </c>
    </row>
    <row r="1811" spans="1:14" x14ac:dyDescent="0.25">
      <c r="A1811">
        <v>1470.537589</v>
      </c>
      <c r="B1811" s="1">
        <f>DATE(2014,5,10) + TIME(12,54,7)</f>
        <v>41769.537581018521</v>
      </c>
      <c r="C1811">
        <v>80</v>
      </c>
      <c r="D1811">
        <v>79.959014893000003</v>
      </c>
      <c r="E1811">
        <v>50</v>
      </c>
      <c r="F1811">
        <v>49.329906463999997</v>
      </c>
      <c r="G1811">
        <v>1380.6918945</v>
      </c>
      <c r="H1811">
        <v>1367.0856934000001</v>
      </c>
      <c r="I1811">
        <v>1293.0374756000001</v>
      </c>
      <c r="J1811">
        <v>1275.5401611</v>
      </c>
      <c r="K1811">
        <v>2200</v>
      </c>
      <c r="L1811">
        <v>0</v>
      </c>
      <c r="M1811">
        <v>0</v>
      </c>
      <c r="N1811">
        <v>2200</v>
      </c>
    </row>
    <row r="1812" spans="1:14" x14ac:dyDescent="0.25">
      <c r="A1812">
        <v>1470.865401</v>
      </c>
      <c r="B1812" s="1">
        <f>DATE(2014,5,10) + TIME(20,46,10)</f>
        <v>41769.865393518521</v>
      </c>
      <c r="C1812">
        <v>80</v>
      </c>
      <c r="D1812">
        <v>79.959152222</v>
      </c>
      <c r="E1812">
        <v>50</v>
      </c>
      <c r="F1812">
        <v>49.311077118</v>
      </c>
      <c r="G1812">
        <v>1380.6405029</v>
      </c>
      <c r="H1812">
        <v>1367.0455322</v>
      </c>
      <c r="I1812">
        <v>1293.0332031</v>
      </c>
      <c r="J1812">
        <v>1275.5343018000001</v>
      </c>
      <c r="K1812">
        <v>2200</v>
      </c>
      <c r="L1812">
        <v>0</v>
      </c>
      <c r="M1812">
        <v>0</v>
      </c>
      <c r="N1812">
        <v>2200</v>
      </c>
    </row>
    <row r="1813" spans="1:14" x14ac:dyDescent="0.25">
      <c r="A1813">
        <v>1471.1992299999999</v>
      </c>
      <c r="B1813" s="1">
        <f>DATE(2014,5,11) + TIME(4,46,53)</f>
        <v>41770.199224537035</v>
      </c>
      <c r="C1813">
        <v>80</v>
      </c>
      <c r="D1813">
        <v>79.959266662999994</v>
      </c>
      <c r="E1813">
        <v>50</v>
      </c>
      <c r="F1813">
        <v>49.291946410999998</v>
      </c>
      <c r="G1813">
        <v>1380.5886230000001</v>
      </c>
      <c r="H1813">
        <v>1367.0051269999999</v>
      </c>
      <c r="I1813">
        <v>1293.0286865</v>
      </c>
      <c r="J1813">
        <v>1275.5281981999999</v>
      </c>
      <c r="K1813">
        <v>2200</v>
      </c>
      <c r="L1813">
        <v>0</v>
      </c>
      <c r="M1813">
        <v>0</v>
      </c>
      <c r="N1813">
        <v>2200</v>
      </c>
    </row>
    <row r="1814" spans="1:14" x14ac:dyDescent="0.25">
      <c r="A1814">
        <v>1471.5399689999999</v>
      </c>
      <c r="B1814" s="1">
        <f>DATE(2014,5,11) + TIME(12,57,33)</f>
        <v>41770.539965277778</v>
      </c>
      <c r="C1814">
        <v>80</v>
      </c>
      <c r="D1814">
        <v>79.959350585999999</v>
      </c>
      <c r="E1814">
        <v>50</v>
      </c>
      <c r="F1814">
        <v>49.272483825999998</v>
      </c>
      <c r="G1814">
        <v>1380.5373535000001</v>
      </c>
      <c r="H1814">
        <v>1366.9650879000001</v>
      </c>
      <c r="I1814">
        <v>1293.0241699000001</v>
      </c>
      <c r="J1814">
        <v>1275.5219727000001</v>
      </c>
      <c r="K1814">
        <v>2200</v>
      </c>
      <c r="L1814">
        <v>0</v>
      </c>
      <c r="M1814">
        <v>0</v>
      </c>
      <c r="N1814">
        <v>2200</v>
      </c>
    </row>
    <row r="1815" spans="1:14" x14ac:dyDescent="0.25">
      <c r="A1815">
        <v>1471.888477</v>
      </c>
      <c r="B1815" s="1">
        <f>DATE(2014,5,11) + TIME(21,19,24)</f>
        <v>41770.888472222221</v>
      </c>
      <c r="C1815">
        <v>80</v>
      </c>
      <c r="D1815">
        <v>79.959426879999995</v>
      </c>
      <c r="E1815">
        <v>50</v>
      </c>
      <c r="F1815">
        <v>49.252670287999997</v>
      </c>
      <c r="G1815">
        <v>1380.4862060999999</v>
      </c>
      <c r="H1815">
        <v>1366.9254149999999</v>
      </c>
      <c r="I1815">
        <v>1293.0195312000001</v>
      </c>
      <c r="J1815">
        <v>1275.515625</v>
      </c>
      <c r="K1815">
        <v>2200</v>
      </c>
      <c r="L1815">
        <v>0</v>
      </c>
      <c r="M1815">
        <v>0</v>
      </c>
      <c r="N1815">
        <v>2200</v>
      </c>
    </row>
    <row r="1816" spans="1:14" x14ac:dyDescent="0.25">
      <c r="A1816">
        <v>1472.245684</v>
      </c>
      <c r="B1816" s="1">
        <f>DATE(2014,5,12) + TIME(5,53,47)</f>
        <v>41771.245682870373</v>
      </c>
      <c r="C1816">
        <v>80</v>
      </c>
      <c r="D1816">
        <v>79.959480286000002</v>
      </c>
      <c r="E1816">
        <v>50</v>
      </c>
      <c r="F1816">
        <v>49.232460021999998</v>
      </c>
      <c r="G1816">
        <v>1380.4354248</v>
      </c>
      <c r="H1816">
        <v>1366.8858643000001</v>
      </c>
      <c r="I1816">
        <v>1293.0147704999999</v>
      </c>
      <c r="J1816">
        <v>1275.5091553</v>
      </c>
      <c r="K1816">
        <v>2200</v>
      </c>
      <c r="L1816">
        <v>0</v>
      </c>
      <c r="M1816">
        <v>0</v>
      </c>
      <c r="N1816">
        <v>2200</v>
      </c>
    </row>
    <row r="1817" spans="1:14" x14ac:dyDescent="0.25">
      <c r="A1817">
        <v>1472.6126059999999</v>
      </c>
      <c r="B1817" s="1">
        <f>DATE(2014,5,12) + TIME(14,42,9)</f>
        <v>41771.612604166665</v>
      </c>
      <c r="C1817">
        <v>80</v>
      </c>
      <c r="D1817">
        <v>79.959526061999995</v>
      </c>
      <c r="E1817">
        <v>50</v>
      </c>
      <c r="F1817">
        <v>49.211818694999998</v>
      </c>
      <c r="G1817">
        <v>1380.3845214999999</v>
      </c>
      <c r="H1817">
        <v>1366.8464355000001</v>
      </c>
      <c r="I1817">
        <v>1293.0098877</v>
      </c>
      <c r="J1817">
        <v>1275.5024414</v>
      </c>
      <c r="K1817">
        <v>2200</v>
      </c>
      <c r="L1817">
        <v>0</v>
      </c>
      <c r="M1817">
        <v>0</v>
      </c>
      <c r="N1817">
        <v>2200</v>
      </c>
    </row>
    <row r="1818" spans="1:14" x14ac:dyDescent="0.25">
      <c r="A1818">
        <v>1472.990372</v>
      </c>
      <c r="B1818" s="1">
        <f>DATE(2014,5,12) + TIME(23,46,8)</f>
        <v>41771.990370370368</v>
      </c>
      <c r="C1818">
        <v>80</v>
      </c>
      <c r="D1818">
        <v>79.959556579999997</v>
      </c>
      <c r="E1818">
        <v>50</v>
      </c>
      <c r="F1818">
        <v>49.190696715999998</v>
      </c>
      <c r="G1818">
        <v>1380.3336182</v>
      </c>
      <c r="H1818">
        <v>1366.8068848</v>
      </c>
      <c r="I1818">
        <v>1293.0048827999999</v>
      </c>
      <c r="J1818">
        <v>1275.4956055</v>
      </c>
      <c r="K1818">
        <v>2200</v>
      </c>
      <c r="L1818">
        <v>0</v>
      </c>
      <c r="M1818">
        <v>0</v>
      </c>
      <c r="N1818">
        <v>2200</v>
      </c>
    </row>
    <row r="1819" spans="1:14" x14ac:dyDescent="0.25">
      <c r="A1819">
        <v>1473.38023</v>
      </c>
      <c r="B1819" s="1">
        <f>DATE(2014,5,13) + TIME(9,7,31)</f>
        <v>41772.380219907405</v>
      </c>
      <c r="C1819">
        <v>80</v>
      </c>
      <c r="D1819">
        <v>79.959579468000001</v>
      </c>
      <c r="E1819">
        <v>50</v>
      </c>
      <c r="F1819">
        <v>49.169040680000002</v>
      </c>
      <c r="G1819">
        <v>1380.2825928</v>
      </c>
      <c r="H1819">
        <v>1366.7672118999999</v>
      </c>
      <c r="I1819">
        <v>1292.9996338000001</v>
      </c>
      <c r="J1819">
        <v>1275.4885254000001</v>
      </c>
      <c r="K1819">
        <v>2200</v>
      </c>
      <c r="L1819">
        <v>0</v>
      </c>
      <c r="M1819">
        <v>0</v>
      </c>
      <c r="N1819">
        <v>2200</v>
      </c>
    </row>
    <row r="1820" spans="1:14" x14ac:dyDescent="0.25">
      <c r="A1820">
        <v>1473.783831</v>
      </c>
      <c r="B1820" s="1">
        <f>DATE(2014,5,13) + TIME(18,48,42)</f>
        <v>41772.783819444441</v>
      </c>
      <c r="C1820">
        <v>80</v>
      </c>
      <c r="D1820">
        <v>79.959602356000005</v>
      </c>
      <c r="E1820">
        <v>50</v>
      </c>
      <c r="F1820">
        <v>49.146778107000003</v>
      </c>
      <c r="G1820">
        <v>1380.2310791</v>
      </c>
      <c r="H1820">
        <v>1366.7274170000001</v>
      </c>
      <c r="I1820">
        <v>1292.9943848</v>
      </c>
      <c r="J1820">
        <v>1275.4810791</v>
      </c>
      <c r="K1820">
        <v>2200</v>
      </c>
      <c r="L1820">
        <v>0</v>
      </c>
      <c r="M1820">
        <v>0</v>
      </c>
      <c r="N1820">
        <v>2200</v>
      </c>
    </row>
    <row r="1821" spans="1:14" x14ac:dyDescent="0.25">
      <c r="A1821">
        <v>1474.200519</v>
      </c>
      <c r="B1821" s="1">
        <f>DATE(2014,5,14) + TIME(4,48,44)</f>
        <v>41773.200509259259</v>
      </c>
      <c r="C1821">
        <v>80</v>
      </c>
      <c r="D1821">
        <v>79.959609985</v>
      </c>
      <c r="E1821">
        <v>50</v>
      </c>
      <c r="F1821">
        <v>49.123924254999999</v>
      </c>
      <c r="G1821">
        <v>1380.1791992000001</v>
      </c>
      <c r="H1821">
        <v>1366.6872559000001</v>
      </c>
      <c r="I1821">
        <v>1292.9887695</v>
      </c>
      <c r="J1821">
        <v>1275.4735106999999</v>
      </c>
      <c r="K1821">
        <v>2200</v>
      </c>
      <c r="L1821">
        <v>0</v>
      </c>
      <c r="M1821">
        <v>0</v>
      </c>
      <c r="N1821">
        <v>2200</v>
      </c>
    </row>
    <row r="1822" spans="1:14" x14ac:dyDescent="0.25">
      <c r="A1822">
        <v>1474.6209080000001</v>
      </c>
      <c r="B1822" s="1">
        <f>DATE(2014,5,14) + TIME(14,54,6)</f>
        <v>41773.62090277778</v>
      </c>
      <c r="C1822">
        <v>80</v>
      </c>
      <c r="D1822">
        <v>79.959617614999999</v>
      </c>
      <c r="E1822">
        <v>50</v>
      </c>
      <c r="F1822">
        <v>49.100826263000002</v>
      </c>
      <c r="G1822">
        <v>1380.1269531</v>
      </c>
      <c r="H1822">
        <v>1366.6468506000001</v>
      </c>
      <c r="I1822">
        <v>1292.9829102000001</v>
      </c>
      <c r="J1822">
        <v>1275.4655762</v>
      </c>
      <c r="K1822">
        <v>2200</v>
      </c>
      <c r="L1822">
        <v>0</v>
      </c>
      <c r="M1822">
        <v>0</v>
      </c>
      <c r="N1822">
        <v>2200</v>
      </c>
    </row>
    <row r="1823" spans="1:14" x14ac:dyDescent="0.25">
      <c r="A1823">
        <v>1475.045527</v>
      </c>
      <c r="B1823" s="1">
        <f>DATE(2014,5,15) + TIME(1,5,33)</f>
        <v>41774.045520833337</v>
      </c>
      <c r="C1823">
        <v>80</v>
      </c>
      <c r="D1823">
        <v>79.959617614999999</v>
      </c>
      <c r="E1823">
        <v>50</v>
      </c>
      <c r="F1823">
        <v>49.077514647999998</v>
      </c>
      <c r="G1823">
        <v>1380.0754394999999</v>
      </c>
      <c r="H1823">
        <v>1366.6070557</v>
      </c>
      <c r="I1823">
        <v>1292.9770507999999</v>
      </c>
      <c r="J1823">
        <v>1275.4576416</v>
      </c>
      <c r="K1823">
        <v>2200</v>
      </c>
      <c r="L1823">
        <v>0</v>
      </c>
      <c r="M1823">
        <v>0</v>
      </c>
      <c r="N1823">
        <v>2200</v>
      </c>
    </row>
    <row r="1824" spans="1:14" x14ac:dyDescent="0.25">
      <c r="A1824">
        <v>1475.475551</v>
      </c>
      <c r="B1824" s="1">
        <f>DATE(2014,5,15) + TIME(11,24,47)</f>
        <v>41774.475543981483</v>
      </c>
      <c r="C1824">
        <v>80</v>
      </c>
      <c r="D1824">
        <v>79.959617614999999</v>
      </c>
      <c r="E1824">
        <v>50</v>
      </c>
      <c r="F1824">
        <v>49.053970337000003</v>
      </c>
      <c r="G1824">
        <v>1380.0247803</v>
      </c>
      <c r="H1824">
        <v>1366.5678711</v>
      </c>
      <c r="I1824">
        <v>1292.9710693</v>
      </c>
      <c r="J1824">
        <v>1275.4495850000001</v>
      </c>
      <c r="K1824">
        <v>2200</v>
      </c>
      <c r="L1824">
        <v>0</v>
      </c>
      <c r="M1824">
        <v>0</v>
      </c>
      <c r="N1824">
        <v>2200</v>
      </c>
    </row>
    <row r="1825" spans="1:14" x14ac:dyDescent="0.25">
      <c r="A1825">
        <v>1475.9121740000001</v>
      </c>
      <c r="B1825" s="1">
        <f>DATE(2014,5,15) + TIME(21,53,31)</f>
        <v>41774.912164351852</v>
      </c>
      <c r="C1825">
        <v>80</v>
      </c>
      <c r="D1825">
        <v>79.959609985</v>
      </c>
      <c r="E1825">
        <v>50</v>
      </c>
      <c r="F1825">
        <v>49.030170441000003</v>
      </c>
      <c r="G1825">
        <v>1379.9746094</v>
      </c>
      <c r="H1825">
        <v>1366.5291748</v>
      </c>
      <c r="I1825">
        <v>1292.9650879000001</v>
      </c>
      <c r="J1825">
        <v>1275.4412841999999</v>
      </c>
      <c r="K1825">
        <v>2200</v>
      </c>
      <c r="L1825">
        <v>0</v>
      </c>
      <c r="M1825">
        <v>0</v>
      </c>
      <c r="N1825">
        <v>2200</v>
      </c>
    </row>
    <row r="1826" spans="1:14" x14ac:dyDescent="0.25">
      <c r="A1826">
        <v>1476.3566330000001</v>
      </c>
      <c r="B1826" s="1">
        <f>DATE(2014,5,16) + TIME(8,33,33)</f>
        <v>41775.356631944444</v>
      </c>
      <c r="C1826">
        <v>80</v>
      </c>
      <c r="D1826">
        <v>79.959602356000005</v>
      </c>
      <c r="E1826">
        <v>50</v>
      </c>
      <c r="F1826">
        <v>49.006072998</v>
      </c>
      <c r="G1826">
        <v>1379.9248047000001</v>
      </c>
      <c r="H1826">
        <v>1366.4907227000001</v>
      </c>
      <c r="I1826">
        <v>1292.9589844</v>
      </c>
      <c r="J1826">
        <v>1275.4329834</v>
      </c>
      <c r="K1826">
        <v>2200</v>
      </c>
      <c r="L1826">
        <v>0</v>
      </c>
      <c r="M1826">
        <v>0</v>
      </c>
      <c r="N1826">
        <v>2200</v>
      </c>
    </row>
    <row r="1827" spans="1:14" x14ac:dyDescent="0.25">
      <c r="A1827">
        <v>1476.8102349999999</v>
      </c>
      <c r="B1827" s="1">
        <f>DATE(2014,5,16) + TIME(19,26,44)</f>
        <v>41775.810231481482</v>
      </c>
      <c r="C1827">
        <v>80</v>
      </c>
      <c r="D1827">
        <v>79.959594726999995</v>
      </c>
      <c r="E1827">
        <v>50</v>
      </c>
      <c r="F1827">
        <v>48.981624603</v>
      </c>
      <c r="G1827">
        <v>1379.8753661999999</v>
      </c>
      <c r="H1827">
        <v>1366.4526367000001</v>
      </c>
      <c r="I1827">
        <v>1292.9527588000001</v>
      </c>
      <c r="J1827">
        <v>1275.4244385</v>
      </c>
      <c r="K1827">
        <v>2200</v>
      </c>
      <c r="L1827">
        <v>0</v>
      </c>
      <c r="M1827">
        <v>0</v>
      </c>
      <c r="N1827">
        <v>2200</v>
      </c>
    </row>
    <row r="1828" spans="1:14" x14ac:dyDescent="0.25">
      <c r="A1828">
        <v>1477.2743840000001</v>
      </c>
      <c r="B1828" s="1">
        <f>DATE(2014,5,17) + TIME(6,35,6)</f>
        <v>41776.274375000001</v>
      </c>
      <c r="C1828">
        <v>80</v>
      </c>
      <c r="D1828">
        <v>79.959579468000001</v>
      </c>
      <c r="E1828">
        <v>50</v>
      </c>
      <c r="F1828">
        <v>48.956775665000002</v>
      </c>
      <c r="G1828">
        <v>1379.8260498</v>
      </c>
      <c r="H1828">
        <v>1366.4145507999999</v>
      </c>
      <c r="I1828">
        <v>1292.9462891000001</v>
      </c>
      <c r="J1828">
        <v>1275.4156493999999</v>
      </c>
      <c r="K1828">
        <v>2200</v>
      </c>
      <c r="L1828">
        <v>0</v>
      </c>
      <c r="M1828">
        <v>0</v>
      </c>
      <c r="N1828">
        <v>2200</v>
      </c>
    </row>
    <row r="1829" spans="1:14" x14ac:dyDescent="0.25">
      <c r="A1829">
        <v>1477.7506209999999</v>
      </c>
      <c r="B1829" s="1">
        <f>DATE(2014,5,17) + TIME(18,0,53)</f>
        <v>41776.750613425924</v>
      </c>
      <c r="C1829">
        <v>80</v>
      </c>
      <c r="D1829">
        <v>79.959564209000007</v>
      </c>
      <c r="E1829">
        <v>50</v>
      </c>
      <c r="F1829">
        <v>48.931457520000002</v>
      </c>
      <c r="G1829">
        <v>1379.7766113</v>
      </c>
      <c r="H1829">
        <v>1366.3765868999999</v>
      </c>
      <c r="I1829">
        <v>1292.9396973</v>
      </c>
      <c r="J1829">
        <v>1275.4066161999999</v>
      </c>
      <c r="K1829">
        <v>2200</v>
      </c>
      <c r="L1829">
        <v>0</v>
      </c>
      <c r="M1829">
        <v>0</v>
      </c>
      <c r="N1829">
        <v>2200</v>
      </c>
    </row>
    <row r="1830" spans="1:14" x14ac:dyDescent="0.25">
      <c r="A1830">
        <v>1478.2406490000001</v>
      </c>
      <c r="B1830" s="1">
        <f>DATE(2014,5,18) + TIME(5,46,32)</f>
        <v>41777.240648148145</v>
      </c>
      <c r="C1830">
        <v>80</v>
      </c>
      <c r="D1830">
        <v>79.959548949999999</v>
      </c>
      <c r="E1830">
        <v>50</v>
      </c>
      <c r="F1830">
        <v>48.905597686999997</v>
      </c>
      <c r="G1830">
        <v>1379.7270507999999</v>
      </c>
      <c r="H1830">
        <v>1366.3383789</v>
      </c>
      <c r="I1830">
        <v>1292.9329834</v>
      </c>
      <c r="J1830">
        <v>1275.3973389</v>
      </c>
      <c r="K1830">
        <v>2200</v>
      </c>
      <c r="L1830">
        <v>0</v>
      </c>
      <c r="M1830">
        <v>0</v>
      </c>
      <c r="N1830">
        <v>2200</v>
      </c>
    </row>
    <row r="1831" spans="1:14" x14ac:dyDescent="0.25">
      <c r="A1831">
        <v>1478.7457810000001</v>
      </c>
      <c r="B1831" s="1">
        <f>DATE(2014,5,18) + TIME(17,53,55)</f>
        <v>41777.745775462965</v>
      </c>
      <c r="C1831">
        <v>80</v>
      </c>
      <c r="D1831">
        <v>79.959533691000004</v>
      </c>
      <c r="E1831">
        <v>50</v>
      </c>
      <c r="F1831">
        <v>48.879135132000002</v>
      </c>
      <c r="G1831">
        <v>1379.6772461</v>
      </c>
      <c r="H1831">
        <v>1366.2999268000001</v>
      </c>
      <c r="I1831">
        <v>1292.9260254000001</v>
      </c>
      <c r="J1831">
        <v>1275.3878173999999</v>
      </c>
      <c r="K1831">
        <v>2200</v>
      </c>
      <c r="L1831">
        <v>0</v>
      </c>
      <c r="M1831">
        <v>0</v>
      </c>
      <c r="N1831">
        <v>2200</v>
      </c>
    </row>
    <row r="1832" spans="1:14" x14ac:dyDescent="0.25">
      <c r="A1832">
        <v>1479.2597929999999</v>
      </c>
      <c r="B1832" s="1">
        <f>DATE(2014,5,19) + TIME(6,14,6)</f>
        <v>41778.259791666664</v>
      </c>
      <c r="C1832">
        <v>80</v>
      </c>
      <c r="D1832">
        <v>79.959518433</v>
      </c>
      <c r="E1832">
        <v>50</v>
      </c>
      <c r="F1832">
        <v>48.852264404000003</v>
      </c>
      <c r="G1832">
        <v>1379.6269531</v>
      </c>
      <c r="H1832">
        <v>1366.2613524999999</v>
      </c>
      <c r="I1832">
        <v>1292.9187012</v>
      </c>
      <c r="J1832">
        <v>1275.3779297000001</v>
      </c>
      <c r="K1832">
        <v>2200</v>
      </c>
      <c r="L1832">
        <v>0</v>
      </c>
      <c r="M1832">
        <v>0</v>
      </c>
      <c r="N1832">
        <v>2200</v>
      </c>
    </row>
    <row r="1833" spans="1:14" x14ac:dyDescent="0.25">
      <c r="A1833">
        <v>1479.7841840000001</v>
      </c>
      <c r="B1833" s="1">
        <f>DATE(2014,5,19) + TIME(18,49,13)</f>
        <v>41778.784178240741</v>
      </c>
      <c r="C1833">
        <v>80</v>
      </c>
      <c r="D1833">
        <v>79.959503174000005</v>
      </c>
      <c r="E1833">
        <v>50</v>
      </c>
      <c r="F1833">
        <v>48.824958801000001</v>
      </c>
      <c r="G1833">
        <v>1379.5770264</v>
      </c>
      <c r="H1833">
        <v>1366.2227783000001</v>
      </c>
      <c r="I1833">
        <v>1292.9113769999999</v>
      </c>
      <c r="J1833">
        <v>1275.3677978999999</v>
      </c>
      <c r="K1833">
        <v>2200</v>
      </c>
      <c r="L1833">
        <v>0</v>
      </c>
      <c r="M1833">
        <v>0</v>
      </c>
      <c r="N1833">
        <v>2200</v>
      </c>
    </row>
    <row r="1834" spans="1:14" x14ac:dyDescent="0.25">
      <c r="A1834">
        <v>1480.320424</v>
      </c>
      <c r="B1834" s="1">
        <f>DATE(2014,5,20) + TIME(7,41,24)</f>
        <v>41779.320416666669</v>
      </c>
      <c r="C1834">
        <v>80</v>
      </c>
      <c r="D1834">
        <v>79.959487914999997</v>
      </c>
      <c r="E1834">
        <v>50</v>
      </c>
      <c r="F1834">
        <v>48.797183990000001</v>
      </c>
      <c r="G1834">
        <v>1379.5270995999999</v>
      </c>
      <c r="H1834">
        <v>1366.1843262</v>
      </c>
      <c r="I1834">
        <v>1292.9038086</v>
      </c>
      <c r="J1834">
        <v>1275.3574219</v>
      </c>
      <c r="K1834">
        <v>2200</v>
      </c>
      <c r="L1834">
        <v>0</v>
      </c>
      <c r="M1834">
        <v>0</v>
      </c>
      <c r="N1834">
        <v>2200</v>
      </c>
    </row>
    <row r="1835" spans="1:14" x14ac:dyDescent="0.25">
      <c r="A1835">
        <v>1480.869152</v>
      </c>
      <c r="B1835" s="1">
        <f>DATE(2014,5,20) + TIME(20,51,34)</f>
        <v>41779.869143518517</v>
      </c>
      <c r="C1835">
        <v>80</v>
      </c>
      <c r="D1835">
        <v>79.959465026999993</v>
      </c>
      <c r="E1835">
        <v>50</v>
      </c>
      <c r="F1835">
        <v>48.768920897999998</v>
      </c>
      <c r="G1835">
        <v>1379.4770507999999</v>
      </c>
      <c r="H1835">
        <v>1366.1459961</v>
      </c>
      <c r="I1835">
        <v>1292.8959961</v>
      </c>
      <c r="J1835">
        <v>1275.3468018000001</v>
      </c>
      <c r="K1835">
        <v>2200</v>
      </c>
      <c r="L1835">
        <v>0</v>
      </c>
      <c r="M1835">
        <v>0</v>
      </c>
      <c r="N1835">
        <v>2200</v>
      </c>
    </row>
    <row r="1836" spans="1:14" x14ac:dyDescent="0.25">
      <c r="A1836">
        <v>1481.42758</v>
      </c>
      <c r="B1836" s="1">
        <f>DATE(2014,5,21) + TIME(10,15,42)</f>
        <v>41780.427569444444</v>
      </c>
      <c r="C1836">
        <v>80</v>
      </c>
      <c r="D1836">
        <v>79.959449767999999</v>
      </c>
      <c r="E1836">
        <v>50</v>
      </c>
      <c r="F1836">
        <v>48.740257262999997</v>
      </c>
      <c r="G1836">
        <v>1379.427124</v>
      </c>
      <c r="H1836">
        <v>1366.1074219</v>
      </c>
      <c r="I1836">
        <v>1292.8879394999999</v>
      </c>
      <c r="J1836">
        <v>1275.3358154</v>
      </c>
      <c r="K1836">
        <v>2200</v>
      </c>
      <c r="L1836">
        <v>0</v>
      </c>
      <c r="M1836">
        <v>0</v>
      </c>
      <c r="N1836">
        <v>2200</v>
      </c>
    </row>
    <row r="1837" spans="1:14" x14ac:dyDescent="0.25">
      <c r="A1837">
        <v>1481.9971660000001</v>
      </c>
      <c r="B1837" s="1">
        <f>DATE(2014,5,21) + TIME(23,55,55)</f>
        <v>41780.997164351851</v>
      </c>
      <c r="C1837">
        <v>80</v>
      </c>
      <c r="D1837">
        <v>79.959434509000005</v>
      </c>
      <c r="E1837">
        <v>50</v>
      </c>
      <c r="F1837">
        <v>48.711166382000002</v>
      </c>
      <c r="G1837">
        <v>1379.3771973</v>
      </c>
      <c r="H1837">
        <v>1366.0690918</v>
      </c>
      <c r="I1837">
        <v>1292.8797606999999</v>
      </c>
      <c r="J1837">
        <v>1275.3245850000001</v>
      </c>
      <c r="K1837">
        <v>2200</v>
      </c>
      <c r="L1837">
        <v>0</v>
      </c>
      <c r="M1837">
        <v>0</v>
      </c>
      <c r="N1837">
        <v>2200</v>
      </c>
    </row>
    <row r="1838" spans="1:14" x14ac:dyDescent="0.25">
      <c r="A1838">
        <v>1482.572559</v>
      </c>
      <c r="B1838" s="1">
        <f>DATE(2014,5,22) + TIME(13,44,29)</f>
        <v>41781.572557870371</v>
      </c>
      <c r="C1838">
        <v>80</v>
      </c>
      <c r="D1838">
        <v>79.959411621000001</v>
      </c>
      <c r="E1838">
        <v>50</v>
      </c>
      <c r="F1838">
        <v>48.681819916000002</v>
      </c>
      <c r="G1838">
        <v>1379.3275146000001</v>
      </c>
      <c r="H1838">
        <v>1366.0308838000001</v>
      </c>
      <c r="I1838">
        <v>1292.8714600000001</v>
      </c>
      <c r="J1838">
        <v>1275.3131103999999</v>
      </c>
      <c r="K1838">
        <v>2200</v>
      </c>
      <c r="L1838">
        <v>0</v>
      </c>
      <c r="M1838">
        <v>0</v>
      </c>
      <c r="N1838">
        <v>2200</v>
      </c>
    </row>
    <row r="1839" spans="1:14" x14ac:dyDescent="0.25">
      <c r="A1839">
        <v>1483.155053</v>
      </c>
      <c r="B1839" s="1">
        <f>DATE(2014,5,23) + TIME(3,43,16)</f>
        <v>41782.155046296299</v>
      </c>
      <c r="C1839">
        <v>80</v>
      </c>
      <c r="D1839">
        <v>79.959396362000007</v>
      </c>
      <c r="E1839">
        <v>50</v>
      </c>
      <c r="F1839">
        <v>48.652217864999997</v>
      </c>
      <c r="G1839">
        <v>1379.2781981999999</v>
      </c>
      <c r="H1839">
        <v>1365.9930420000001</v>
      </c>
      <c r="I1839">
        <v>1292.8629149999999</v>
      </c>
      <c r="J1839">
        <v>1275.3013916</v>
      </c>
      <c r="K1839">
        <v>2200</v>
      </c>
      <c r="L1839">
        <v>0</v>
      </c>
      <c r="M1839">
        <v>0</v>
      </c>
      <c r="N1839">
        <v>2200</v>
      </c>
    </row>
    <row r="1840" spans="1:14" x14ac:dyDescent="0.25">
      <c r="A1840">
        <v>1483.746359</v>
      </c>
      <c r="B1840" s="1">
        <f>DATE(2014,5,23) + TIME(17,54,45)</f>
        <v>41782.746354166666</v>
      </c>
      <c r="C1840">
        <v>80</v>
      </c>
      <c r="D1840">
        <v>79.959381104000002</v>
      </c>
      <c r="E1840">
        <v>50</v>
      </c>
      <c r="F1840">
        <v>48.622325897000003</v>
      </c>
      <c r="G1840">
        <v>1379.2293701000001</v>
      </c>
      <c r="H1840">
        <v>1365.9554443</v>
      </c>
      <c r="I1840">
        <v>1292.8542480000001</v>
      </c>
      <c r="J1840">
        <v>1275.2895507999999</v>
      </c>
      <c r="K1840">
        <v>2200</v>
      </c>
      <c r="L1840">
        <v>0</v>
      </c>
      <c r="M1840">
        <v>0</v>
      </c>
      <c r="N1840">
        <v>2200</v>
      </c>
    </row>
    <row r="1841" spans="1:14" x14ac:dyDescent="0.25">
      <c r="A1841">
        <v>1484.3482610000001</v>
      </c>
      <c r="B1841" s="1">
        <f>DATE(2014,5,24) + TIME(8,21,29)</f>
        <v>41783.348252314812</v>
      </c>
      <c r="C1841">
        <v>80</v>
      </c>
      <c r="D1841">
        <v>79.959358214999995</v>
      </c>
      <c r="E1841">
        <v>50</v>
      </c>
      <c r="F1841">
        <v>48.592094420999999</v>
      </c>
      <c r="G1841">
        <v>1379.1809082</v>
      </c>
      <c r="H1841">
        <v>1365.9180908000001</v>
      </c>
      <c r="I1841">
        <v>1292.8454589999999</v>
      </c>
      <c r="J1841">
        <v>1275.2773437999999</v>
      </c>
      <c r="K1841">
        <v>2200</v>
      </c>
      <c r="L1841">
        <v>0</v>
      </c>
      <c r="M1841">
        <v>0</v>
      </c>
      <c r="N1841">
        <v>2200</v>
      </c>
    </row>
    <row r="1842" spans="1:14" x14ac:dyDescent="0.25">
      <c r="A1842">
        <v>1484.9626699999999</v>
      </c>
      <c r="B1842" s="1">
        <f>DATE(2014,5,24) + TIME(23,6,14)</f>
        <v>41783.96266203704</v>
      </c>
      <c r="C1842">
        <v>80</v>
      </c>
      <c r="D1842">
        <v>79.959342957000004</v>
      </c>
      <c r="E1842">
        <v>50</v>
      </c>
      <c r="F1842">
        <v>48.561450958000002</v>
      </c>
      <c r="G1842">
        <v>1379.1324463000001</v>
      </c>
      <c r="H1842">
        <v>1365.8807373</v>
      </c>
      <c r="I1842">
        <v>1292.8364257999999</v>
      </c>
      <c r="J1842">
        <v>1275.2648925999999</v>
      </c>
      <c r="K1842">
        <v>2200</v>
      </c>
      <c r="L1842">
        <v>0</v>
      </c>
      <c r="M1842">
        <v>0</v>
      </c>
      <c r="N1842">
        <v>2200</v>
      </c>
    </row>
    <row r="1843" spans="1:14" x14ac:dyDescent="0.25">
      <c r="A1843">
        <v>1485.5916440000001</v>
      </c>
      <c r="B1843" s="1">
        <f>DATE(2014,5,25) + TIME(14,11,58)</f>
        <v>41784.591643518521</v>
      </c>
      <c r="C1843">
        <v>80</v>
      </c>
      <c r="D1843">
        <v>79.959327697999996</v>
      </c>
      <c r="E1843">
        <v>50</v>
      </c>
      <c r="F1843">
        <v>48.530311584000003</v>
      </c>
      <c r="G1843">
        <v>1379.0838623</v>
      </c>
      <c r="H1843">
        <v>1365.8433838000001</v>
      </c>
      <c r="I1843">
        <v>1292.8271483999999</v>
      </c>
      <c r="J1843">
        <v>1275.2520752</v>
      </c>
      <c r="K1843">
        <v>2200</v>
      </c>
      <c r="L1843">
        <v>0</v>
      </c>
      <c r="M1843">
        <v>0</v>
      </c>
      <c r="N1843">
        <v>2200</v>
      </c>
    </row>
    <row r="1844" spans="1:14" x14ac:dyDescent="0.25">
      <c r="A1844">
        <v>1486.23758</v>
      </c>
      <c r="B1844" s="1">
        <f>DATE(2014,5,26) + TIME(5,42,6)</f>
        <v>41785.237569444442</v>
      </c>
      <c r="C1844">
        <v>80</v>
      </c>
      <c r="D1844">
        <v>79.959312439000001</v>
      </c>
      <c r="E1844">
        <v>50</v>
      </c>
      <c r="F1844">
        <v>48.498588562000002</v>
      </c>
      <c r="G1844">
        <v>1379.0351562000001</v>
      </c>
      <c r="H1844">
        <v>1365.8059082</v>
      </c>
      <c r="I1844">
        <v>1292.8175048999999</v>
      </c>
      <c r="J1844">
        <v>1275.2388916</v>
      </c>
      <c r="K1844">
        <v>2200</v>
      </c>
      <c r="L1844">
        <v>0</v>
      </c>
      <c r="M1844">
        <v>0</v>
      </c>
      <c r="N1844">
        <v>2200</v>
      </c>
    </row>
    <row r="1845" spans="1:14" x14ac:dyDescent="0.25">
      <c r="A1845">
        <v>1486.9031910000001</v>
      </c>
      <c r="B1845" s="1">
        <f>DATE(2014,5,26) + TIME(21,40,35)</f>
        <v>41785.903182870374</v>
      </c>
      <c r="C1845">
        <v>80</v>
      </c>
      <c r="D1845">
        <v>79.959289550999998</v>
      </c>
      <c r="E1845">
        <v>50</v>
      </c>
      <c r="F1845">
        <v>48.466171265</v>
      </c>
      <c r="G1845">
        <v>1378.9862060999999</v>
      </c>
      <c r="H1845">
        <v>1365.7681885</v>
      </c>
      <c r="I1845">
        <v>1292.8077393000001</v>
      </c>
      <c r="J1845">
        <v>1275.2252197</v>
      </c>
      <c r="K1845">
        <v>2200</v>
      </c>
      <c r="L1845">
        <v>0</v>
      </c>
      <c r="M1845">
        <v>0</v>
      </c>
      <c r="N1845">
        <v>2200</v>
      </c>
    </row>
    <row r="1846" spans="1:14" x14ac:dyDescent="0.25">
      <c r="A1846">
        <v>1487.5910570000001</v>
      </c>
      <c r="B1846" s="1">
        <f>DATE(2014,5,27) + TIME(14,11,7)</f>
        <v>41786.591053240743</v>
      </c>
      <c r="C1846">
        <v>80</v>
      </c>
      <c r="D1846">
        <v>79.959274292000003</v>
      </c>
      <c r="E1846">
        <v>50</v>
      </c>
      <c r="F1846">
        <v>48.432949065999999</v>
      </c>
      <c r="G1846">
        <v>1378.9366454999999</v>
      </c>
      <c r="H1846">
        <v>1365.7301024999999</v>
      </c>
      <c r="I1846">
        <v>1292.7974853999999</v>
      </c>
      <c r="J1846">
        <v>1275.2110596</v>
      </c>
      <c r="K1846">
        <v>2200</v>
      </c>
      <c r="L1846">
        <v>0</v>
      </c>
      <c r="M1846">
        <v>0</v>
      </c>
      <c r="N1846">
        <v>2200</v>
      </c>
    </row>
    <row r="1847" spans="1:14" x14ac:dyDescent="0.25">
      <c r="A1847">
        <v>1488.2887519999999</v>
      </c>
      <c r="B1847" s="1">
        <f>DATE(2014,5,28) + TIME(6,55,48)</f>
        <v>41787.28875</v>
      </c>
      <c r="C1847">
        <v>80</v>
      </c>
      <c r="D1847">
        <v>79.959259032999995</v>
      </c>
      <c r="E1847">
        <v>50</v>
      </c>
      <c r="F1847">
        <v>48.399223327999998</v>
      </c>
      <c r="G1847">
        <v>1378.8864745999999</v>
      </c>
      <c r="H1847">
        <v>1365.6914062000001</v>
      </c>
      <c r="I1847">
        <v>1292.7867432</v>
      </c>
      <c r="J1847">
        <v>1275.1962891000001</v>
      </c>
      <c r="K1847">
        <v>2200</v>
      </c>
      <c r="L1847">
        <v>0</v>
      </c>
      <c r="M1847">
        <v>0</v>
      </c>
      <c r="N1847">
        <v>2200</v>
      </c>
    </row>
    <row r="1848" spans="1:14" x14ac:dyDescent="0.25">
      <c r="A1848">
        <v>1488.9949979999999</v>
      </c>
      <c r="B1848" s="1">
        <f>DATE(2014,5,28) + TIME(23,52,47)</f>
        <v>41787.994988425926</v>
      </c>
      <c r="C1848">
        <v>80</v>
      </c>
      <c r="D1848">
        <v>79.959243774000001</v>
      </c>
      <c r="E1848">
        <v>50</v>
      </c>
      <c r="F1848">
        <v>48.365116119</v>
      </c>
      <c r="G1848">
        <v>1378.8365478999999</v>
      </c>
      <c r="H1848">
        <v>1365.6529541</v>
      </c>
      <c r="I1848">
        <v>1292.7758789</v>
      </c>
      <c r="J1848">
        <v>1275.1811522999999</v>
      </c>
      <c r="K1848">
        <v>2200</v>
      </c>
      <c r="L1848">
        <v>0</v>
      </c>
      <c r="M1848">
        <v>0</v>
      </c>
      <c r="N1848">
        <v>2200</v>
      </c>
    </row>
    <row r="1849" spans="1:14" x14ac:dyDescent="0.25">
      <c r="A1849">
        <v>1489.711636</v>
      </c>
      <c r="B1849" s="1">
        <f>DATE(2014,5,29) + TIME(17,4,45)</f>
        <v>41788.711631944447</v>
      </c>
      <c r="C1849">
        <v>80</v>
      </c>
      <c r="D1849">
        <v>79.959228515999996</v>
      </c>
      <c r="E1849">
        <v>50</v>
      </c>
      <c r="F1849">
        <v>48.330642699999999</v>
      </c>
      <c r="G1849">
        <v>1378.7869873</v>
      </c>
      <c r="H1849">
        <v>1365.614624</v>
      </c>
      <c r="I1849">
        <v>1292.7647704999999</v>
      </c>
      <c r="J1849">
        <v>1275.1657714999999</v>
      </c>
      <c r="K1849">
        <v>2200</v>
      </c>
      <c r="L1849">
        <v>0</v>
      </c>
      <c r="M1849">
        <v>0</v>
      </c>
      <c r="N1849">
        <v>2200</v>
      </c>
    </row>
    <row r="1850" spans="1:14" x14ac:dyDescent="0.25">
      <c r="A1850">
        <v>1490.4405360000001</v>
      </c>
      <c r="B1850" s="1">
        <f>DATE(2014,5,30) + TIME(10,34,22)</f>
        <v>41789.440532407411</v>
      </c>
      <c r="C1850">
        <v>80</v>
      </c>
      <c r="D1850">
        <v>79.959213257000002</v>
      </c>
      <c r="E1850">
        <v>50</v>
      </c>
      <c r="F1850">
        <v>48.295768738</v>
      </c>
      <c r="G1850">
        <v>1378.7376709</v>
      </c>
      <c r="H1850">
        <v>1365.5765381000001</v>
      </c>
      <c r="I1850">
        <v>1292.7532959</v>
      </c>
      <c r="J1850">
        <v>1275.1499022999999</v>
      </c>
      <c r="K1850">
        <v>2200</v>
      </c>
      <c r="L1850">
        <v>0</v>
      </c>
      <c r="M1850">
        <v>0</v>
      </c>
      <c r="N1850">
        <v>2200</v>
      </c>
    </row>
    <row r="1851" spans="1:14" x14ac:dyDescent="0.25">
      <c r="A1851">
        <v>1491.1815140000001</v>
      </c>
      <c r="B1851" s="1">
        <f>DATE(2014,5,31) + TIME(4,21,22)</f>
        <v>41790.181504629632</v>
      </c>
      <c r="C1851">
        <v>80</v>
      </c>
      <c r="D1851">
        <v>79.959197997999993</v>
      </c>
      <c r="E1851">
        <v>50</v>
      </c>
      <c r="F1851">
        <v>48.260501861999998</v>
      </c>
      <c r="G1851">
        <v>1378.6883545000001</v>
      </c>
      <c r="H1851">
        <v>1365.5385742000001</v>
      </c>
      <c r="I1851">
        <v>1292.7416992000001</v>
      </c>
      <c r="J1851">
        <v>1275.1336670000001</v>
      </c>
      <c r="K1851">
        <v>2200</v>
      </c>
      <c r="L1851">
        <v>0</v>
      </c>
      <c r="M1851">
        <v>0</v>
      </c>
      <c r="N1851">
        <v>2200</v>
      </c>
    </row>
    <row r="1852" spans="1:14" x14ac:dyDescent="0.25">
      <c r="A1852">
        <v>1491.9333240000001</v>
      </c>
      <c r="B1852" s="1">
        <f>DATE(2014,5,31) + TIME(22,23,59)</f>
        <v>41790.933321759258</v>
      </c>
      <c r="C1852">
        <v>80</v>
      </c>
      <c r="D1852">
        <v>79.959182738999999</v>
      </c>
      <c r="E1852">
        <v>50</v>
      </c>
      <c r="F1852">
        <v>48.224876404</v>
      </c>
      <c r="G1852">
        <v>1378.6392822</v>
      </c>
      <c r="H1852">
        <v>1365.5006103999999</v>
      </c>
      <c r="I1852">
        <v>1292.7297363</v>
      </c>
      <c r="J1852">
        <v>1275.1169434000001</v>
      </c>
      <c r="K1852">
        <v>2200</v>
      </c>
      <c r="L1852">
        <v>0</v>
      </c>
      <c r="M1852">
        <v>0</v>
      </c>
      <c r="N1852">
        <v>2200</v>
      </c>
    </row>
    <row r="1853" spans="1:14" x14ac:dyDescent="0.25">
      <c r="A1853">
        <v>1492</v>
      </c>
      <c r="B1853" s="1">
        <f>DATE(2014,6,1) + TIME(0,0,0)</f>
        <v>41791</v>
      </c>
      <c r="C1853">
        <v>80</v>
      </c>
      <c r="D1853">
        <v>79.959175110000004</v>
      </c>
      <c r="E1853">
        <v>50</v>
      </c>
      <c r="F1853">
        <v>48.219551086000003</v>
      </c>
      <c r="G1853">
        <v>1378.5925293</v>
      </c>
      <c r="H1853">
        <v>1365.4649658000001</v>
      </c>
      <c r="I1853">
        <v>1292.715332</v>
      </c>
      <c r="J1853">
        <v>1275.1035156</v>
      </c>
      <c r="K1853">
        <v>2200</v>
      </c>
      <c r="L1853">
        <v>0</v>
      </c>
      <c r="M1853">
        <v>0</v>
      </c>
      <c r="N1853">
        <v>2200</v>
      </c>
    </row>
    <row r="1854" spans="1:14" x14ac:dyDescent="0.25">
      <c r="A1854">
        <v>1492.7650470000001</v>
      </c>
      <c r="B1854" s="1">
        <f>DATE(2014,6,1) + TIME(18,21,40)</f>
        <v>41791.765046296299</v>
      </c>
      <c r="C1854">
        <v>80</v>
      </c>
      <c r="D1854">
        <v>79.959167480000005</v>
      </c>
      <c r="E1854">
        <v>50</v>
      </c>
      <c r="F1854">
        <v>48.184486389</v>
      </c>
      <c r="G1854">
        <v>1378.5858154</v>
      </c>
      <c r="H1854">
        <v>1365.4592285000001</v>
      </c>
      <c r="I1854">
        <v>1292.7163086</v>
      </c>
      <c r="J1854">
        <v>1275.0980225000001</v>
      </c>
      <c r="K1854">
        <v>2200</v>
      </c>
      <c r="L1854">
        <v>0</v>
      </c>
      <c r="M1854">
        <v>0</v>
      </c>
      <c r="N1854">
        <v>2200</v>
      </c>
    </row>
    <row r="1855" spans="1:14" x14ac:dyDescent="0.25">
      <c r="A1855">
        <v>1493.545286</v>
      </c>
      <c r="B1855" s="1">
        <f>DATE(2014,6,2) + TIME(13,5,12)</f>
        <v>41792.545277777775</v>
      </c>
      <c r="C1855">
        <v>80</v>
      </c>
      <c r="D1855">
        <v>79.959159850999995</v>
      </c>
      <c r="E1855">
        <v>50</v>
      </c>
      <c r="F1855">
        <v>48.148529052999997</v>
      </c>
      <c r="G1855">
        <v>1378.5372314000001</v>
      </c>
      <c r="H1855">
        <v>1365.4217529</v>
      </c>
      <c r="I1855">
        <v>1292.7037353999999</v>
      </c>
      <c r="J1855">
        <v>1275.0804443</v>
      </c>
      <c r="K1855">
        <v>2200</v>
      </c>
      <c r="L1855">
        <v>0</v>
      </c>
      <c r="M1855">
        <v>0</v>
      </c>
      <c r="N1855">
        <v>2200</v>
      </c>
    </row>
    <row r="1856" spans="1:14" x14ac:dyDescent="0.25">
      <c r="A1856">
        <v>1494.3405540000001</v>
      </c>
      <c r="B1856" s="1">
        <f>DATE(2014,6,3) + TIME(8,10,23)</f>
        <v>41793.340543981481</v>
      </c>
      <c r="C1856">
        <v>80</v>
      </c>
      <c r="D1856">
        <v>79.959144592000001</v>
      </c>
      <c r="E1856">
        <v>50</v>
      </c>
      <c r="F1856">
        <v>48.111839293999999</v>
      </c>
      <c r="G1856">
        <v>1378.4882812000001</v>
      </c>
      <c r="H1856">
        <v>1365.3839111</v>
      </c>
      <c r="I1856">
        <v>1292.6907959</v>
      </c>
      <c r="J1856">
        <v>1275.0622559000001</v>
      </c>
      <c r="K1856">
        <v>2200</v>
      </c>
      <c r="L1856">
        <v>0</v>
      </c>
      <c r="M1856">
        <v>0</v>
      </c>
      <c r="N1856">
        <v>2200</v>
      </c>
    </row>
    <row r="1857" spans="1:14" x14ac:dyDescent="0.25">
      <c r="A1857">
        <v>1495.1536369999999</v>
      </c>
      <c r="B1857" s="1">
        <f>DATE(2014,6,4) + TIME(3,41,14)</f>
        <v>41794.153634259259</v>
      </c>
      <c r="C1857">
        <v>80</v>
      </c>
      <c r="D1857">
        <v>79.959129333000007</v>
      </c>
      <c r="E1857">
        <v>50</v>
      </c>
      <c r="F1857">
        <v>48.074447632000002</v>
      </c>
      <c r="G1857">
        <v>1378.4393310999999</v>
      </c>
      <c r="H1857">
        <v>1365.3459473</v>
      </c>
      <c r="I1857">
        <v>1292.6774902</v>
      </c>
      <c r="J1857">
        <v>1275.043457</v>
      </c>
      <c r="K1857">
        <v>2200</v>
      </c>
      <c r="L1857">
        <v>0</v>
      </c>
      <c r="M1857">
        <v>0</v>
      </c>
      <c r="N1857">
        <v>2200</v>
      </c>
    </row>
    <row r="1858" spans="1:14" x14ac:dyDescent="0.25">
      <c r="A1858">
        <v>1495.9834639999999</v>
      </c>
      <c r="B1858" s="1">
        <f>DATE(2014,6,4) + TIME(23,36,11)</f>
        <v>41794.983460648145</v>
      </c>
      <c r="C1858">
        <v>80</v>
      </c>
      <c r="D1858">
        <v>79.959121703999998</v>
      </c>
      <c r="E1858">
        <v>50</v>
      </c>
      <c r="F1858">
        <v>48.036411285</v>
      </c>
      <c r="G1858">
        <v>1378.3901367000001</v>
      </c>
      <c r="H1858">
        <v>1365.3078613</v>
      </c>
      <c r="I1858">
        <v>1292.6636963000001</v>
      </c>
      <c r="J1858">
        <v>1275.0240478999999</v>
      </c>
      <c r="K1858">
        <v>2200</v>
      </c>
      <c r="L1858">
        <v>0</v>
      </c>
      <c r="M1858">
        <v>0</v>
      </c>
      <c r="N1858">
        <v>2200</v>
      </c>
    </row>
    <row r="1859" spans="1:14" x14ac:dyDescent="0.25">
      <c r="A1859">
        <v>1496.8299979999999</v>
      </c>
      <c r="B1859" s="1">
        <f>DATE(2014,6,5) + TIME(19,55,11)</f>
        <v>41795.829988425925</v>
      </c>
      <c r="C1859">
        <v>80</v>
      </c>
      <c r="D1859">
        <v>79.959106445000003</v>
      </c>
      <c r="E1859">
        <v>50</v>
      </c>
      <c r="F1859">
        <v>47.997756957999997</v>
      </c>
      <c r="G1859">
        <v>1378.3408202999999</v>
      </c>
      <c r="H1859">
        <v>1365.2696533000001</v>
      </c>
      <c r="I1859">
        <v>1292.6494141000001</v>
      </c>
      <c r="J1859">
        <v>1275.0039062000001</v>
      </c>
      <c r="K1859">
        <v>2200</v>
      </c>
      <c r="L1859">
        <v>0</v>
      </c>
      <c r="M1859">
        <v>0</v>
      </c>
      <c r="N1859">
        <v>2200</v>
      </c>
    </row>
    <row r="1860" spans="1:14" x14ac:dyDescent="0.25">
      <c r="A1860">
        <v>1497.6960449999999</v>
      </c>
      <c r="B1860" s="1">
        <f>DATE(2014,6,6) + TIME(16,42,18)</f>
        <v>41796.69604166667</v>
      </c>
      <c r="C1860">
        <v>80</v>
      </c>
      <c r="D1860">
        <v>79.959098815999994</v>
      </c>
      <c r="E1860">
        <v>50</v>
      </c>
      <c r="F1860">
        <v>47.958442687999998</v>
      </c>
      <c r="G1860">
        <v>1378.2915039</v>
      </c>
      <c r="H1860">
        <v>1365.2313231999999</v>
      </c>
      <c r="I1860">
        <v>1292.6347656</v>
      </c>
      <c r="J1860">
        <v>1274.9830322</v>
      </c>
      <c r="K1860">
        <v>2200</v>
      </c>
      <c r="L1860">
        <v>0</v>
      </c>
      <c r="M1860">
        <v>0</v>
      </c>
      <c r="N1860">
        <v>2200</v>
      </c>
    </row>
    <row r="1861" spans="1:14" x14ac:dyDescent="0.25">
      <c r="A1861">
        <v>1498.5661110000001</v>
      </c>
      <c r="B1861" s="1">
        <f>DATE(2014,6,7) + TIME(13,35,12)</f>
        <v>41797.566111111111</v>
      </c>
      <c r="C1861">
        <v>80</v>
      </c>
      <c r="D1861">
        <v>79.959083557</v>
      </c>
      <c r="E1861">
        <v>50</v>
      </c>
      <c r="F1861">
        <v>47.918811798</v>
      </c>
      <c r="G1861">
        <v>1378.2418213000001</v>
      </c>
      <c r="H1861">
        <v>1365.192749</v>
      </c>
      <c r="I1861">
        <v>1292.6195068</v>
      </c>
      <c r="J1861">
        <v>1274.9615478999999</v>
      </c>
      <c r="K1861">
        <v>2200</v>
      </c>
      <c r="L1861">
        <v>0</v>
      </c>
      <c r="M1861">
        <v>0</v>
      </c>
      <c r="N1861">
        <v>2200</v>
      </c>
    </row>
    <row r="1862" spans="1:14" x14ac:dyDescent="0.25">
      <c r="A1862">
        <v>1499.4426579999999</v>
      </c>
      <c r="B1862" s="1">
        <f>DATE(2014,6,8) + TIME(10,37,25)</f>
        <v>41798.442650462966</v>
      </c>
      <c r="C1862">
        <v>80</v>
      </c>
      <c r="D1862">
        <v>79.959075928000004</v>
      </c>
      <c r="E1862">
        <v>50</v>
      </c>
      <c r="F1862">
        <v>47.878963470000002</v>
      </c>
      <c r="G1862">
        <v>1378.192749</v>
      </c>
      <c r="H1862">
        <v>1365.1545410000001</v>
      </c>
      <c r="I1862">
        <v>1292.6040039</v>
      </c>
      <c r="J1862">
        <v>1274.9395752</v>
      </c>
      <c r="K1862">
        <v>2200</v>
      </c>
      <c r="L1862">
        <v>0</v>
      </c>
      <c r="M1862">
        <v>0</v>
      </c>
      <c r="N1862">
        <v>2200</v>
      </c>
    </row>
    <row r="1863" spans="1:14" x14ac:dyDescent="0.25">
      <c r="A1863">
        <v>1500.328401</v>
      </c>
      <c r="B1863" s="1">
        <f>DATE(2014,6,9) + TIME(7,52,53)</f>
        <v>41799.3283912037</v>
      </c>
      <c r="C1863">
        <v>80</v>
      </c>
      <c r="D1863">
        <v>79.959068298000005</v>
      </c>
      <c r="E1863">
        <v>50</v>
      </c>
      <c r="F1863">
        <v>47.838890075999998</v>
      </c>
      <c r="G1863">
        <v>1378.1441649999999</v>
      </c>
      <c r="H1863">
        <v>1365.1168213000001</v>
      </c>
      <c r="I1863">
        <v>1292.5882568</v>
      </c>
      <c r="J1863">
        <v>1274.9169922000001</v>
      </c>
      <c r="K1863">
        <v>2200</v>
      </c>
      <c r="L1863">
        <v>0</v>
      </c>
      <c r="M1863">
        <v>0</v>
      </c>
      <c r="N1863">
        <v>2200</v>
      </c>
    </row>
    <row r="1864" spans="1:14" x14ac:dyDescent="0.25">
      <c r="A1864">
        <v>1501.226095</v>
      </c>
      <c r="B1864" s="1">
        <f>DATE(2014,6,10) + TIME(5,25,34)</f>
        <v>41800.226087962961</v>
      </c>
      <c r="C1864">
        <v>80</v>
      </c>
      <c r="D1864">
        <v>79.959053040000001</v>
      </c>
      <c r="E1864">
        <v>50</v>
      </c>
      <c r="F1864">
        <v>47.798522949000002</v>
      </c>
      <c r="G1864">
        <v>1378.0959473</v>
      </c>
      <c r="H1864">
        <v>1365.0792236</v>
      </c>
      <c r="I1864">
        <v>1292.5721435999999</v>
      </c>
      <c r="J1864">
        <v>1274.8939209</v>
      </c>
      <c r="K1864">
        <v>2200</v>
      </c>
      <c r="L1864">
        <v>0</v>
      </c>
      <c r="M1864">
        <v>0</v>
      </c>
      <c r="N1864">
        <v>2200</v>
      </c>
    </row>
    <row r="1865" spans="1:14" x14ac:dyDescent="0.25">
      <c r="A1865">
        <v>1502.1385829999999</v>
      </c>
      <c r="B1865" s="1">
        <f>DATE(2014,6,11) + TIME(3,19,33)</f>
        <v>41801.13857638889</v>
      </c>
      <c r="C1865">
        <v>80</v>
      </c>
      <c r="D1865">
        <v>79.959045410000002</v>
      </c>
      <c r="E1865">
        <v>50</v>
      </c>
      <c r="F1865">
        <v>47.757770538000003</v>
      </c>
      <c r="G1865">
        <v>1378.0478516000001</v>
      </c>
      <c r="H1865">
        <v>1365.041626</v>
      </c>
      <c r="I1865">
        <v>1292.5556641000001</v>
      </c>
      <c r="J1865">
        <v>1274.8701172000001</v>
      </c>
      <c r="K1865">
        <v>2200</v>
      </c>
      <c r="L1865">
        <v>0</v>
      </c>
      <c r="M1865">
        <v>0</v>
      </c>
      <c r="N1865">
        <v>2200</v>
      </c>
    </row>
    <row r="1866" spans="1:14" x14ac:dyDescent="0.25">
      <c r="A1866">
        <v>1503.0688829999999</v>
      </c>
      <c r="B1866" s="1">
        <f>DATE(2014,6,12) + TIME(1,39,11)</f>
        <v>41802.068877314814</v>
      </c>
      <c r="C1866">
        <v>80</v>
      </c>
      <c r="D1866">
        <v>79.959037781000006</v>
      </c>
      <c r="E1866">
        <v>50</v>
      </c>
      <c r="F1866">
        <v>47.716526031000001</v>
      </c>
      <c r="G1866">
        <v>1377.9997559000001</v>
      </c>
      <c r="H1866">
        <v>1365.0041504000001</v>
      </c>
      <c r="I1866">
        <v>1292.5385742000001</v>
      </c>
      <c r="J1866">
        <v>1274.8455810999999</v>
      </c>
      <c r="K1866">
        <v>2200</v>
      </c>
      <c r="L1866">
        <v>0</v>
      </c>
      <c r="M1866">
        <v>0</v>
      </c>
      <c r="N1866">
        <v>2200</v>
      </c>
    </row>
    <row r="1867" spans="1:14" x14ac:dyDescent="0.25">
      <c r="A1867">
        <v>1504.0204209999999</v>
      </c>
      <c r="B1867" s="1">
        <f>DATE(2014,6,13) + TIME(0,29,24)</f>
        <v>41803.020416666666</v>
      </c>
      <c r="C1867">
        <v>80</v>
      </c>
      <c r="D1867">
        <v>79.959030150999993</v>
      </c>
      <c r="E1867">
        <v>50</v>
      </c>
      <c r="F1867">
        <v>47.674652100000003</v>
      </c>
      <c r="G1867">
        <v>1377.9515381000001</v>
      </c>
      <c r="H1867">
        <v>1364.9664307</v>
      </c>
      <c r="I1867">
        <v>1292.5209961</v>
      </c>
      <c r="J1867">
        <v>1274.8201904</v>
      </c>
      <c r="K1867">
        <v>2200</v>
      </c>
      <c r="L1867">
        <v>0</v>
      </c>
      <c r="M1867">
        <v>0</v>
      </c>
      <c r="N1867">
        <v>2200</v>
      </c>
    </row>
    <row r="1868" spans="1:14" x14ac:dyDescent="0.25">
      <c r="A1868">
        <v>1504.9970969999999</v>
      </c>
      <c r="B1868" s="1">
        <f>DATE(2014,6,13) + TIME(23,55,49)</f>
        <v>41803.997094907405</v>
      </c>
      <c r="C1868">
        <v>80</v>
      </c>
      <c r="D1868">
        <v>79.959022521999998</v>
      </c>
      <c r="E1868">
        <v>50</v>
      </c>
      <c r="F1868">
        <v>47.632007598999998</v>
      </c>
      <c r="G1868">
        <v>1377.9029541</v>
      </c>
      <c r="H1868">
        <v>1364.9284668</v>
      </c>
      <c r="I1868">
        <v>1292.5028076000001</v>
      </c>
      <c r="J1868">
        <v>1274.7937012</v>
      </c>
      <c r="K1868">
        <v>2200</v>
      </c>
      <c r="L1868">
        <v>0</v>
      </c>
      <c r="M1868">
        <v>0</v>
      </c>
      <c r="N1868">
        <v>2200</v>
      </c>
    </row>
    <row r="1869" spans="1:14" x14ac:dyDescent="0.25">
      <c r="A1869">
        <v>1505.9923650000001</v>
      </c>
      <c r="B1869" s="1">
        <f>DATE(2014,6,14) + TIME(23,49,0)</f>
        <v>41804.992361111108</v>
      </c>
      <c r="C1869">
        <v>80</v>
      </c>
      <c r="D1869">
        <v>79.959014893000003</v>
      </c>
      <c r="E1869">
        <v>50</v>
      </c>
      <c r="F1869">
        <v>47.588657378999997</v>
      </c>
      <c r="G1869">
        <v>1377.8538818</v>
      </c>
      <c r="H1869">
        <v>1364.8901367000001</v>
      </c>
      <c r="I1869">
        <v>1292.4838867000001</v>
      </c>
      <c r="J1869">
        <v>1274.7661132999999</v>
      </c>
      <c r="K1869">
        <v>2200</v>
      </c>
      <c r="L1869">
        <v>0</v>
      </c>
      <c r="M1869">
        <v>0</v>
      </c>
      <c r="N1869">
        <v>2200</v>
      </c>
    </row>
    <row r="1870" spans="1:14" x14ac:dyDescent="0.25">
      <c r="A1870">
        <v>1507.0038709999999</v>
      </c>
      <c r="B1870" s="1">
        <f>DATE(2014,6,16) + TIME(0,5,34)</f>
        <v>41806.003865740742</v>
      </c>
      <c r="C1870">
        <v>80</v>
      </c>
      <c r="D1870">
        <v>79.959007263000004</v>
      </c>
      <c r="E1870">
        <v>50</v>
      </c>
      <c r="F1870">
        <v>47.544692992999998</v>
      </c>
      <c r="G1870">
        <v>1377.8048096</v>
      </c>
      <c r="H1870">
        <v>1364.8515625</v>
      </c>
      <c r="I1870">
        <v>1292.4642334</v>
      </c>
      <c r="J1870">
        <v>1274.7375488</v>
      </c>
      <c r="K1870">
        <v>2200</v>
      </c>
      <c r="L1870">
        <v>0</v>
      </c>
      <c r="M1870">
        <v>0</v>
      </c>
      <c r="N1870">
        <v>2200</v>
      </c>
    </row>
    <row r="1871" spans="1:14" x14ac:dyDescent="0.25">
      <c r="A1871">
        <v>1508.0348670000001</v>
      </c>
      <c r="B1871" s="1">
        <f>DATE(2014,6,17) + TIME(0,50,12)</f>
        <v>41807.034861111111</v>
      </c>
      <c r="C1871">
        <v>80</v>
      </c>
      <c r="D1871">
        <v>79.959007263000004</v>
      </c>
      <c r="E1871">
        <v>50</v>
      </c>
      <c r="F1871">
        <v>47.500091552999997</v>
      </c>
      <c r="G1871">
        <v>1377.7556152</v>
      </c>
      <c r="H1871">
        <v>1364.8129882999999</v>
      </c>
      <c r="I1871">
        <v>1292.4440918</v>
      </c>
      <c r="J1871">
        <v>1274.7080077999999</v>
      </c>
      <c r="K1871">
        <v>2200</v>
      </c>
      <c r="L1871">
        <v>0</v>
      </c>
      <c r="M1871">
        <v>0</v>
      </c>
      <c r="N1871">
        <v>2200</v>
      </c>
    </row>
    <row r="1872" spans="1:14" x14ac:dyDescent="0.25">
      <c r="A1872">
        <v>1509.072199</v>
      </c>
      <c r="B1872" s="1">
        <f>DATE(2014,6,18) + TIME(1,43,58)</f>
        <v>41808.072199074071</v>
      </c>
      <c r="C1872">
        <v>80</v>
      </c>
      <c r="D1872">
        <v>79.958999633999994</v>
      </c>
      <c r="E1872">
        <v>50</v>
      </c>
      <c r="F1872">
        <v>47.455116271999998</v>
      </c>
      <c r="G1872">
        <v>1377.7062988</v>
      </c>
      <c r="H1872">
        <v>1364.7742920000001</v>
      </c>
      <c r="I1872">
        <v>1292.4230957</v>
      </c>
      <c r="J1872">
        <v>1274.6773682</v>
      </c>
      <c r="K1872">
        <v>2200</v>
      </c>
      <c r="L1872">
        <v>0</v>
      </c>
      <c r="M1872">
        <v>0</v>
      </c>
      <c r="N1872">
        <v>2200</v>
      </c>
    </row>
    <row r="1873" spans="1:14" x14ac:dyDescent="0.25">
      <c r="A1873">
        <v>1510.1171409999999</v>
      </c>
      <c r="B1873" s="1">
        <f>DATE(2014,6,19) + TIME(2,48,40)</f>
        <v>41809.117129629631</v>
      </c>
      <c r="C1873">
        <v>80</v>
      </c>
      <c r="D1873">
        <v>79.958992003999995</v>
      </c>
      <c r="E1873">
        <v>50</v>
      </c>
      <c r="F1873">
        <v>47.409889221</v>
      </c>
      <c r="G1873">
        <v>1377.6573486</v>
      </c>
      <c r="H1873">
        <v>1364.7358397999999</v>
      </c>
      <c r="I1873">
        <v>1292.4017334</v>
      </c>
      <c r="J1873">
        <v>1274.6459961</v>
      </c>
      <c r="K1873">
        <v>2200</v>
      </c>
      <c r="L1873">
        <v>0</v>
      </c>
      <c r="M1873">
        <v>0</v>
      </c>
      <c r="N1873">
        <v>2200</v>
      </c>
    </row>
    <row r="1874" spans="1:14" x14ac:dyDescent="0.25">
      <c r="A1874">
        <v>1511.173014</v>
      </c>
      <c r="B1874" s="1">
        <f>DATE(2014,6,20) + TIME(4,9,8)</f>
        <v>41810.173009259262</v>
      </c>
      <c r="C1874">
        <v>80</v>
      </c>
      <c r="D1874">
        <v>79.958992003999995</v>
      </c>
      <c r="E1874">
        <v>50</v>
      </c>
      <c r="F1874">
        <v>47.364398956000002</v>
      </c>
      <c r="G1874">
        <v>1377.6090088000001</v>
      </c>
      <c r="H1874">
        <v>1364.6976318</v>
      </c>
      <c r="I1874">
        <v>1292.3798827999999</v>
      </c>
      <c r="J1874">
        <v>1274.6137695</v>
      </c>
      <c r="K1874">
        <v>2200</v>
      </c>
      <c r="L1874">
        <v>0</v>
      </c>
      <c r="M1874">
        <v>0</v>
      </c>
      <c r="N1874">
        <v>2200</v>
      </c>
    </row>
    <row r="1875" spans="1:14" x14ac:dyDescent="0.25">
      <c r="A1875">
        <v>1512.243191</v>
      </c>
      <c r="B1875" s="1">
        <f>DATE(2014,6,21) + TIME(5,50,11)</f>
        <v>41811.24318287037</v>
      </c>
      <c r="C1875">
        <v>80</v>
      </c>
      <c r="D1875">
        <v>79.958984375</v>
      </c>
      <c r="E1875">
        <v>50</v>
      </c>
      <c r="F1875">
        <v>47.318565368999998</v>
      </c>
      <c r="G1875">
        <v>1377.5607910000001</v>
      </c>
      <c r="H1875">
        <v>1364.659668</v>
      </c>
      <c r="I1875">
        <v>1292.3575439000001</v>
      </c>
      <c r="J1875">
        <v>1274.5805664</v>
      </c>
      <c r="K1875">
        <v>2200</v>
      </c>
      <c r="L1875">
        <v>0</v>
      </c>
      <c r="M1875">
        <v>0</v>
      </c>
      <c r="N1875">
        <v>2200</v>
      </c>
    </row>
    <row r="1876" spans="1:14" x14ac:dyDescent="0.25">
      <c r="A1876">
        <v>1513.331187</v>
      </c>
      <c r="B1876" s="1">
        <f>DATE(2014,6,22) + TIME(7,56,54)</f>
        <v>41812.331180555557</v>
      </c>
      <c r="C1876">
        <v>80</v>
      </c>
      <c r="D1876">
        <v>79.958984375</v>
      </c>
      <c r="E1876">
        <v>50</v>
      </c>
      <c r="F1876">
        <v>47.272274017000001</v>
      </c>
      <c r="G1876">
        <v>1377.5125731999999</v>
      </c>
      <c r="H1876">
        <v>1364.6217041</v>
      </c>
      <c r="I1876">
        <v>1292.3344727000001</v>
      </c>
      <c r="J1876">
        <v>1274.5462646000001</v>
      </c>
      <c r="K1876">
        <v>2200</v>
      </c>
      <c r="L1876">
        <v>0</v>
      </c>
      <c r="M1876">
        <v>0</v>
      </c>
      <c r="N1876">
        <v>2200</v>
      </c>
    </row>
    <row r="1877" spans="1:14" x14ac:dyDescent="0.25">
      <c r="A1877">
        <v>1514.4407189999999</v>
      </c>
      <c r="B1877" s="1">
        <f>DATE(2014,6,23) + TIME(10,34,38)</f>
        <v>41813.440717592595</v>
      </c>
      <c r="C1877">
        <v>80</v>
      </c>
      <c r="D1877">
        <v>79.958976746000005</v>
      </c>
      <c r="E1877">
        <v>50</v>
      </c>
      <c r="F1877">
        <v>47.225391387999998</v>
      </c>
      <c r="G1877">
        <v>1377.4643555</v>
      </c>
      <c r="H1877">
        <v>1364.5834961</v>
      </c>
      <c r="I1877">
        <v>1292.3107910000001</v>
      </c>
      <c r="J1877">
        <v>1274.5108643000001</v>
      </c>
      <c r="K1877">
        <v>2200</v>
      </c>
      <c r="L1877">
        <v>0</v>
      </c>
      <c r="M1877">
        <v>0</v>
      </c>
      <c r="N1877">
        <v>2200</v>
      </c>
    </row>
    <row r="1878" spans="1:14" x14ac:dyDescent="0.25">
      <c r="A1878">
        <v>1515.5732620000001</v>
      </c>
      <c r="B1878" s="1">
        <f>DATE(2014,6,24) + TIME(13,45,29)</f>
        <v>41814.573252314818</v>
      </c>
      <c r="C1878">
        <v>80</v>
      </c>
      <c r="D1878">
        <v>79.958976746000005</v>
      </c>
      <c r="E1878">
        <v>50</v>
      </c>
      <c r="F1878">
        <v>47.177814484000002</v>
      </c>
      <c r="G1878">
        <v>1377.4160156</v>
      </c>
      <c r="H1878">
        <v>1364.5451660000001</v>
      </c>
      <c r="I1878">
        <v>1292.2861327999999</v>
      </c>
      <c r="J1878">
        <v>1274.473999</v>
      </c>
      <c r="K1878">
        <v>2200</v>
      </c>
      <c r="L1878">
        <v>0</v>
      </c>
      <c r="M1878">
        <v>0</v>
      </c>
      <c r="N1878">
        <v>2200</v>
      </c>
    </row>
    <row r="1879" spans="1:14" x14ac:dyDescent="0.25">
      <c r="A1879">
        <v>1516.723943</v>
      </c>
      <c r="B1879" s="1">
        <f>DATE(2014,6,25) + TIME(17,22,28)</f>
        <v>41815.723935185182</v>
      </c>
      <c r="C1879">
        <v>80</v>
      </c>
      <c r="D1879">
        <v>79.958976746000005</v>
      </c>
      <c r="E1879">
        <v>50</v>
      </c>
      <c r="F1879">
        <v>47.129585265999999</v>
      </c>
      <c r="G1879">
        <v>1377.3673096</v>
      </c>
      <c r="H1879">
        <v>1364.5065918</v>
      </c>
      <c r="I1879">
        <v>1292.2607422000001</v>
      </c>
      <c r="J1879">
        <v>1274.4356689000001</v>
      </c>
      <c r="K1879">
        <v>2200</v>
      </c>
      <c r="L1879">
        <v>0</v>
      </c>
      <c r="M1879">
        <v>0</v>
      </c>
      <c r="N1879">
        <v>2200</v>
      </c>
    </row>
    <row r="1880" spans="1:14" x14ac:dyDescent="0.25">
      <c r="A1880">
        <v>1517.896475</v>
      </c>
      <c r="B1880" s="1">
        <f>DATE(2014,6,26) + TIME(21,30,55)</f>
        <v>41816.896469907406</v>
      </c>
      <c r="C1880">
        <v>80</v>
      </c>
      <c r="D1880">
        <v>79.958976746000005</v>
      </c>
      <c r="E1880">
        <v>50</v>
      </c>
      <c r="F1880">
        <v>47.080684662000003</v>
      </c>
      <c r="G1880">
        <v>1377.3184814000001</v>
      </c>
      <c r="H1880">
        <v>1364.4678954999999</v>
      </c>
      <c r="I1880">
        <v>1292.234375</v>
      </c>
      <c r="J1880">
        <v>1274.3961182</v>
      </c>
      <c r="K1880">
        <v>2200</v>
      </c>
      <c r="L1880">
        <v>0</v>
      </c>
      <c r="M1880">
        <v>0</v>
      </c>
      <c r="N1880">
        <v>2200</v>
      </c>
    </row>
    <row r="1881" spans="1:14" x14ac:dyDescent="0.25">
      <c r="A1881">
        <v>1519.094746</v>
      </c>
      <c r="B1881" s="1">
        <f>DATE(2014,6,28) + TIME(2,16,26)</f>
        <v>41818.09474537037</v>
      </c>
      <c r="C1881">
        <v>80</v>
      </c>
      <c r="D1881">
        <v>79.958976746000005</v>
      </c>
      <c r="E1881">
        <v>50</v>
      </c>
      <c r="F1881">
        <v>47.031013489000003</v>
      </c>
      <c r="G1881">
        <v>1377.2695312000001</v>
      </c>
      <c r="H1881">
        <v>1364.4289550999999</v>
      </c>
      <c r="I1881">
        <v>1292.2071533000001</v>
      </c>
      <c r="J1881">
        <v>1274.3548584</v>
      </c>
      <c r="K1881">
        <v>2200</v>
      </c>
      <c r="L1881">
        <v>0</v>
      </c>
      <c r="M1881">
        <v>0</v>
      </c>
      <c r="N1881">
        <v>2200</v>
      </c>
    </row>
    <row r="1882" spans="1:14" x14ac:dyDescent="0.25">
      <c r="A1882">
        <v>1520.3169519999999</v>
      </c>
      <c r="B1882" s="1">
        <f>DATE(2014,6,29) + TIME(7,36,24)</f>
        <v>41819.316944444443</v>
      </c>
      <c r="C1882">
        <v>80</v>
      </c>
      <c r="D1882">
        <v>79.958976746000005</v>
      </c>
      <c r="E1882">
        <v>50</v>
      </c>
      <c r="F1882">
        <v>46.980548859000002</v>
      </c>
      <c r="G1882">
        <v>1377.2203368999999</v>
      </c>
      <c r="H1882">
        <v>1364.3897704999999</v>
      </c>
      <c r="I1882">
        <v>1292.1789550999999</v>
      </c>
      <c r="J1882">
        <v>1274.3120117000001</v>
      </c>
      <c r="K1882">
        <v>2200</v>
      </c>
      <c r="L1882">
        <v>0</v>
      </c>
      <c r="M1882">
        <v>0</v>
      </c>
      <c r="N1882">
        <v>2200</v>
      </c>
    </row>
    <row r="1883" spans="1:14" x14ac:dyDescent="0.25">
      <c r="A1883">
        <v>1521.54603</v>
      </c>
      <c r="B1883" s="1">
        <f>DATE(2014,6,30) + TIME(13,6,16)</f>
        <v>41820.546018518522</v>
      </c>
      <c r="C1883">
        <v>80</v>
      </c>
      <c r="D1883">
        <v>79.958976746000005</v>
      </c>
      <c r="E1883">
        <v>50</v>
      </c>
      <c r="F1883">
        <v>46.929599762000002</v>
      </c>
      <c r="G1883">
        <v>1377.1707764</v>
      </c>
      <c r="H1883">
        <v>1364.3502197</v>
      </c>
      <c r="I1883">
        <v>1292.1497803</v>
      </c>
      <c r="J1883">
        <v>1274.2675781</v>
      </c>
      <c r="K1883">
        <v>2200</v>
      </c>
      <c r="L1883">
        <v>0</v>
      </c>
      <c r="M1883">
        <v>0</v>
      </c>
      <c r="N1883">
        <v>2200</v>
      </c>
    </row>
    <row r="1884" spans="1:14" x14ac:dyDescent="0.25">
      <c r="A1884">
        <v>1522</v>
      </c>
      <c r="B1884" s="1">
        <f>DATE(2014,7,1) + TIME(0,0,0)</f>
        <v>41821</v>
      </c>
      <c r="C1884">
        <v>80</v>
      </c>
      <c r="D1884">
        <v>79.958961486999996</v>
      </c>
      <c r="E1884">
        <v>50</v>
      </c>
      <c r="F1884">
        <v>46.900295258</v>
      </c>
      <c r="G1884">
        <v>1377.1217041</v>
      </c>
      <c r="H1884">
        <v>1364.3111572</v>
      </c>
      <c r="I1884">
        <v>1292.119751</v>
      </c>
      <c r="J1884">
        <v>1274.2275391000001</v>
      </c>
      <c r="K1884">
        <v>2200</v>
      </c>
      <c r="L1884">
        <v>0</v>
      </c>
      <c r="M1884">
        <v>0</v>
      </c>
      <c r="N1884">
        <v>2200</v>
      </c>
    </row>
    <row r="1885" spans="1:14" x14ac:dyDescent="0.25">
      <c r="A1885">
        <v>1523.2400029999999</v>
      </c>
      <c r="B1885" s="1">
        <f>DATE(2014,7,2) + TIME(5,45,36)</f>
        <v>41822.239999999998</v>
      </c>
      <c r="C1885">
        <v>80</v>
      </c>
      <c r="D1885">
        <v>79.958969116000006</v>
      </c>
      <c r="E1885">
        <v>50</v>
      </c>
      <c r="F1885">
        <v>46.854953766000001</v>
      </c>
      <c r="G1885">
        <v>1377.1035156</v>
      </c>
      <c r="H1885">
        <v>1364.2965088000001</v>
      </c>
      <c r="I1885">
        <v>1292.1082764</v>
      </c>
      <c r="J1885">
        <v>1274.2028809000001</v>
      </c>
      <c r="K1885">
        <v>2200</v>
      </c>
      <c r="L1885">
        <v>0</v>
      </c>
      <c r="M1885">
        <v>0</v>
      </c>
      <c r="N1885">
        <v>2200</v>
      </c>
    </row>
    <row r="1886" spans="1:14" x14ac:dyDescent="0.25">
      <c r="A1886">
        <v>1524.499814</v>
      </c>
      <c r="B1886" s="1">
        <f>DATE(2014,7,3) + TIME(11,59,43)</f>
        <v>41823.499803240738</v>
      </c>
      <c r="C1886">
        <v>80</v>
      </c>
      <c r="D1886">
        <v>79.958976746000005</v>
      </c>
      <c r="E1886">
        <v>50</v>
      </c>
      <c r="F1886">
        <v>46.805881499999998</v>
      </c>
      <c r="G1886">
        <v>1377.0550536999999</v>
      </c>
      <c r="H1886">
        <v>1364.2578125</v>
      </c>
      <c r="I1886">
        <v>1292.0778809000001</v>
      </c>
      <c r="J1886">
        <v>1274.1567382999999</v>
      </c>
      <c r="K1886">
        <v>2200</v>
      </c>
      <c r="L1886">
        <v>0</v>
      </c>
      <c r="M1886">
        <v>0</v>
      </c>
      <c r="N1886">
        <v>2200</v>
      </c>
    </row>
    <row r="1887" spans="1:14" x14ac:dyDescent="0.25">
      <c r="A1887">
        <v>1525.770217</v>
      </c>
      <c r="B1887" s="1">
        <f>DATE(2014,7,4) + TIME(18,29,6)</f>
        <v>41824.770208333335</v>
      </c>
      <c r="C1887">
        <v>80</v>
      </c>
      <c r="D1887">
        <v>79.958976746000005</v>
      </c>
      <c r="E1887">
        <v>50</v>
      </c>
      <c r="F1887">
        <v>46.755008697999997</v>
      </c>
      <c r="G1887">
        <v>1377.0063477000001</v>
      </c>
      <c r="H1887">
        <v>1364.21875</v>
      </c>
      <c r="I1887">
        <v>1292.0462646000001</v>
      </c>
      <c r="J1887">
        <v>1274.1082764</v>
      </c>
      <c r="K1887">
        <v>2200</v>
      </c>
      <c r="L1887">
        <v>0</v>
      </c>
      <c r="M1887">
        <v>0</v>
      </c>
      <c r="N1887">
        <v>2200</v>
      </c>
    </row>
    <row r="1888" spans="1:14" x14ac:dyDescent="0.25">
      <c r="A1888">
        <v>1527.05502</v>
      </c>
      <c r="B1888" s="1">
        <f>DATE(2014,7,6) + TIME(1,19,13)</f>
        <v>41826.055011574077</v>
      </c>
      <c r="C1888">
        <v>80</v>
      </c>
      <c r="D1888">
        <v>79.958984375</v>
      </c>
      <c r="E1888">
        <v>50</v>
      </c>
      <c r="F1888">
        <v>46.703182220000002</v>
      </c>
      <c r="G1888">
        <v>1376.9580077999999</v>
      </c>
      <c r="H1888">
        <v>1364.1799315999999</v>
      </c>
      <c r="I1888">
        <v>1292.0137939000001</v>
      </c>
      <c r="J1888">
        <v>1274.0583495999999</v>
      </c>
      <c r="K1888">
        <v>2200</v>
      </c>
      <c r="L1888">
        <v>0</v>
      </c>
      <c r="M1888">
        <v>0</v>
      </c>
      <c r="N1888">
        <v>2200</v>
      </c>
    </row>
    <row r="1889" spans="1:14" x14ac:dyDescent="0.25">
      <c r="A1889">
        <v>1528.358084</v>
      </c>
      <c r="B1889" s="1">
        <f>DATE(2014,7,7) + TIME(8,35,38)</f>
        <v>41827.358078703706</v>
      </c>
      <c r="C1889">
        <v>80</v>
      </c>
      <c r="D1889">
        <v>79.958984375</v>
      </c>
      <c r="E1889">
        <v>50</v>
      </c>
      <c r="F1889">
        <v>46.650695800999998</v>
      </c>
      <c r="G1889">
        <v>1376.909668</v>
      </c>
      <c r="H1889">
        <v>1364.1411132999999</v>
      </c>
      <c r="I1889">
        <v>1291.9805908000001</v>
      </c>
      <c r="J1889">
        <v>1274.0067139</v>
      </c>
      <c r="K1889">
        <v>2200</v>
      </c>
      <c r="L1889">
        <v>0</v>
      </c>
      <c r="M1889">
        <v>0</v>
      </c>
      <c r="N1889">
        <v>2200</v>
      </c>
    </row>
    <row r="1890" spans="1:14" x14ac:dyDescent="0.25">
      <c r="A1890">
        <v>1529.683477</v>
      </c>
      <c r="B1890" s="1">
        <f>DATE(2014,7,8) + TIME(16,24,12)</f>
        <v>41828.683472222219</v>
      </c>
      <c r="C1890">
        <v>80</v>
      </c>
      <c r="D1890">
        <v>79.958984375</v>
      </c>
      <c r="E1890">
        <v>50</v>
      </c>
      <c r="F1890">
        <v>46.597591399999999</v>
      </c>
      <c r="G1890">
        <v>1376.8613281</v>
      </c>
      <c r="H1890">
        <v>1364.1021728999999</v>
      </c>
      <c r="I1890">
        <v>1291.9464111</v>
      </c>
      <c r="J1890">
        <v>1273.9533690999999</v>
      </c>
      <c r="K1890">
        <v>2200</v>
      </c>
      <c r="L1890">
        <v>0</v>
      </c>
      <c r="M1890">
        <v>0</v>
      </c>
      <c r="N1890">
        <v>2200</v>
      </c>
    </row>
    <row r="1891" spans="1:14" x14ac:dyDescent="0.25">
      <c r="A1891">
        <v>1531.035509</v>
      </c>
      <c r="B1891" s="1">
        <f>DATE(2014,7,10) + TIME(0,51,7)</f>
        <v>41830.035497685189</v>
      </c>
      <c r="C1891">
        <v>80</v>
      </c>
      <c r="D1891">
        <v>79.958992003999995</v>
      </c>
      <c r="E1891">
        <v>50</v>
      </c>
      <c r="F1891">
        <v>46.543792725000003</v>
      </c>
      <c r="G1891">
        <v>1376.8128661999999</v>
      </c>
      <c r="H1891">
        <v>1364.0631103999999</v>
      </c>
      <c r="I1891">
        <v>1291.9111327999999</v>
      </c>
      <c r="J1891">
        <v>1273.8981934000001</v>
      </c>
      <c r="K1891">
        <v>2200</v>
      </c>
      <c r="L1891">
        <v>0</v>
      </c>
      <c r="M1891">
        <v>0</v>
      </c>
      <c r="N1891">
        <v>2200</v>
      </c>
    </row>
    <row r="1892" spans="1:14" x14ac:dyDescent="0.25">
      <c r="A1892">
        <v>1532.4188690000001</v>
      </c>
      <c r="B1892" s="1">
        <f>DATE(2014,7,11) + TIME(10,3,10)</f>
        <v>41831.418865740743</v>
      </c>
      <c r="C1892">
        <v>80</v>
      </c>
      <c r="D1892">
        <v>79.958999633999994</v>
      </c>
      <c r="E1892">
        <v>50</v>
      </c>
      <c r="F1892">
        <v>46.489196776999997</v>
      </c>
      <c r="G1892">
        <v>1376.7640381000001</v>
      </c>
      <c r="H1892">
        <v>1364.0236815999999</v>
      </c>
      <c r="I1892">
        <v>1291.8746338000001</v>
      </c>
      <c r="J1892">
        <v>1273.8408202999999</v>
      </c>
      <c r="K1892">
        <v>2200</v>
      </c>
      <c r="L1892">
        <v>0</v>
      </c>
      <c r="M1892">
        <v>0</v>
      </c>
      <c r="N1892">
        <v>2200</v>
      </c>
    </row>
    <row r="1893" spans="1:14" x14ac:dyDescent="0.25">
      <c r="A1893">
        <v>1533.8392269999999</v>
      </c>
      <c r="B1893" s="1">
        <f>DATE(2014,7,12) + TIME(20,8,29)</f>
        <v>41832.839224537034</v>
      </c>
      <c r="C1893">
        <v>80</v>
      </c>
      <c r="D1893">
        <v>79.959007263000004</v>
      </c>
      <c r="E1893">
        <v>50</v>
      </c>
      <c r="F1893">
        <v>46.433643341</v>
      </c>
      <c r="G1893">
        <v>1376.7147216999999</v>
      </c>
      <c r="H1893">
        <v>1363.9838867000001</v>
      </c>
      <c r="I1893">
        <v>1291.8369141000001</v>
      </c>
      <c r="J1893">
        <v>1273.78125</v>
      </c>
      <c r="K1893">
        <v>2200</v>
      </c>
      <c r="L1893">
        <v>0</v>
      </c>
      <c r="M1893">
        <v>0</v>
      </c>
      <c r="N1893">
        <v>2200</v>
      </c>
    </row>
    <row r="1894" spans="1:14" x14ac:dyDescent="0.25">
      <c r="A1894">
        <v>1535.27136</v>
      </c>
      <c r="B1894" s="1">
        <f>DATE(2014,7,14) + TIME(6,30,45)</f>
        <v>41834.271354166667</v>
      </c>
      <c r="C1894">
        <v>80</v>
      </c>
      <c r="D1894">
        <v>79.959007263000004</v>
      </c>
      <c r="E1894">
        <v>50</v>
      </c>
      <c r="F1894">
        <v>46.377449036000002</v>
      </c>
      <c r="G1894">
        <v>1376.6647949000001</v>
      </c>
      <c r="H1894">
        <v>1363.9433594</v>
      </c>
      <c r="I1894">
        <v>1291.7976074000001</v>
      </c>
      <c r="J1894">
        <v>1273.7192382999999</v>
      </c>
      <c r="K1894">
        <v>2200</v>
      </c>
      <c r="L1894">
        <v>0</v>
      </c>
      <c r="M1894">
        <v>0</v>
      </c>
      <c r="N1894">
        <v>2200</v>
      </c>
    </row>
    <row r="1895" spans="1:14" x14ac:dyDescent="0.25">
      <c r="A1895">
        <v>1536.7078409999999</v>
      </c>
      <c r="B1895" s="1">
        <f>DATE(2014,7,15) + TIME(16,59,17)</f>
        <v>41835.707835648151</v>
      </c>
      <c r="C1895">
        <v>80</v>
      </c>
      <c r="D1895">
        <v>79.959014893000003</v>
      </c>
      <c r="E1895">
        <v>50</v>
      </c>
      <c r="F1895">
        <v>46.321075438999998</v>
      </c>
      <c r="G1895">
        <v>1376.6151123</v>
      </c>
      <c r="H1895">
        <v>1363.9030762</v>
      </c>
      <c r="I1895">
        <v>1291.7575684000001</v>
      </c>
      <c r="J1895">
        <v>1273.6556396000001</v>
      </c>
      <c r="K1895">
        <v>2200</v>
      </c>
      <c r="L1895">
        <v>0</v>
      </c>
      <c r="M1895">
        <v>0</v>
      </c>
      <c r="N1895">
        <v>2200</v>
      </c>
    </row>
    <row r="1896" spans="1:14" x14ac:dyDescent="0.25">
      <c r="A1896">
        <v>1538.152975</v>
      </c>
      <c r="B1896" s="1">
        <f>DATE(2014,7,17) + TIME(3,40,17)</f>
        <v>41837.152974537035</v>
      </c>
      <c r="C1896">
        <v>80</v>
      </c>
      <c r="D1896">
        <v>79.959022521999998</v>
      </c>
      <c r="E1896">
        <v>50</v>
      </c>
      <c r="F1896">
        <v>46.264717101999999</v>
      </c>
      <c r="G1896">
        <v>1376.565918</v>
      </c>
      <c r="H1896">
        <v>1363.8630370999999</v>
      </c>
      <c r="I1896">
        <v>1291.7167969</v>
      </c>
      <c r="J1896">
        <v>1273.5906981999999</v>
      </c>
      <c r="K1896">
        <v>2200</v>
      </c>
      <c r="L1896">
        <v>0</v>
      </c>
      <c r="M1896">
        <v>0</v>
      </c>
      <c r="N1896">
        <v>2200</v>
      </c>
    </row>
    <row r="1897" spans="1:14" x14ac:dyDescent="0.25">
      <c r="A1897">
        <v>1539.6110739999999</v>
      </c>
      <c r="B1897" s="1">
        <f>DATE(2014,7,18) + TIME(14,39,56)</f>
        <v>41838.611064814817</v>
      </c>
      <c r="C1897">
        <v>80</v>
      </c>
      <c r="D1897">
        <v>79.959030150999993</v>
      </c>
      <c r="E1897">
        <v>50</v>
      </c>
      <c r="F1897">
        <v>46.208377837999997</v>
      </c>
      <c r="G1897">
        <v>1376.5170897999999</v>
      </c>
      <c r="H1897">
        <v>1363.8233643000001</v>
      </c>
      <c r="I1897">
        <v>1291.675293</v>
      </c>
      <c r="J1897">
        <v>1273.5242920000001</v>
      </c>
      <c r="K1897">
        <v>2200</v>
      </c>
      <c r="L1897">
        <v>0</v>
      </c>
      <c r="M1897">
        <v>0</v>
      </c>
      <c r="N1897">
        <v>2200</v>
      </c>
    </row>
    <row r="1898" spans="1:14" x14ac:dyDescent="0.25">
      <c r="A1898">
        <v>1541.086528</v>
      </c>
      <c r="B1898" s="1">
        <f>DATE(2014,7,20) + TIME(2,4,36)</f>
        <v>41840.086527777778</v>
      </c>
      <c r="C1898">
        <v>80</v>
      </c>
      <c r="D1898">
        <v>79.959037781000006</v>
      </c>
      <c r="E1898">
        <v>50</v>
      </c>
      <c r="F1898">
        <v>46.151977539000001</v>
      </c>
      <c r="G1898">
        <v>1376.4683838000001</v>
      </c>
      <c r="H1898">
        <v>1363.7835693</v>
      </c>
      <c r="I1898">
        <v>1291.6330565999999</v>
      </c>
      <c r="J1898">
        <v>1273.4562988</v>
      </c>
      <c r="K1898">
        <v>2200</v>
      </c>
      <c r="L1898">
        <v>0</v>
      </c>
      <c r="M1898">
        <v>0</v>
      </c>
      <c r="N1898">
        <v>2200</v>
      </c>
    </row>
    <row r="1899" spans="1:14" x14ac:dyDescent="0.25">
      <c r="A1899">
        <v>1542.583905</v>
      </c>
      <c r="B1899" s="1">
        <f>DATE(2014,7,21) + TIME(14,0,49)</f>
        <v>41841.58390046296</v>
      </c>
      <c r="C1899">
        <v>80</v>
      </c>
      <c r="D1899">
        <v>79.959045410000002</v>
      </c>
      <c r="E1899">
        <v>50</v>
      </c>
      <c r="F1899">
        <v>46.095409392999997</v>
      </c>
      <c r="G1899">
        <v>1376.4196777</v>
      </c>
      <c r="H1899">
        <v>1363.7438964999999</v>
      </c>
      <c r="I1899">
        <v>1291.5898437999999</v>
      </c>
      <c r="J1899">
        <v>1273.3865966999999</v>
      </c>
      <c r="K1899">
        <v>2200</v>
      </c>
      <c r="L1899">
        <v>0</v>
      </c>
      <c r="M1899">
        <v>0</v>
      </c>
      <c r="N1899">
        <v>2200</v>
      </c>
    </row>
    <row r="1900" spans="1:14" x14ac:dyDescent="0.25">
      <c r="A1900">
        <v>1544.1080449999999</v>
      </c>
      <c r="B1900" s="1">
        <f>DATE(2014,7,23) + TIME(2,35,35)</f>
        <v>41843.108043981483</v>
      </c>
      <c r="C1900">
        <v>80</v>
      </c>
      <c r="D1900">
        <v>79.959060668999996</v>
      </c>
      <c r="E1900">
        <v>50</v>
      </c>
      <c r="F1900">
        <v>46.038562775000003</v>
      </c>
      <c r="G1900">
        <v>1376.3709716999999</v>
      </c>
      <c r="H1900">
        <v>1363.7039795000001</v>
      </c>
      <c r="I1900">
        <v>1291.5455322</v>
      </c>
      <c r="J1900">
        <v>1273.3149414</v>
      </c>
      <c r="K1900">
        <v>2200</v>
      </c>
      <c r="L1900">
        <v>0</v>
      </c>
      <c r="M1900">
        <v>0</v>
      </c>
      <c r="N1900">
        <v>2200</v>
      </c>
    </row>
    <row r="1901" spans="1:14" x14ac:dyDescent="0.25">
      <c r="A1901">
        <v>1545.6641199999999</v>
      </c>
      <c r="B1901" s="1">
        <f>DATE(2014,7,24) + TIME(15,56,19)</f>
        <v>41844.6641087963</v>
      </c>
      <c r="C1901">
        <v>80</v>
      </c>
      <c r="D1901">
        <v>79.959068298000005</v>
      </c>
      <c r="E1901">
        <v>50</v>
      </c>
      <c r="F1901">
        <v>45.981319427000003</v>
      </c>
      <c r="G1901">
        <v>1376.3218993999999</v>
      </c>
      <c r="H1901">
        <v>1363.6638184000001</v>
      </c>
      <c r="I1901">
        <v>1291.5</v>
      </c>
      <c r="J1901">
        <v>1273.2409668</v>
      </c>
      <c r="K1901">
        <v>2200</v>
      </c>
      <c r="L1901">
        <v>0</v>
      </c>
      <c r="M1901">
        <v>0</v>
      </c>
      <c r="N1901">
        <v>2200</v>
      </c>
    </row>
    <row r="1902" spans="1:14" x14ac:dyDescent="0.25">
      <c r="A1902">
        <v>1547.25773</v>
      </c>
      <c r="B1902" s="1">
        <f>DATE(2014,7,26) + TIME(6,11,7)</f>
        <v>41846.257719907408</v>
      </c>
      <c r="C1902">
        <v>80</v>
      </c>
      <c r="D1902">
        <v>79.959083557</v>
      </c>
      <c r="E1902">
        <v>50</v>
      </c>
      <c r="F1902">
        <v>45.923568725999999</v>
      </c>
      <c r="G1902">
        <v>1376.2724608999999</v>
      </c>
      <c r="H1902">
        <v>1363.6231689000001</v>
      </c>
      <c r="I1902">
        <v>1291.4532471</v>
      </c>
      <c r="J1902">
        <v>1273.1646728999999</v>
      </c>
      <c r="K1902">
        <v>2200</v>
      </c>
      <c r="L1902">
        <v>0</v>
      </c>
      <c r="M1902">
        <v>0</v>
      </c>
      <c r="N1902">
        <v>2200</v>
      </c>
    </row>
    <row r="1903" spans="1:14" x14ac:dyDescent="0.25">
      <c r="A1903">
        <v>1548.887242</v>
      </c>
      <c r="B1903" s="1">
        <f>DATE(2014,7,27) + TIME(21,17,37)</f>
        <v>41847.887233796297</v>
      </c>
      <c r="C1903">
        <v>80</v>
      </c>
      <c r="D1903">
        <v>79.959091186999999</v>
      </c>
      <c r="E1903">
        <v>50</v>
      </c>
      <c r="F1903">
        <v>45.865295410000002</v>
      </c>
      <c r="G1903">
        <v>1376.2224120999999</v>
      </c>
      <c r="H1903">
        <v>1363.5820312000001</v>
      </c>
      <c r="I1903">
        <v>1291.4049072</v>
      </c>
      <c r="J1903">
        <v>1273.0856934000001</v>
      </c>
      <c r="K1903">
        <v>2200</v>
      </c>
      <c r="L1903">
        <v>0</v>
      </c>
      <c r="M1903">
        <v>0</v>
      </c>
      <c r="N1903">
        <v>2200</v>
      </c>
    </row>
    <row r="1904" spans="1:14" x14ac:dyDescent="0.25">
      <c r="A1904">
        <v>1550.5279169999999</v>
      </c>
      <c r="B1904" s="1">
        <f>DATE(2014,7,29) + TIME(12,40,11)</f>
        <v>41849.527905092589</v>
      </c>
      <c r="C1904">
        <v>80</v>
      </c>
      <c r="D1904">
        <v>79.959106445000003</v>
      </c>
      <c r="E1904">
        <v>50</v>
      </c>
      <c r="F1904">
        <v>45.806900024000001</v>
      </c>
      <c r="G1904">
        <v>1376.171875</v>
      </c>
      <c r="H1904">
        <v>1363.5404053</v>
      </c>
      <c r="I1904">
        <v>1291.3552245999999</v>
      </c>
      <c r="J1904">
        <v>1273.0041504000001</v>
      </c>
      <c r="K1904">
        <v>2200</v>
      </c>
      <c r="L1904">
        <v>0</v>
      </c>
      <c r="M1904">
        <v>0</v>
      </c>
      <c r="N1904">
        <v>2200</v>
      </c>
    </row>
    <row r="1905" spans="1:14" x14ac:dyDescent="0.25">
      <c r="A1905">
        <v>1552.1757239999999</v>
      </c>
      <c r="B1905" s="1">
        <f>DATE(2014,7,31) + TIME(4,13,2)</f>
        <v>41851.175717592596</v>
      </c>
      <c r="C1905">
        <v>80</v>
      </c>
      <c r="D1905">
        <v>79.959114075000002</v>
      </c>
      <c r="E1905">
        <v>50</v>
      </c>
      <c r="F1905">
        <v>45.748878478999998</v>
      </c>
      <c r="G1905">
        <v>1376.121582</v>
      </c>
      <c r="H1905">
        <v>1363.4987793</v>
      </c>
      <c r="I1905">
        <v>1291.3049315999999</v>
      </c>
      <c r="J1905">
        <v>1272.9211425999999</v>
      </c>
      <c r="K1905">
        <v>2200</v>
      </c>
      <c r="L1905">
        <v>0</v>
      </c>
      <c r="M1905">
        <v>0</v>
      </c>
      <c r="N1905">
        <v>2200</v>
      </c>
    </row>
    <row r="1906" spans="1:14" x14ac:dyDescent="0.25">
      <c r="A1906">
        <v>1553</v>
      </c>
      <c r="B1906" s="1">
        <f>DATE(2014,8,1) + TIME(0,0,0)</f>
        <v>41852</v>
      </c>
      <c r="C1906">
        <v>80</v>
      </c>
      <c r="D1906">
        <v>79.959114075000002</v>
      </c>
      <c r="E1906">
        <v>50</v>
      </c>
      <c r="F1906">
        <v>45.706855773999997</v>
      </c>
      <c r="G1906">
        <v>1376.0716553</v>
      </c>
      <c r="H1906">
        <v>1363.4575195</v>
      </c>
      <c r="I1906">
        <v>1291.2558594</v>
      </c>
      <c r="J1906">
        <v>1272.8444824000001</v>
      </c>
      <c r="K1906">
        <v>2200</v>
      </c>
      <c r="L1906">
        <v>0</v>
      </c>
      <c r="M1906">
        <v>0</v>
      </c>
      <c r="N1906">
        <v>2200</v>
      </c>
    </row>
    <row r="1907" spans="1:14" x14ac:dyDescent="0.25">
      <c r="A1907">
        <v>1554.6599859999999</v>
      </c>
      <c r="B1907" s="1">
        <f>DATE(2014,8,2) + TIME(15,50,22)</f>
        <v>41853.65997685185</v>
      </c>
      <c r="C1907">
        <v>80</v>
      </c>
      <c r="D1907">
        <v>79.959136963000006</v>
      </c>
      <c r="E1907">
        <v>50</v>
      </c>
      <c r="F1907">
        <v>45.658416748</v>
      </c>
      <c r="G1907">
        <v>1376.046875</v>
      </c>
      <c r="H1907">
        <v>1363.4368896000001</v>
      </c>
      <c r="I1907">
        <v>1291.2268065999999</v>
      </c>
      <c r="J1907">
        <v>1272.7902832</v>
      </c>
      <c r="K1907">
        <v>2200</v>
      </c>
      <c r="L1907">
        <v>0</v>
      </c>
      <c r="M1907">
        <v>0</v>
      </c>
      <c r="N1907">
        <v>2200</v>
      </c>
    </row>
    <row r="1908" spans="1:14" x14ac:dyDescent="0.25">
      <c r="A1908">
        <v>1556.3483209999999</v>
      </c>
      <c r="B1908" s="1">
        <f>DATE(2014,8,4) + TIME(8,21,34)</f>
        <v>41855.348310185182</v>
      </c>
      <c r="C1908">
        <v>80</v>
      </c>
      <c r="D1908">
        <v>79.959152222</v>
      </c>
      <c r="E1908">
        <v>50</v>
      </c>
      <c r="F1908">
        <v>45.605110168000003</v>
      </c>
      <c r="G1908">
        <v>1375.9975586</v>
      </c>
      <c r="H1908">
        <v>1363.3961182</v>
      </c>
      <c r="I1908">
        <v>1291.1761475000001</v>
      </c>
      <c r="J1908">
        <v>1272.7069091999999</v>
      </c>
      <c r="K1908">
        <v>2200</v>
      </c>
      <c r="L1908">
        <v>0</v>
      </c>
      <c r="M1908">
        <v>0</v>
      </c>
      <c r="N1908">
        <v>2200</v>
      </c>
    </row>
    <row r="1909" spans="1:14" x14ac:dyDescent="0.25">
      <c r="A1909">
        <v>1558.0617159999999</v>
      </c>
      <c r="B1909" s="1">
        <f>DATE(2014,8,6) + TIME(1,28,52)</f>
        <v>41857.061712962961</v>
      </c>
      <c r="C1909">
        <v>80</v>
      </c>
      <c r="D1909">
        <v>79.959167480000005</v>
      </c>
      <c r="E1909">
        <v>50</v>
      </c>
      <c r="F1909">
        <v>45.550300598</v>
      </c>
      <c r="G1909">
        <v>1375.947876</v>
      </c>
      <c r="H1909">
        <v>1363.3547363</v>
      </c>
      <c r="I1909">
        <v>1291.1239014</v>
      </c>
      <c r="J1909">
        <v>1272.6198730000001</v>
      </c>
      <c r="K1909">
        <v>2200</v>
      </c>
      <c r="L1909">
        <v>0</v>
      </c>
      <c r="M1909">
        <v>0</v>
      </c>
      <c r="N1909">
        <v>2200</v>
      </c>
    </row>
    <row r="1910" spans="1:14" x14ac:dyDescent="0.25">
      <c r="A1910">
        <v>1559.805963</v>
      </c>
      <c r="B1910" s="1">
        <f>DATE(2014,8,7) + TIME(19,20,35)</f>
        <v>41858.805960648147</v>
      </c>
      <c r="C1910">
        <v>80</v>
      </c>
      <c r="D1910">
        <v>79.959182738999999</v>
      </c>
      <c r="E1910">
        <v>50</v>
      </c>
      <c r="F1910">
        <v>45.495292663999997</v>
      </c>
      <c r="G1910">
        <v>1375.8980713000001</v>
      </c>
      <c r="H1910">
        <v>1363.3132324000001</v>
      </c>
      <c r="I1910">
        <v>1291.0705565999999</v>
      </c>
      <c r="J1910">
        <v>1272.5303954999999</v>
      </c>
      <c r="K1910">
        <v>2200</v>
      </c>
      <c r="L1910">
        <v>0</v>
      </c>
      <c r="M1910">
        <v>0</v>
      </c>
      <c r="N1910">
        <v>2200</v>
      </c>
    </row>
    <row r="1911" spans="1:14" x14ac:dyDescent="0.25">
      <c r="A1911">
        <v>1561.585388</v>
      </c>
      <c r="B1911" s="1">
        <f>DATE(2014,8,9) + TIME(14,2,57)</f>
        <v>41860.585381944446</v>
      </c>
      <c r="C1911">
        <v>80</v>
      </c>
      <c r="D1911">
        <v>79.959197997999993</v>
      </c>
      <c r="E1911">
        <v>50</v>
      </c>
      <c r="F1911">
        <v>45.440559387</v>
      </c>
      <c r="G1911">
        <v>1375.8479004000001</v>
      </c>
      <c r="H1911">
        <v>1363.2713623</v>
      </c>
      <c r="I1911">
        <v>1291.0162353999999</v>
      </c>
      <c r="J1911">
        <v>1272.4387207</v>
      </c>
      <c r="K1911">
        <v>2200</v>
      </c>
      <c r="L1911">
        <v>0</v>
      </c>
      <c r="M1911">
        <v>0</v>
      </c>
      <c r="N1911">
        <v>2200</v>
      </c>
    </row>
    <row r="1912" spans="1:14" x14ac:dyDescent="0.25">
      <c r="A1912">
        <v>1563.388048</v>
      </c>
      <c r="B1912" s="1">
        <f>DATE(2014,8,11) + TIME(9,18,47)</f>
        <v>41862.388043981482</v>
      </c>
      <c r="C1912">
        <v>80</v>
      </c>
      <c r="D1912">
        <v>79.959213257000002</v>
      </c>
      <c r="E1912">
        <v>50</v>
      </c>
      <c r="F1912">
        <v>45.386489867999998</v>
      </c>
      <c r="G1912">
        <v>1375.7972411999999</v>
      </c>
      <c r="H1912">
        <v>1363.229126</v>
      </c>
      <c r="I1912">
        <v>1290.9606934000001</v>
      </c>
      <c r="J1912">
        <v>1272.3449707</v>
      </c>
      <c r="K1912">
        <v>2200</v>
      </c>
      <c r="L1912">
        <v>0</v>
      </c>
      <c r="M1912">
        <v>0</v>
      </c>
      <c r="N1912">
        <v>2200</v>
      </c>
    </row>
    <row r="1913" spans="1:14" x14ac:dyDescent="0.25">
      <c r="A1913">
        <v>1565.219542</v>
      </c>
      <c r="B1913" s="1">
        <f>DATE(2014,8,13) + TIME(5,16,8)</f>
        <v>41864.219537037039</v>
      </c>
      <c r="C1913">
        <v>80</v>
      </c>
      <c r="D1913">
        <v>79.959228515999996</v>
      </c>
      <c r="E1913">
        <v>50</v>
      </c>
      <c r="F1913">
        <v>45.333423615000001</v>
      </c>
      <c r="G1913">
        <v>1375.7464600000001</v>
      </c>
      <c r="H1913">
        <v>1363.1866454999999</v>
      </c>
      <c r="I1913">
        <v>1290.9045410000001</v>
      </c>
      <c r="J1913">
        <v>1272.2496338000001</v>
      </c>
      <c r="K1913">
        <v>2200</v>
      </c>
      <c r="L1913">
        <v>0</v>
      </c>
      <c r="M1913">
        <v>0</v>
      </c>
      <c r="N1913">
        <v>2200</v>
      </c>
    </row>
    <row r="1914" spans="1:14" x14ac:dyDescent="0.25">
      <c r="A1914">
        <v>1567.0856960000001</v>
      </c>
      <c r="B1914" s="1">
        <f>DATE(2014,8,15) + TIME(2,3,24)</f>
        <v>41866.085694444446</v>
      </c>
      <c r="C1914">
        <v>80</v>
      </c>
      <c r="D1914">
        <v>79.959243774000001</v>
      </c>
      <c r="E1914">
        <v>50</v>
      </c>
      <c r="F1914">
        <v>45.281524658000002</v>
      </c>
      <c r="G1914">
        <v>1375.6954346</v>
      </c>
      <c r="H1914">
        <v>1363.1437988</v>
      </c>
      <c r="I1914">
        <v>1290.8476562000001</v>
      </c>
      <c r="J1914">
        <v>1272.1527100000001</v>
      </c>
      <c r="K1914">
        <v>2200</v>
      </c>
      <c r="L1914">
        <v>0</v>
      </c>
      <c r="M1914">
        <v>0</v>
      </c>
      <c r="N1914">
        <v>2200</v>
      </c>
    </row>
    <row r="1915" spans="1:14" x14ac:dyDescent="0.25">
      <c r="A1915">
        <v>1568.9724369999999</v>
      </c>
      <c r="B1915" s="1">
        <f>DATE(2014,8,16) + TIME(23,20,18)</f>
        <v>41867.972430555557</v>
      </c>
      <c r="C1915">
        <v>80</v>
      </c>
      <c r="D1915">
        <v>79.959266662999994</v>
      </c>
      <c r="E1915">
        <v>50</v>
      </c>
      <c r="F1915">
        <v>45.231090545999997</v>
      </c>
      <c r="G1915">
        <v>1375.644043</v>
      </c>
      <c r="H1915">
        <v>1363.1005858999999</v>
      </c>
      <c r="I1915">
        <v>1290.7900391000001</v>
      </c>
      <c r="J1915">
        <v>1272.0541992000001</v>
      </c>
      <c r="K1915">
        <v>2200</v>
      </c>
      <c r="L1915">
        <v>0</v>
      </c>
      <c r="M1915">
        <v>0</v>
      </c>
      <c r="N1915">
        <v>2200</v>
      </c>
    </row>
    <row r="1916" spans="1:14" x14ac:dyDescent="0.25">
      <c r="A1916">
        <v>1570.8748189999999</v>
      </c>
      <c r="B1916" s="1">
        <f>DATE(2014,8,18) + TIME(20,59,44)</f>
        <v>41869.874814814815</v>
      </c>
      <c r="C1916">
        <v>80</v>
      </c>
      <c r="D1916">
        <v>79.959281920999999</v>
      </c>
      <c r="E1916">
        <v>50</v>
      </c>
      <c r="F1916">
        <v>45.182567595999998</v>
      </c>
      <c r="G1916">
        <v>1375.5926514</v>
      </c>
      <c r="H1916">
        <v>1363.0573730000001</v>
      </c>
      <c r="I1916">
        <v>1290.7321777</v>
      </c>
      <c r="J1916">
        <v>1271.9547118999999</v>
      </c>
      <c r="K1916">
        <v>2200</v>
      </c>
      <c r="L1916">
        <v>0</v>
      </c>
      <c r="M1916">
        <v>0</v>
      </c>
      <c r="N1916">
        <v>2200</v>
      </c>
    </row>
    <row r="1917" spans="1:14" x14ac:dyDescent="0.25">
      <c r="A1917">
        <v>1572.7988640000001</v>
      </c>
      <c r="B1917" s="1">
        <f>DATE(2014,8,20) + TIME(19,10,21)</f>
        <v>41871.798854166664</v>
      </c>
      <c r="C1917">
        <v>80</v>
      </c>
      <c r="D1917">
        <v>79.959304810000006</v>
      </c>
      <c r="E1917">
        <v>50</v>
      </c>
      <c r="F1917">
        <v>45.136276244999998</v>
      </c>
      <c r="G1917">
        <v>1375.5413818</v>
      </c>
      <c r="H1917">
        <v>1363.0140381000001</v>
      </c>
      <c r="I1917">
        <v>1290.6741943</v>
      </c>
      <c r="J1917">
        <v>1271.8547363</v>
      </c>
      <c r="K1917">
        <v>2200</v>
      </c>
      <c r="L1917">
        <v>0</v>
      </c>
      <c r="M1917">
        <v>0</v>
      </c>
      <c r="N1917">
        <v>2200</v>
      </c>
    </row>
    <row r="1918" spans="1:14" x14ac:dyDescent="0.25">
      <c r="A1918">
        <v>1574.750802</v>
      </c>
      <c r="B1918" s="1">
        <f>DATE(2014,8,22) + TIME(18,1,9)</f>
        <v>41873.750798611109</v>
      </c>
      <c r="C1918">
        <v>80</v>
      </c>
      <c r="D1918">
        <v>79.959327697999996</v>
      </c>
      <c r="E1918">
        <v>50</v>
      </c>
      <c r="F1918">
        <v>45.092407227000002</v>
      </c>
      <c r="G1918">
        <v>1375.4899902</v>
      </c>
      <c r="H1918">
        <v>1362.9705810999999</v>
      </c>
      <c r="I1918">
        <v>1290.6162108999999</v>
      </c>
      <c r="J1918">
        <v>1271.7541504000001</v>
      </c>
      <c r="K1918">
        <v>2200</v>
      </c>
      <c r="L1918">
        <v>0</v>
      </c>
      <c r="M1918">
        <v>0</v>
      </c>
      <c r="N1918">
        <v>2200</v>
      </c>
    </row>
    <row r="1919" spans="1:14" x14ac:dyDescent="0.25">
      <c r="A1919">
        <v>1576.7299049999999</v>
      </c>
      <c r="B1919" s="1">
        <f>DATE(2014,8,24) + TIME(17,31,3)</f>
        <v>41875.729895833334</v>
      </c>
      <c r="C1919">
        <v>80</v>
      </c>
      <c r="D1919">
        <v>79.959342957000004</v>
      </c>
      <c r="E1919">
        <v>50</v>
      </c>
      <c r="F1919">
        <v>45.051200866999999</v>
      </c>
      <c r="G1919">
        <v>1375.4383545000001</v>
      </c>
      <c r="H1919">
        <v>1362.9268798999999</v>
      </c>
      <c r="I1919">
        <v>1290.5581055</v>
      </c>
      <c r="J1919">
        <v>1271.6529541</v>
      </c>
      <c r="K1919">
        <v>2200</v>
      </c>
      <c r="L1919">
        <v>0</v>
      </c>
      <c r="M1919">
        <v>0</v>
      </c>
      <c r="N1919">
        <v>2200</v>
      </c>
    </row>
    <row r="1920" spans="1:14" x14ac:dyDescent="0.25">
      <c r="A1920">
        <v>1578.7290129999999</v>
      </c>
      <c r="B1920" s="1">
        <f>DATE(2014,8,26) + TIME(17,29,46)</f>
        <v>41877.729004629633</v>
      </c>
      <c r="C1920">
        <v>80</v>
      </c>
      <c r="D1920">
        <v>79.959365844999994</v>
      </c>
      <c r="E1920">
        <v>50</v>
      </c>
      <c r="F1920">
        <v>45.013034820999998</v>
      </c>
      <c r="G1920">
        <v>1375.3865966999999</v>
      </c>
      <c r="H1920">
        <v>1362.8830565999999</v>
      </c>
      <c r="I1920">
        <v>1290.5</v>
      </c>
      <c r="J1920">
        <v>1271.5515137</v>
      </c>
      <c r="K1920">
        <v>2200</v>
      </c>
      <c r="L1920">
        <v>0</v>
      </c>
      <c r="M1920">
        <v>0</v>
      </c>
      <c r="N1920">
        <v>2200</v>
      </c>
    </row>
    <row r="1921" spans="1:14" x14ac:dyDescent="0.25">
      <c r="A1921">
        <v>1580.7542100000001</v>
      </c>
      <c r="B1921" s="1">
        <f>DATE(2014,8,28) + TIME(18,6,3)</f>
        <v>41879.754201388889</v>
      </c>
      <c r="C1921">
        <v>80</v>
      </c>
      <c r="D1921">
        <v>79.959388732999997</v>
      </c>
      <c r="E1921">
        <v>50</v>
      </c>
      <c r="F1921">
        <v>44.978305816999999</v>
      </c>
      <c r="G1921">
        <v>1375.3348389</v>
      </c>
      <c r="H1921">
        <v>1362.8389893000001</v>
      </c>
      <c r="I1921">
        <v>1290.4422606999999</v>
      </c>
      <c r="J1921">
        <v>1271.4501952999999</v>
      </c>
      <c r="K1921">
        <v>2200</v>
      </c>
      <c r="L1921">
        <v>0</v>
      </c>
      <c r="M1921">
        <v>0</v>
      </c>
      <c r="N1921">
        <v>2200</v>
      </c>
    </row>
    <row r="1922" spans="1:14" x14ac:dyDescent="0.25">
      <c r="A1922">
        <v>1582.811733</v>
      </c>
      <c r="B1922" s="1">
        <f>DATE(2014,8,30) + TIME(19,28,53)</f>
        <v>41881.811724537038</v>
      </c>
      <c r="C1922">
        <v>80</v>
      </c>
      <c r="D1922">
        <v>79.959411621000001</v>
      </c>
      <c r="E1922">
        <v>50</v>
      </c>
      <c r="F1922">
        <v>44.947349547999998</v>
      </c>
      <c r="G1922">
        <v>1375.2829589999999</v>
      </c>
      <c r="H1922">
        <v>1362.7946777</v>
      </c>
      <c r="I1922">
        <v>1290.3848877</v>
      </c>
      <c r="J1922">
        <v>1271.348999</v>
      </c>
      <c r="K1922">
        <v>2200</v>
      </c>
      <c r="L1922">
        <v>0</v>
      </c>
      <c r="M1922">
        <v>0</v>
      </c>
      <c r="N1922">
        <v>2200</v>
      </c>
    </row>
    <row r="1923" spans="1:14" x14ac:dyDescent="0.25">
      <c r="A1923">
        <v>1584</v>
      </c>
      <c r="B1923" s="1">
        <f>DATE(2014,9,1) + TIME(0,0,0)</f>
        <v>41883</v>
      </c>
      <c r="C1923">
        <v>80</v>
      </c>
      <c r="D1923">
        <v>79.959419249999996</v>
      </c>
      <c r="E1923">
        <v>50</v>
      </c>
      <c r="F1923">
        <v>44.925628662000001</v>
      </c>
      <c r="G1923">
        <v>1375.2305908000001</v>
      </c>
      <c r="H1923">
        <v>1362.7501221</v>
      </c>
      <c r="I1923">
        <v>1290.3312988</v>
      </c>
      <c r="J1923">
        <v>1271.2557373</v>
      </c>
      <c r="K1923">
        <v>2200</v>
      </c>
      <c r="L1923">
        <v>0</v>
      </c>
      <c r="M1923">
        <v>0</v>
      </c>
      <c r="N1923">
        <v>2200</v>
      </c>
    </row>
    <row r="1924" spans="1:14" x14ac:dyDescent="0.25">
      <c r="A1924">
        <v>1586.0965679999999</v>
      </c>
      <c r="B1924" s="1">
        <f>DATE(2014,9,3) + TIME(2,19,3)</f>
        <v>41885.096562500003</v>
      </c>
      <c r="C1924">
        <v>80</v>
      </c>
      <c r="D1924">
        <v>79.959449767999999</v>
      </c>
      <c r="E1924">
        <v>50</v>
      </c>
      <c r="F1924">
        <v>44.906013489000003</v>
      </c>
      <c r="G1924">
        <v>1375.2005615</v>
      </c>
      <c r="H1924">
        <v>1362.7243652</v>
      </c>
      <c r="I1924">
        <v>1290.2930908000001</v>
      </c>
      <c r="J1924">
        <v>1271.1864014</v>
      </c>
      <c r="K1924">
        <v>2200</v>
      </c>
      <c r="L1924">
        <v>0</v>
      </c>
      <c r="M1924">
        <v>0</v>
      </c>
      <c r="N1924">
        <v>2200</v>
      </c>
    </row>
    <row r="1925" spans="1:14" x14ac:dyDescent="0.25">
      <c r="A1925">
        <v>1588.2427090000001</v>
      </c>
      <c r="B1925" s="1">
        <f>DATE(2014,9,5) + TIME(5,49,30)</f>
        <v>41887.242708333331</v>
      </c>
      <c r="C1925">
        <v>80</v>
      </c>
      <c r="D1925">
        <v>79.959472656000003</v>
      </c>
      <c r="E1925">
        <v>50</v>
      </c>
      <c r="F1925">
        <v>44.888240814</v>
      </c>
      <c r="G1925">
        <v>1375.1483154</v>
      </c>
      <c r="H1925">
        <v>1362.6795654</v>
      </c>
      <c r="I1925">
        <v>1290.2390137</v>
      </c>
      <c r="J1925">
        <v>1271.090332</v>
      </c>
      <c r="K1925">
        <v>2200</v>
      </c>
      <c r="L1925">
        <v>0</v>
      </c>
      <c r="M1925">
        <v>0</v>
      </c>
      <c r="N1925">
        <v>2200</v>
      </c>
    </row>
    <row r="1926" spans="1:14" x14ac:dyDescent="0.25">
      <c r="A1926">
        <v>1590.4020169999999</v>
      </c>
      <c r="B1926" s="1">
        <f>DATE(2014,9,7) + TIME(9,38,54)</f>
        <v>41889.402013888888</v>
      </c>
      <c r="C1926">
        <v>80</v>
      </c>
      <c r="D1926">
        <v>79.959495544000006</v>
      </c>
      <c r="E1926">
        <v>50</v>
      </c>
      <c r="F1926">
        <v>44.875072479000004</v>
      </c>
      <c r="G1926">
        <v>1375.0950928</v>
      </c>
      <c r="H1926">
        <v>1362.6339111</v>
      </c>
      <c r="I1926">
        <v>1290.1842041</v>
      </c>
      <c r="J1926">
        <v>1270.9926757999999</v>
      </c>
      <c r="K1926">
        <v>2200</v>
      </c>
      <c r="L1926">
        <v>0</v>
      </c>
      <c r="M1926">
        <v>0</v>
      </c>
      <c r="N1926">
        <v>2200</v>
      </c>
    </row>
    <row r="1927" spans="1:14" x14ac:dyDescent="0.25">
      <c r="A1927">
        <v>1592.583261</v>
      </c>
      <c r="B1927" s="1">
        <f>DATE(2014,9,9) + TIME(13,59,53)</f>
        <v>41891.583252314813</v>
      </c>
      <c r="C1927">
        <v>80</v>
      </c>
      <c r="D1927">
        <v>79.959518433</v>
      </c>
      <c r="E1927">
        <v>50</v>
      </c>
      <c r="F1927">
        <v>44.867816925</v>
      </c>
      <c r="G1927">
        <v>1375.0421143000001</v>
      </c>
      <c r="H1927">
        <v>1362.5883789</v>
      </c>
      <c r="I1927">
        <v>1290.1304932</v>
      </c>
      <c r="J1927">
        <v>1270.8966064000001</v>
      </c>
      <c r="K1927">
        <v>2200</v>
      </c>
      <c r="L1927">
        <v>0</v>
      </c>
      <c r="M1927">
        <v>0</v>
      </c>
      <c r="N1927">
        <v>2200</v>
      </c>
    </row>
    <row r="1928" spans="1:14" x14ac:dyDescent="0.25">
      <c r="A1928">
        <v>1594.7951869999999</v>
      </c>
      <c r="B1928" s="1">
        <f>DATE(2014,9,11) + TIME(19,5,4)</f>
        <v>41893.795185185183</v>
      </c>
      <c r="C1928">
        <v>80</v>
      </c>
      <c r="D1928">
        <v>79.959548949999999</v>
      </c>
      <c r="E1928">
        <v>50</v>
      </c>
      <c r="F1928">
        <v>44.867256165000001</v>
      </c>
      <c r="G1928">
        <v>1374.9890137</v>
      </c>
      <c r="H1928">
        <v>1362.5426024999999</v>
      </c>
      <c r="I1928">
        <v>1290.078125</v>
      </c>
      <c r="J1928">
        <v>1270.8026123</v>
      </c>
      <c r="K1928">
        <v>2200</v>
      </c>
      <c r="L1928">
        <v>0</v>
      </c>
      <c r="M1928">
        <v>0</v>
      </c>
      <c r="N1928">
        <v>2200</v>
      </c>
    </row>
    <row r="1929" spans="1:14" x14ac:dyDescent="0.25">
      <c r="A1929">
        <v>1597.0457489999999</v>
      </c>
      <c r="B1929" s="1">
        <f>DATE(2014,9,14) + TIME(1,5,52)</f>
        <v>41896.045740740738</v>
      </c>
      <c r="C1929">
        <v>80</v>
      </c>
      <c r="D1929">
        <v>79.959571838000002</v>
      </c>
      <c r="E1929">
        <v>50</v>
      </c>
      <c r="F1929">
        <v>44.874088286999999</v>
      </c>
      <c r="G1929">
        <v>1374.9356689000001</v>
      </c>
      <c r="H1929">
        <v>1362.496582</v>
      </c>
      <c r="I1929">
        <v>1290.0270995999999</v>
      </c>
      <c r="J1929">
        <v>1270.7110596</v>
      </c>
      <c r="K1929">
        <v>2200</v>
      </c>
      <c r="L1929">
        <v>0</v>
      </c>
      <c r="M1929">
        <v>0</v>
      </c>
      <c r="N1929">
        <v>2200</v>
      </c>
    </row>
    <row r="1930" spans="1:14" x14ac:dyDescent="0.25">
      <c r="A1930">
        <v>1599.323087</v>
      </c>
      <c r="B1930" s="1">
        <f>DATE(2014,9,16) + TIME(7,45,14)</f>
        <v>41898.323078703703</v>
      </c>
      <c r="C1930">
        <v>80</v>
      </c>
      <c r="D1930">
        <v>79.959602356000005</v>
      </c>
      <c r="E1930">
        <v>50</v>
      </c>
      <c r="F1930">
        <v>44.889060974000003</v>
      </c>
      <c r="G1930">
        <v>1374.8819579999999</v>
      </c>
      <c r="H1930">
        <v>1362.4500731999999</v>
      </c>
      <c r="I1930">
        <v>1289.9777832</v>
      </c>
      <c r="J1930">
        <v>1270.6223144999999</v>
      </c>
      <c r="K1930">
        <v>2200</v>
      </c>
      <c r="L1930">
        <v>0</v>
      </c>
      <c r="M1930">
        <v>0</v>
      </c>
      <c r="N1930">
        <v>2200</v>
      </c>
    </row>
    <row r="1931" spans="1:14" x14ac:dyDescent="0.25">
      <c r="A1931">
        <v>1601.6346410000001</v>
      </c>
      <c r="B1931" s="1">
        <f>DATE(2014,9,18) + TIME(15,13,52)</f>
        <v>41900.634629629632</v>
      </c>
      <c r="C1931">
        <v>80</v>
      </c>
      <c r="D1931">
        <v>79.959632873999993</v>
      </c>
      <c r="E1931">
        <v>50</v>
      </c>
      <c r="F1931">
        <v>44.912906647</v>
      </c>
      <c r="G1931">
        <v>1374.828125</v>
      </c>
      <c r="H1931">
        <v>1362.4034423999999</v>
      </c>
      <c r="I1931">
        <v>1289.9305420000001</v>
      </c>
      <c r="J1931">
        <v>1270.5371094</v>
      </c>
      <c r="K1931">
        <v>2200</v>
      </c>
      <c r="L1931">
        <v>0</v>
      </c>
      <c r="M1931">
        <v>0</v>
      </c>
      <c r="N1931">
        <v>2200</v>
      </c>
    </row>
    <row r="1932" spans="1:14" x14ac:dyDescent="0.25">
      <c r="A1932">
        <v>1603.988218</v>
      </c>
      <c r="B1932" s="1">
        <f>DATE(2014,9,20) + TIME(23,43,2)</f>
        <v>41902.988217592596</v>
      </c>
      <c r="C1932">
        <v>80</v>
      </c>
      <c r="D1932">
        <v>79.959655761999997</v>
      </c>
      <c r="E1932">
        <v>50</v>
      </c>
      <c r="F1932">
        <v>44.946472168</v>
      </c>
      <c r="G1932">
        <v>1374.7739257999999</v>
      </c>
      <c r="H1932">
        <v>1362.3563231999999</v>
      </c>
      <c r="I1932">
        <v>1289.8852539</v>
      </c>
      <c r="J1932">
        <v>1270.4558105000001</v>
      </c>
      <c r="K1932">
        <v>2200</v>
      </c>
      <c r="L1932">
        <v>0</v>
      </c>
      <c r="M1932">
        <v>0</v>
      </c>
      <c r="N1932">
        <v>2200</v>
      </c>
    </row>
    <row r="1933" spans="1:14" x14ac:dyDescent="0.25">
      <c r="A1933">
        <v>1606.377201</v>
      </c>
      <c r="B1933" s="1">
        <f>DATE(2014,9,23) + TIME(9,3,10)</f>
        <v>41905.377199074072</v>
      </c>
      <c r="C1933">
        <v>80</v>
      </c>
      <c r="D1933">
        <v>79.959686278999996</v>
      </c>
      <c r="E1933">
        <v>50</v>
      </c>
      <c r="F1933">
        <v>44.990619658999996</v>
      </c>
      <c r="G1933">
        <v>1374.7192382999999</v>
      </c>
      <c r="H1933">
        <v>1362.3088379000001</v>
      </c>
      <c r="I1933">
        <v>1289.8424072</v>
      </c>
      <c r="J1933">
        <v>1270.3786620999999</v>
      </c>
      <c r="K1933">
        <v>2200</v>
      </c>
      <c r="L1933">
        <v>0</v>
      </c>
      <c r="M1933">
        <v>0</v>
      </c>
      <c r="N1933">
        <v>2200</v>
      </c>
    </row>
    <row r="1934" spans="1:14" x14ac:dyDescent="0.25">
      <c r="A1934">
        <v>1608.8012490000001</v>
      </c>
      <c r="B1934" s="1">
        <f>DATE(2014,9,25) + TIME(19,13,47)</f>
        <v>41907.801238425927</v>
      </c>
      <c r="C1934">
        <v>80</v>
      </c>
      <c r="D1934">
        <v>79.959716796999999</v>
      </c>
      <c r="E1934">
        <v>50</v>
      </c>
      <c r="F1934">
        <v>45.046142578000001</v>
      </c>
      <c r="G1934">
        <v>1374.6643065999999</v>
      </c>
      <c r="H1934">
        <v>1362.2609863</v>
      </c>
      <c r="I1934">
        <v>1289.8020019999999</v>
      </c>
      <c r="J1934">
        <v>1270.3066406</v>
      </c>
      <c r="K1934">
        <v>2200</v>
      </c>
      <c r="L1934">
        <v>0</v>
      </c>
      <c r="M1934">
        <v>0</v>
      </c>
      <c r="N1934">
        <v>2200</v>
      </c>
    </row>
    <row r="1935" spans="1:14" x14ac:dyDescent="0.25">
      <c r="A1935">
        <v>1610.0332599999999</v>
      </c>
      <c r="B1935" s="1">
        <f>DATE(2014,9,27) + TIME(0,47,53)</f>
        <v>41909.033252314817</v>
      </c>
      <c r="C1935">
        <v>80</v>
      </c>
      <c r="D1935">
        <v>79.959724425999994</v>
      </c>
      <c r="E1935">
        <v>50</v>
      </c>
      <c r="F1935">
        <v>45.099632262999997</v>
      </c>
      <c r="G1935">
        <v>1374.6091309000001</v>
      </c>
      <c r="H1935">
        <v>1362.2127685999999</v>
      </c>
      <c r="I1935">
        <v>1289.7714844</v>
      </c>
      <c r="J1935">
        <v>1270.2467041</v>
      </c>
      <c r="K1935">
        <v>2200</v>
      </c>
      <c r="L1935">
        <v>0</v>
      </c>
      <c r="M1935">
        <v>0</v>
      </c>
      <c r="N1935">
        <v>2200</v>
      </c>
    </row>
    <row r="1936" spans="1:14" x14ac:dyDescent="0.25">
      <c r="A1936">
        <v>1611.2652700000001</v>
      </c>
      <c r="B1936" s="1">
        <f>DATE(2014,9,28) + TIME(6,21,59)</f>
        <v>41910.265266203707</v>
      </c>
      <c r="C1936">
        <v>80</v>
      </c>
      <c r="D1936">
        <v>79.959739685000002</v>
      </c>
      <c r="E1936">
        <v>50</v>
      </c>
      <c r="F1936">
        <v>45.146720885999997</v>
      </c>
      <c r="G1936">
        <v>1374.5809326000001</v>
      </c>
      <c r="H1936">
        <v>1362.1881103999999</v>
      </c>
      <c r="I1936">
        <v>1289.75</v>
      </c>
      <c r="J1936">
        <v>1270.2119141000001</v>
      </c>
      <c r="K1936">
        <v>2200</v>
      </c>
      <c r="L1936">
        <v>0</v>
      </c>
      <c r="M1936">
        <v>0</v>
      </c>
      <c r="N1936">
        <v>2200</v>
      </c>
    </row>
    <row r="1937" spans="1:14" x14ac:dyDescent="0.25">
      <c r="A1937">
        <v>1612.4972809999999</v>
      </c>
      <c r="B1937" s="1">
        <f>DATE(2014,9,29) + TIME(11,56,5)</f>
        <v>41911.49728009259</v>
      </c>
      <c r="C1937">
        <v>80</v>
      </c>
      <c r="D1937">
        <v>79.959754943999997</v>
      </c>
      <c r="E1937">
        <v>50</v>
      </c>
      <c r="F1937">
        <v>45.192882537999999</v>
      </c>
      <c r="G1937">
        <v>1374.5532227000001</v>
      </c>
      <c r="H1937">
        <v>1362.1638184000001</v>
      </c>
      <c r="I1937">
        <v>1289.7318115</v>
      </c>
      <c r="J1937">
        <v>1270.1816406</v>
      </c>
      <c r="K1937">
        <v>2200</v>
      </c>
      <c r="L1937">
        <v>0</v>
      </c>
      <c r="M1937">
        <v>0</v>
      </c>
      <c r="N1937">
        <v>2200</v>
      </c>
    </row>
    <row r="1938" spans="1:14" x14ac:dyDescent="0.25">
      <c r="A1938">
        <v>1614</v>
      </c>
      <c r="B1938" s="1">
        <f>DATE(2014,10,1) + TIME(0,0,0)</f>
        <v>41913</v>
      </c>
      <c r="C1938">
        <v>80</v>
      </c>
      <c r="D1938">
        <v>79.959777832</v>
      </c>
      <c r="E1938">
        <v>50</v>
      </c>
      <c r="F1938">
        <v>45.244338988999999</v>
      </c>
      <c r="G1938">
        <v>1374.5256348</v>
      </c>
      <c r="H1938">
        <v>1362.1396483999999</v>
      </c>
      <c r="I1938">
        <v>1289.7142334</v>
      </c>
      <c r="J1938">
        <v>1270.1531981999999</v>
      </c>
      <c r="K1938">
        <v>2200</v>
      </c>
      <c r="L1938">
        <v>0</v>
      </c>
      <c r="M1938">
        <v>0</v>
      </c>
      <c r="N1938">
        <v>2200</v>
      </c>
    </row>
    <row r="1939" spans="1:14" x14ac:dyDescent="0.25">
      <c r="A1939">
        <v>1615.2320110000001</v>
      </c>
      <c r="B1939" s="1">
        <f>DATE(2014,10,2) + TIME(5,34,5)</f>
        <v>41914.232002314813</v>
      </c>
      <c r="C1939">
        <v>80</v>
      </c>
      <c r="D1939">
        <v>79.959785460999996</v>
      </c>
      <c r="E1939">
        <v>50</v>
      </c>
      <c r="F1939">
        <v>45.298614502</v>
      </c>
      <c r="G1939">
        <v>1374.4923096</v>
      </c>
      <c r="H1939">
        <v>1362.1103516000001</v>
      </c>
      <c r="I1939">
        <v>1289.6989745999999</v>
      </c>
      <c r="J1939">
        <v>1270.1248779</v>
      </c>
      <c r="K1939">
        <v>2200</v>
      </c>
      <c r="L1939">
        <v>0</v>
      </c>
      <c r="M1939">
        <v>0</v>
      </c>
      <c r="N1939">
        <v>2200</v>
      </c>
    </row>
    <row r="1940" spans="1:14" x14ac:dyDescent="0.25">
      <c r="A1940">
        <v>1617.6960320000001</v>
      </c>
      <c r="B1940" s="1">
        <f>DATE(2014,10,4) + TIME(16,42,17)</f>
        <v>41916.696030092593</v>
      </c>
      <c r="C1940">
        <v>80</v>
      </c>
      <c r="D1940">
        <v>79.959831238000007</v>
      </c>
      <c r="E1940">
        <v>50</v>
      </c>
      <c r="F1940">
        <v>45.368080139</v>
      </c>
      <c r="G1940">
        <v>1374.4650879000001</v>
      </c>
      <c r="H1940">
        <v>1362.0864257999999</v>
      </c>
      <c r="I1940">
        <v>1289.6800536999999</v>
      </c>
      <c r="J1940">
        <v>1270.0988769999999</v>
      </c>
      <c r="K1940">
        <v>2200</v>
      </c>
      <c r="L1940">
        <v>0</v>
      </c>
      <c r="M1940">
        <v>0</v>
      </c>
      <c r="N1940">
        <v>2200</v>
      </c>
    </row>
    <row r="1941" spans="1:14" x14ac:dyDescent="0.25">
      <c r="A1941">
        <v>1620.1626100000001</v>
      </c>
      <c r="B1941" s="1">
        <f>DATE(2014,10,7) + TIME(3,54,9)</f>
        <v>41919.162604166668</v>
      </c>
      <c r="C1941">
        <v>80</v>
      </c>
      <c r="D1941">
        <v>79.959861755000006</v>
      </c>
      <c r="E1941">
        <v>50</v>
      </c>
      <c r="F1941">
        <v>45.472454071000001</v>
      </c>
      <c r="G1941">
        <v>1374.4111327999999</v>
      </c>
      <c r="H1941">
        <v>1362.0390625</v>
      </c>
      <c r="I1941">
        <v>1289.6588135</v>
      </c>
      <c r="J1941">
        <v>1270.0607910000001</v>
      </c>
      <c r="K1941">
        <v>2200</v>
      </c>
      <c r="L1941">
        <v>0</v>
      </c>
      <c r="M1941">
        <v>0</v>
      </c>
      <c r="N1941">
        <v>2200</v>
      </c>
    </row>
    <row r="1942" spans="1:14" x14ac:dyDescent="0.25">
      <c r="A1942">
        <v>1622.6835100000001</v>
      </c>
      <c r="B1942" s="1">
        <f>DATE(2014,10,9) + TIME(16,24,15)</f>
        <v>41921.683506944442</v>
      </c>
      <c r="C1942">
        <v>80</v>
      </c>
      <c r="D1942">
        <v>79.959892272999994</v>
      </c>
      <c r="E1942">
        <v>50</v>
      </c>
      <c r="F1942">
        <v>45.595874786000003</v>
      </c>
      <c r="G1942">
        <v>1374.3574219</v>
      </c>
      <c r="H1942">
        <v>1361.9918213000001</v>
      </c>
      <c r="I1942">
        <v>1289.6386719</v>
      </c>
      <c r="J1942">
        <v>1270.0284423999999</v>
      </c>
      <c r="K1942">
        <v>2200</v>
      </c>
      <c r="L1942">
        <v>0</v>
      </c>
      <c r="M1942">
        <v>0</v>
      </c>
      <c r="N1942">
        <v>2200</v>
      </c>
    </row>
    <row r="1943" spans="1:14" x14ac:dyDescent="0.25">
      <c r="A1943">
        <v>1625.267147</v>
      </c>
      <c r="B1943" s="1">
        <f>DATE(2014,10,12) + TIME(6,24,41)</f>
        <v>41924.267141203702</v>
      </c>
      <c r="C1943">
        <v>80</v>
      </c>
      <c r="D1943">
        <v>79.959930420000006</v>
      </c>
      <c r="E1943">
        <v>50</v>
      </c>
      <c r="F1943">
        <v>45.735572814999998</v>
      </c>
      <c r="G1943">
        <v>1374.3032227000001</v>
      </c>
      <c r="H1943">
        <v>1361.9440918</v>
      </c>
      <c r="I1943">
        <v>1289.6212158000001</v>
      </c>
      <c r="J1943">
        <v>1270.0029297000001</v>
      </c>
      <c r="K1943">
        <v>2200</v>
      </c>
      <c r="L1943">
        <v>0</v>
      </c>
      <c r="M1943">
        <v>0</v>
      </c>
      <c r="N1943">
        <v>2200</v>
      </c>
    </row>
    <row r="1944" spans="1:14" x14ac:dyDescent="0.25">
      <c r="A1944">
        <v>1627.9234590000001</v>
      </c>
      <c r="B1944" s="1">
        <f>DATE(2014,10,14) + TIME(22,9,46)</f>
        <v>41926.923449074071</v>
      </c>
      <c r="C1944">
        <v>80</v>
      </c>
      <c r="D1944">
        <v>79.959960937999995</v>
      </c>
      <c r="E1944">
        <v>50</v>
      </c>
      <c r="F1944">
        <v>45.891403197999999</v>
      </c>
      <c r="G1944">
        <v>1374.2482910000001</v>
      </c>
      <c r="H1944">
        <v>1361.8956298999999</v>
      </c>
      <c r="I1944">
        <v>1289.6071777</v>
      </c>
      <c r="J1944">
        <v>1269.9848632999999</v>
      </c>
      <c r="K1944">
        <v>2200</v>
      </c>
      <c r="L1944">
        <v>0</v>
      </c>
      <c r="M1944">
        <v>0</v>
      </c>
      <c r="N1944">
        <v>2200</v>
      </c>
    </row>
    <row r="1945" spans="1:14" x14ac:dyDescent="0.25">
      <c r="A1945">
        <v>1630.6530849999999</v>
      </c>
      <c r="B1945" s="1">
        <f>DATE(2014,10,17) + TIME(15,40,26)</f>
        <v>41929.653078703705</v>
      </c>
      <c r="C1945">
        <v>80</v>
      </c>
      <c r="D1945">
        <v>79.959999084000003</v>
      </c>
      <c r="E1945">
        <v>50</v>
      </c>
      <c r="F1945">
        <v>46.0638237</v>
      </c>
      <c r="G1945">
        <v>1374.1925048999999</v>
      </c>
      <c r="H1945">
        <v>1361.8463135</v>
      </c>
      <c r="I1945">
        <v>1289.5966797000001</v>
      </c>
      <c r="J1945">
        <v>1269.9746094</v>
      </c>
      <c r="K1945">
        <v>2200</v>
      </c>
      <c r="L1945">
        <v>0</v>
      </c>
      <c r="M1945">
        <v>0</v>
      </c>
      <c r="N1945">
        <v>2200</v>
      </c>
    </row>
    <row r="1946" spans="1:14" x14ac:dyDescent="0.25">
      <c r="A1946">
        <v>1633.418983</v>
      </c>
      <c r="B1946" s="1">
        <f>DATE(2014,10,20) + TIME(10,3,20)</f>
        <v>41932.418981481482</v>
      </c>
      <c r="C1946">
        <v>80</v>
      </c>
      <c r="D1946">
        <v>79.960037231000001</v>
      </c>
      <c r="E1946">
        <v>50</v>
      </c>
      <c r="F1946">
        <v>46.252407073999997</v>
      </c>
      <c r="G1946">
        <v>1374.1358643000001</v>
      </c>
      <c r="H1946">
        <v>1361.7962646000001</v>
      </c>
      <c r="I1946">
        <v>1289.5900879000001</v>
      </c>
      <c r="J1946">
        <v>1269.9729004000001</v>
      </c>
      <c r="K1946">
        <v>2200</v>
      </c>
      <c r="L1946">
        <v>0</v>
      </c>
      <c r="M1946">
        <v>0</v>
      </c>
      <c r="N1946">
        <v>2200</v>
      </c>
    </row>
    <row r="1947" spans="1:14" x14ac:dyDescent="0.25">
      <c r="A1947">
        <v>1636.22821</v>
      </c>
      <c r="B1947" s="1">
        <f>DATE(2014,10,23) + TIME(5,28,37)</f>
        <v>41935.228206018517</v>
      </c>
      <c r="C1947">
        <v>80</v>
      </c>
      <c r="D1947">
        <v>79.960075377999999</v>
      </c>
      <c r="E1947">
        <v>50</v>
      </c>
      <c r="F1947">
        <v>46.455417633000003</v>
      </c>
      <c r="G1947">
        <v>1374.0793457</v>
      </c>
      <c r="H1947">
        <v>1361.7462158000001</v>
      </c>
      <c r="I1947">
        <v>1289.5874022999999</v>
      </c>
      <c r="J1947">
        <v>1269.9797363</v>
      </c>
      <c r="K1947">
        <v>2200</v>
      </c>
      <c r="L1947">
        <v>0</v>
      </c>
      <c r="M1947">
        <v>0</v>
      </c>
      <c r="N1947">
        <v>2200</v>
      </c>
    </row>
    <row r="1948" spans="1:14" x14ac:dyDescent="0.25">
      <c r="A1948">
        <v>1639.0657619999999</v>
      </c>
      <c r="B1948" s="1">
        <f>DATE(2014,10,26) + TIME(1,34,41)</f>
        <v>41938.065752314818</v>
      </c>
      <c r="C1948">
        <v>80</v>
      </c>
      <c r="D1948">
        <v>79.960113524999997</v>
      </c>
      <c r="E1948">
        <v>50</v>
      </c>
      <c r="F1948">
        <v>46.671756744</v>
      </c>
      <c r="G1948">
        <v>1374.0227050999999</v>
      </c>
      <c r="H1948">
        <v>1361.6959228999999</v>
      </c>
      <c r="I1948">
        <v>1289.5886230000001</v>
      </c>
      <c r="J1948">
        <v>1269.9951172000001</v>
      </c>
      <c r="K1948">
        <v>2200</v>
      </c>
      <c r="L1948">
        <v>0</v>
      </c>
      <c r="M1948">
        <v>0</v>
      </c>
      <c r="N1948">
        <v>2200</v>
      </c>
    </row>
    <row r="1949" spans="1:14" x14ac:dyDescent="0.25">
      <c r="A1949">
        <v>1641.945825</v>
      </c>
      <c r="B1949" s="1">
        <f>DATE(2014,10,28) + TIME(22,41,59)</f>
        <v>41940.945821759262</v>
      </c>
      <c r="C1949">
        <v>80</v>
      </c>
      <c r="D1949">
        <v>79.960151671999995</v>
      </c>
      <c r="E1949">
        <v>50</v>
      </c>
      <c r="F1949">
        <v>46.899864196999999</v>
      </c>
      <c r="G1949">
        <v>1373.9663086</v>
      </c>
      <c r="H1949">
        <v>1361.645874</v>
      </c>
      <c r="I1949">
        <v>1289.5936279</v>
      </c>
      <c r="J1949">
        <v>1270.0187988</v>
      </c>
      <c r="K1949">
        <v>2200</v>
      </c>
      <c r="L1949">
        <v>0</v>
      </c>
      <c r="M1949">
        <v>0</v>
      </c>
      <c r="N1949">
        <v>2200</v>
      </c>
    </row>
    <row r="1950" spans="1:14" x14ac:dyDescent="0.25">
      <c r="A1950">
        <v>1644.8352669999999</v>
      </c>
      <c r="B1950" s="1">
        <f>DATE(2014,10,31) + TIME(20,2,47)</f>
        <v>41943.835266203707</v>
      </c>
      <c r="C1950">
        <v>80</v>
      </c>
      <c r="D1950">
        <v>79.960189818999993</v>
      </c>
      <c r="E1950">
        <v>50</v>
      </c>
      <c r="F1950">
        <v>47.138351440000001</v>
      </c>
      <c r="G1950">
        <v>1373.9099120999999</v>
      </c>
      <c r="H1950">
        <v>1361.5959473</v>
      </c>
      <c r="I1950">
        <v>1289.6024170000001</v>
      </c>
      <c r="J1950">
        <v>1270.050293</v>
      </c>
      <c r="K1950">
        <v>2200</v>
      </c>
      <c r="L1950">
        <v>0</v>
      </c>
      <c r="M1950">
        <v>0</v>
      </c>
      <c r="N1950">
        <v>2200</v>
      </c>
    </row>
    <row r="1951" spans="1:14" x14ac:dyDescent="0.25">
      <c r="A1951">
        <v>1645</v>
      </c>
      <c r="B1951" s="1">
        <f>DATE(2014,11,1) + TIME(0,0,0)</f>
        <v>41944</v>
      </c>
      <c r="C1951">
        <v>80</v>
      </c>
      <c r="D1951">
        <v>79.960182189999998</v>
      </c>
      <c r="E1951">
        <v>50</v>
      </c>
      <c r="F1951">
        <v>47.189708709999998</v>
      </c>
      <c r="G1951">
        <v>1373.8586425999999</v>
      </c>
      <c r="H1951">
        <v>1361.5507812000001</v>
      </c>
      <c r="I1951">
        <v>1289.6475829999999</v>
      </c>
      <c r="J1951">
        <v>1270.0782471</v>
      </c>
      <c r="K1951">
        <v>2200</v>
      </c>
      <c r="L1951">
        <v>0</v>
      </c>
      <c r="M1951">
        <v>0</v>
      </c>
      <c r="N1951">
        <v>2200</v>
      </c>
    </row>
    <row r="1952" spans="1:14" x14ac:dyDescent="0.25">
      <c r="A1952">
        <v>1645.0000010000001</v>
      </c>
      <c r="B1952" s="1">
        <f>DATE(2014,11,1) + TIME(0,0,0)</f>
        <v>41944</v>
      </c>
      <c r="C1952">
        <v>80</v>
      </c>
      <c r="D1952">
        <v>79.960067749000004</v>
      </c>
      <c r="E1952">
        <v>50</v>
      </c>
      <c r="F1952">
        <v>47.189819335999999</v>
      </c>
      <c r="G1952">
        <v>1360.7514647999999</v>
      </c>
      <c r="H1952">
        <v>1349.8551024999999</v>
      </c>
      <c r="I1952">
        <v>1310.0273437999999</v>
      </c>
      <c r="J1952">
        <v>1290.5003661999999</v>
      </c>
      <c r="K1952">
        <v>0</v>
      </c>
      <c r="L1952">
        <v>2200</v>
      </c>
      <c r="M1952">
        <v>2200</v>
      </c>
      <c r="N1952">
        <v>0</v>
      </c>
    </row>
    <row r="1953" spans="1:14" x14ac:dyDescent="0.25">
      <c r="A1953">
        <v>1645.000004</v>
      </c>
      <c r="B1953" s="1">
        <f>DATE(2014,11,1) + TIME(0,0,0)</f>
        <v>41944</v>
      </c>
      <c r="C1953">
        <v>80</v>
      </c>
      <c r="D1953">
        <v>79.959777832</v>
      </c>
      <c r="E1953">
        <v>50</v>
      </c>
      <c r="F1953">
        <v>47.190113068000002</v>
      </c>
      <c r="G1953">
        <v>1358.7324219</v>
      </c>
      <c r="H1953">
        <v>1347.8356934000001</v>
      </c>
      <c r="I1953">
        <v>1312.2122803</v>
      </c>
      <c r="J1953">
        <v>1292.7850341999999</v>
      </c>
      <c r="K1953">
        <v>0</v>
      </c>
      <c r="L1953">
        <v>2200</v>
      </c>
      <c r="M1953">
        <v>2200</v>
      </c>
      <c r="N1953">
        <v>0</v>
      </c>
    </row>
    <row r="1954" spans="1:14" x14ac:dyDescent="0.25">
      <c r="A1954">
        <v>1645.0000130000001</v>
      </c>
      <c r="B1954" s="1">
        <f>DATE(2014,11,1) + TIME(0,0,1)</f>
        <v>41944.000011574077</v>
      </c>
      <c r="C1954">
        <v>80</v>
      </c>
      <c r="D1954">
        <v>79.959197997999993</v>
      </c>
      <c r="E1954">
        <v>50</v>
      </c>
      <c r="F1954">
        <v>47.190792084000002</v>
      </c>
      <c r="G1954">
        <v>1354.6568603999999</v>
      </c>
      <c r="H1954">
        <v>1343.7595214999999</v>
      </c>
      <c r="I1954">
        <v>1317.2275391000001</v>
      </c>
      <c r="J1954">
        <v>1297.9611815999999</v>
      </c>
      <c r="K1954">
        <v>0</v>
      </c>
      <c r="L1954">
        <v>2200</v>
      </c>
      <c r="M1954">
        <v>2200</v>
      </c>
      <c r="N1954">
        <v>0</v>
      </c>
    </row>
    <row r="1955" spans="1:14" x14ac:dyDescent="0.25">
      <c r="A1955">
        <v>1645.0000399999999</v>
      </c>
      <c r="B1955" s="1">
        <f>DATE(2014,11,1) + TIME(0,0,3)</f>
        <v>41944.000034722223</v>
      </c>
      <c r="C1955">
        <v>80</v>
      </c>
      <c r="D1955">
        <v>79.958351135000001</v>
      </c>
      <c r="E1955">
        <v>50</v>
      </c>
      <c r="F1955">
        <v>47.191963196000003</v>
      </c>
      <c r="G1955">
        <v>1348.7026367000001</v>
      </c>
      <c r="H1955">
        <v>1337.8070068</v>
      </c>
      <c r="I1955">
        <v>1325.8670654</v>
      </c>
      <c r="J1955">
        <v>1306.6984863</v>
      </c>
      <c r="K1955">
        <v>0</v>
      </c>
      <c r="L1955">
        <v>2200</v>
      </c>
      <c r="M1955">
        <v>2200</v>
      </c>
      <c r="N1955">
        <v>0</v>
      </c>
    </row>
    <row r="1956" spans="1:14" x14ac:dyDescent="0.25">
      <c r="A1956">
        <v>1645.000121</v>
      </c>
      <c r="B1956" s="1">
        <f>DATE(2014,11,1) + TIME(0,0,10)</f>
        <v>41944.000115740739</v>
      </c>
      <c r="C1956">
        <v>80</v>
      </c>
      <c r="D1956">
        <v>79.957397460999999</v>
      </c>
      <c r="E1956">
        <v>50</v>
      </c>
      <c r="F1956">
        <v>47.193569183000001</v>
      </c>
      <c r="G1956">
        <v>1342.0770264</v>
      </c>
      <c r="H1956">
        <v>1331.1855469</v>
      </c>
      <c r="I1956">
        <v>1336.7319336</v>
      </c>
      <c r="J1956">
        <v>1317.5532227000001</v>
      </c>
      <c r="K1956">
        <v>0</v>
      </c>
      <c r="L1956">
        <v>2200</v>
      </c>
      <c r="M1956">
        <v>2200</v>
      </c>
      <c r="N1956">
        <v>0</v>
      </c>
    </row>
    <row r="1957" spans="1:14" x14ac:dyDescent="0.25">
      <c r="A1957">
        <v>1645.000364</v>
      </c>
      <c r="B1957" s="1">
        <f>DATE(2014,11,1) + TIME(0,0,31)</f>
        <v>41944.000358796293</v>
      </c>
      <c r="C1957">
        <v>80</v>
      </c>
      <c r="D1957">
        <v>79.956413268999995</v>
      </c>
      <c r="E1957">
        <v>50</v>
      </c>
      <c r="F1957">
        <v>47.195758820000002</v>
      </c>
      <c r="G1957">
        <v>1335.4160156</v>
      </c>
      <c r="H1957">
        <v>1324.5279541</v>
      </c>
      <c r="I1957">
        <v>1348.1318358999999</v>
      </c>
      <c r="J1957">
        <v>1328.9273682</v>
      </c>
      <c r="K1957">
        <v>0</v>
      </c>
      <c r="L1957">
        <v>2200</v>
      </c>
      <c r="M1957">
        <v>2200</v>
      </c>
      <c r="N1957">
        <v>0</v>
      </c>
    </row>
    <row r="1958" spans="1:14" x14ac:dyDescent="0.25">
      <c r="A1958">
        <v>1645.0010930000001</v>
      </c>
      <c r="B1958" s="1">
        <f>DATE(2014,11,1) + TIME(0,1,34)</f>
        <v>41944.001087962963</v>
      </c>
      <c r="C1958">
        <v>80</v>
      </c>
      <c r="D1958">
        <v>79.955337524000001</v>
      </c>
      <c r="E1958">
        <v>50</v>
      </c>
      <c r="F1958">
        <v>47.199512482000003</v>
      </c>
      <c r="G1958">
        <v>1328.7088623</v>
      </c>
      <c r="H1958">
        <v>1317.7894286999999</v>
      </c>
      <c r="I1958">
        <v>1359.7010498</v>
      </c>
      <c r="J1958">
        <v>1340.4575195</v>
      </c>
      <c r="K1958">
        <v>0</v>
      </c>
      <c r="L1958">
        <v>2200</v>
      </c>
      <c r="M1958">
        <v>2200</v>
      </c>
      <c r="N1958">
        <v>0</v>
      </c>
    </row>
    <row r="1959" spans="1:14" x14ac:dyDescent="0.25">
      <c r="A1959">
        <v>1645.0032799999999</v>
      </c>
      <c r="B1959" s="1">
        <f>DATE(2014,11,1) + TIME(0,4,43)</f>
        <v>41944.003275462965</v>
      </c>
      <c r="C1959">
        <v>80</v>
      </c>
      <c r="D1959">
        <v>79.953987122000001</v>
      </c>
      <c r="E1959">
        <v>50</v>
      </c>
      <c r="F1959">
        <v>47.207923889</v>
      </c>
      <c r="G1959">
        <v>1321.8153076000001</v>
      </c>
      <c r="H1959">
        <v>1310.7667236</v>
      </c>
      <c r="I1959">
        <v>1371.3112793</v>
      </c>
      <c r="J1959">
        <v>1351.9650879000001</v>
      </c>
      <c r="K1959">
        <v>0</v>
      </c>
      <c r="L1959">
        <v>2200</v>
      </c>
      <c r="M1959">
        <v>2200</v>
      </c>
      <c r="N1959">
        <v>0</v>
      </c>
    </row>
    <row r="1960" spans="1:14" x14ac:dyDescent="0.25">
      <c r="A1960">
        <v>1645.0098410000001</v>
      </c>
      <c r="B1960" s="1">
        <f>DATE(2014,11,1) + TIME(0,14,10)</f>
        <v>41944.009837962964</v>
      </c>
      <c r="C1960">
        <v>80</v>
      </c>
      <c r="D1960">
        <v>79.951904296999999</v>
      </c>
      <c r="E1960">
        <v>50</v>
      </c>
      <c r="F1960">
        <v>47.230144500999998</v>
      </c>
      <c r="G1960">
        <v>1315.128418</v>
      </c>
      <c r="H1960">
        <v>1303.9243164</v>
      </c>
      <c r="I1960">
        <v>1381.7752685999999</v>
      </c>
      <c r="J1960">
        <v>1362.2767334</v>
      </c>
      <c r="K1960">
        <v>0</v>
      </c>
      <c r="L1960">
        <v>2200</v>
      </c>
      <c r="M1960">
        <v>2200</v>
      </c>
      <c r="N1960">
        <v>0</v>
      </c>
    </row>
    <row r="1961" spans="1:14" x14ac:dyDescent="0.25">
      <c r="A1961">
        <v>1645.029524</v>
      </c>
      <c r="B1961" s="1">
        <f>DATE(2014,11,1) + TIME(0,42,30)</f>
        <v>41944.029513888891</v>
      </c>
      <c r="C1961">
        <v>80</v>
      </c>
      <c r="D1961">
        <v>79.947814941000004</v>
      </c>
      <c r="E1961">
        <v>50</v>
      </c>
      <c r="F1961">
        <v>47.292793273999997</v>
      </c>
      <c r="G1961">
        <v>1309.9257812000001</v>
      </c>
      <c r="H1961">
        <v>1298.6466064000001</v>
      </c>
      <c r="I1961">
        <v>1388.9410399999999</v>
      </c>
      <c r="J1961">
        <v>1369.3400879000001</v>
      </c>
      <c r="K1961">
        <v>0</v>
      </c>
      <c r="L1961">
        <v>2200</v>
      </c>
      <c r="M1961">
        <v>2200</v>
      </c>
      <c r="N1961">
        <v>0</v>
      </c>
    </row>
    <row r="1962" spans="1:14" x14ac:dyDescent="0.25">
      <c r="A1962">
        <v>1645.088573</v>
      </c>
      <c r="B1962" s="1">
        <f>DATE(2014,11,1) + TIME(2,7,32)</f>
        <v>41944.088564814818</v>
      </c>
      <c r="C1962">
        <v>80</v>
      </c>
      <c r="D1962">
        <v>79.937843322999996</v>
      </c>
      <c r="E1962">
        <v>50</v>
      </c>
      <c r="F1962">
        <v>47.466716765999998</v>
      </c>
      <c r="G1962">
        <v>1307.3302002</v>
      </c>
      <c r="H1962">
        <v>1296.0313721</v>
      </c>
      <c r="I1962">
        <v>1391.7296143000001</v>
      </c>
      <c r="J1962">
        <v>1372.1513672000001</v>
      </c>
      <c r="K1962">
        <v>0</v>
      </c>
      <c r="L1962">
        <v>2200</v>
      </c>
      <c r="M1962">
        <v>2200</v>
      </c>
      <c r="N1962">
        <v>0</v>
      </c>
    </row>
    <row r="1963" spans="1:14" x14ac:dyDescent="0.25">
      <c r="A1963">
        <v>1645.1603050000001</v>
      </c>
      <c r="B1963" s="1">
        <f>DATE(2014,11,1) + TIME(3,50,50)</f>
        <v>41944.160300925927</v>
      </c>
      <c r="C1963">
        <v>80</v>
      </c>
      <c r="D1963">
        <v>79.926422118999994</v>
      </c>
      <c r="E1963">
        <v>50</v>
      </c>
      <c r="F1963">
        <v>47.661151885999999</v>
      </c>
      <c r="G1963">
        <v>1306.7585449000001</v>
      </c>
      <c r="H1963">
        <v>1295.4564209</v>
      </c>
      <c r="I1963">
        <v>1392.0124512</v>
      </c>
      <c r="J1963">
        <v>1372.5075684000001</v>
      </c>
      <c r="K1963">
        <v>0</v>
      </c>
      <c r="L1963">
        <v>2200</v>
      </c>
      <c r="M1963">
        <v>2200</v>
      </c>
      <c r="N1963">
        <v>0</v>
      </c>
    </row>
    <row r="1964" spans="1:14" x14ac:dyDescent="0.25">
      <c r="A1964">
        <v>1645.2360739999999</v>
      </c>
      <c r="B1964" s="1">
        <f>DATE(2014,11,1) + TIME(5,39,56)</f>
        <v>41944.236064814817</v>
      </c>
      <c r="C1964">
        <v>80</v>
      </c>
      <c r="D1964">
        <v>79.914695739999999</v>
      </c>
      <c r="E1964">
        <v>50</v>
      </c>
      <c r="F1964">
        <v>47.849586487000003</v>
      </c>
      <c r="G1964">
        <v>1306.6334228999999</v>
      </c>
      <c r="H1964">
        <v>1295.3303223</v>
      </c>
      <c r="I1964">
        <v>1391.8874512</v>
      </c>
      <c r="J1964">
        <v>1372.4606934000001</v>
      </c>
      <c r="K1964">
        <v>0</v>
      </c>
      <c r="L1964">
        <v>2200</v>
      </c>
      <c r="M1964">
        <v>2200</v>
      </c>
      <c r="N1964">
        <v>0</v>
      </c>
    </row>
    <row r="1965" spans="1:14" x14ac:dyDescent="0.25">
      <c r="A1965">
        <v>1645.3163520000001</v>
      </c>
      <c r="B1965" s="1">
        <f>DATE(2014,11,1) + TIME(7,35,32)</f>
        <v>41944.316342592596</v>
      </c>
      <c r="C1965">
        <v>80</v>
      </c>
      <c r="D1965">
        <v>79.902572632000002</v>
      </c>
      <c r="E1965">
        <v>50</v>
      </c>
      <c r="F1965">
        <v>48.031925201</v>
      </c>
      <c r="G1965">
        <v>1306.6013184000001</v>
      </c>
      <c r="H1965">
        <v>1295.2977295000001</v>
      </c>
      <c r="I1965">
        <v>1391.7161865</v>
      </c>
      <c r="J1965">
        <v>1372.3663329999999</v>
      </c>
      <c r="K1965">
        <v>0</v>
      </c>
      <c r="L1965">
        <v>2200</v>
      </c>
      <c r="M1965">
        <v>2200</v>
      </c>
      <c r="N1965">
        <v>0</v>
      </c>
    </row>
    <row r="1966" spans="1:14" x14ac:dyDescent="0.25">
      <c r="A1966">
        <v>1645.401775</v>
      </c>
      <c r="B1966" s="1">
        <f>DATE(2014,11,1) + TIME(9,38,33)</f>
        <v>41944.401770833334</v>
      </c>
      <c r="C1966">
        <v>80</v>
      </c>
      <c r="D1966">
        <v>79.889991760000001</v>
      </c>
      <c r="E1966">
        <v>50</v>
      </c>
      <c r="F1966">
        <v>48.208164214999996</v>
      </c>
      <c r="G1966">
        <v>1306.5905762</v>
      </c>
      <c r="H1966">
        <v>1295.286499</v>
      </c>
      <c r="I1966">
        <v>1391.5471190999999</v>
      </c>
      <c r="J1966">
        <v>1372.2719727000001</v>
      </c>
      <c r="K1966">
        <v>0</v>
      </c>
      <c r="L1966">
        <v>2200</v>
      </c>
      <c r="M1966">
        <v>2200</v>
      </c>
      <c r="N1966">
        <v>0</v>
      </c>
    </row>
    <row r="1967" spans="1:14" x14ac:dyDescent="0.25">
      <c r="A1967">
        <v>1645.493129</v>
      </c>
      <c r="B1967" s="1">
        <f>DATE(2014,11,1) + TIME(11,50,6)</f>
        <v>41944.493125000001</v>
      </c>
      <c r="C1967">
        <v>80</v>
      </c>
      <c r="D1967">
        <v>79.876861571999996</v>
      </c>
      <c r="E1967">
        <v>50</v>
      </c>
      <c r="F1967">
        <v>48.378307343000003</v>
      </c>
      <c r="G1967">
        <v>1306.5850829999999</v>
      </c>
      <c r="H1967">
        <v>1295.2805175999999</v>
      </c>
      <c r="I1967">
        <v>1391.3837891000001</v>
      </c>
      <c r="J1967">
        <v>1372.1811522999999</v>
      </c>
      <c r="K1967">
        <v>0</v>
      </c>
      <c r="L1967">
        <v>2200</v>
      </c>
      <c r="M1967">
        <v>2200</v>
      </c>
      <c r="N1967">
        <v>0</v>
      </c>
    </row>
    <row r="1968" spans="1:14" x14ac:dyDescent="0.25">
      <c r="A1968">
        <v>1645.591383</v>
      </c>
      <c r="B1968" s="1">
        <f>DATE(2014,11,1) + TIME(14,11,35)</f>
        <v>41944.591377314813</v>
      </c>
      <c r="C1968">
        <v>80</v>
      </c>
      <c r="D1968">
        <v>79.863090514999996</v>
      </c>
      <c r="E1968">
        <v>50</v>
      </c>
      <c r="F1968">
        <v>48.542316436999997</v>
      </c>
      <c r="G1968">
        <v>1306.5809326000001</v>
      </c>
      <c r="H1968">
        <v>1295.2758789</v>
      </c>
      <c r="I1968">
        <v>1391.2253418</v>
      </c>
      <c r="J1968">
        <v>1372.0928954999999</v>
      </c>
      <c r="K1968">
        <v>0</v>
      </c>
      <c r="L1968">
        <v>2200</v>
      </c>
      <c r="M1968">
        <v>2200</v>
      </c>
      <c r="N1968">
        <v>0</v>
      </c>
    </row>
    <row r="1969" spans="1:14" x14ac:dyDescent="0.25">
      <c r="A1969">
        <v>1645.6977529999999</v>
      </c>
      <c r="B1969" s="1">
        <f>DATE(2014,11,1) + TIME(16,44,45)</f>
        <v>41944.697743055556</v>
      </c>
      <c r="C1969">
        <v>80</v>
      </c>
      <c r="D1969">
        <v>79.848564147999994</v>
      </c>
      <c r="E1969">
        <v>50</v>
      </c>
      <c r="F1969">
        <v>48.700122833000002</v>
      </c>
      <c r="G1969">
        <v>1306.5769043</v>
      </c>
      <c r="H1969">
        <v>1295.2713623</v>
      </c>
      <c r="I1969">
        <v>1391.0710449000001</v>
      </c>
      <c r="J1969">
        <v>1372.0064697</v>
      </c>
      <c r="K1969">
        <v>0</v>
      </c>
      <c r="L1969">
        <v>2200</v>
      </c>
      <c r="M1969">
        <v>2200</v>
      </c>
      <c r="N1969">
        <v>0</v>
      </c>
    </row>
    <row r="1970" spans="1:14" x14ac:dyDescent="0.25">
      <c r="A1970">
        <v>1645.8137690000001</v>
      </c>
      <c r="B1970" s="1">
        <f>DATE(2014,11,1) + TIME(19,31,49)</f>
        <v>41944.813761574071</v>
      </c>
      <c r="C1970">
        <v>80</v>
      </c>
      <c r="D1970">
        <v>79.833145142000006</v>
      </c>
      <c r="E1970">
        <v>50</v>
      </c>
      <c r="F1970">
        <v>48.851593018000003</v>
      </c>
      <c r="G1970">
        <v>1306.5726318</v>
      </c>
      <c r="H1970">
        <v>1295.2666016000001</v>
      </c>
      <c r="I1970">
        <v>1390.9202881000001</v>
      </c>
      <c r="J1970">
        <v>1371.9216309000001</v>
      </c>
      <c r="K1970">
        <v>0</v>
      </c>
      <c r="L1970">
        <v>2200</v>
      </c>
      <c r="M1970">
        <v>2200</v>
      </c>
      <c r="N1970">
        <v>0</v>
      </c>
    </row>
    <row r="1971" spans="1:14" x14ac:dyDescent="0.25">
      <c r="A1971">
        <v>1645.9414509999999</v>
      </c>
      <c r="B1971" s="1">
        <f>DATE(2014,11,1) + TIME(22,35,41)</f>
        <v>41944.941446759258</v>
      </c>
      <c r="C1971">
        <v>80</v>
      </c>
      <c r="D1971">
        <v>79.816635132000002</v>
      </c>
      <c r="E1971">
        <v>50</v>
      </c>
      <c r="F1971">
        <v>48.996570587000001</v>
      </c>
      <c r="G1971">
        <v>1306.5681152</v>
      </c>
      <c r="H1971">
        <v>1295.2613524999999</v>
      </c>
      <c r="I1971">
        <v>1390.7730713000001</v>
      </c>
      <c r="J1971">
        <v>1371.8380127</v>
      </c>
      <c r="K1971">
        <v>0</v>
      </c>
      <c r="L1971">
        <v>2200</v>
      </c>
      <c r="M1971">
        <v>2200</v>
      </c>
      <c r="N1971">
        <v>0</v>
      </c>
    </row>
    <row r="1972" spans="1:14" x14ac:dyDescent="0.25">
      <c r="A1972">
        <v>1646.083486</v>
      </c>
      <c r="B1972" s="1">
        <f>DATE(2014,11,2) + TIME(2,0,13)</f>
        <v>41945.083483796298</v>
      </c>
      <c r="C1972">
        <v>80</v>
      </c>
      <c r="D1972">
        <v>79.798797606999997</v>
      </c>
      <c r="E1972">
        <v>50</v>
      </c>
      <c r="F1972">
        <v>49.134838104000004</v>
      </c>
      <c r="G1972">
        <v>1306.5631103999999</v>
      </c>
      <c r="H1972">
        <v>1295.2557373</v>
      </c>
      <c r="I1972">
        <v>1390.6290283000001</v>
      </c>
      <c r="J1972">
        <v>1371.7556152</v>
      </c>
      <c r="K1972">
        <v>0</v>
      </c>
      <c r="L1972">
        <v>2200</v>
      </c>
      <c r="M1972">
        <v>2200</v>
      </c>
      <c r="N1972">
        <v>0</v>
      </c>
    </row>
    <row r="1973" spans="1:14" x14ac:dyDescent="0.25">
      <c r="A1973">
        <v>1646.2435359999999</v>
      </c>
      <c r="B1973" s="1">
        <f>DATE(2014,11,2) + TIME(5,50,41)</f>
        <v>41945.243530092594</v>
      </c>
      <c r="C1973">
        <v>80</v>
      </c>
      <c r="D1973">
        <v>79.779319763000004</v>
      </c>
      <c r="E1973">
        <v>50</v>
      </c>
      <c r="F1973">
        <v>49.266075133999998</v>
      </c>
      <c r="G1973">
        <v>1306.5576172000001</v>
      </c>
      <c r="H1973">
        <v>1295.2495117000001</v>
      </c>
      <c r="I1973">
        <v>1390.4881591999999</v>
      </c>
      <c r="J1973">
        <v>1371.6740723</v>
      </c>
      <c r="K1973">
        <v>0</v>
      </c>
      <c r="L1973">
        <v>2200</v>
      </c>
      <c r="M1973">
        <v>2200</v>
      </c>
      <c r="N1973">
        <v>0</v>
      </c>
    </row>
    <row r="1974" spans="1:14" x14ac:dyDescent="0.25">
      <c r="A1974">
        <v>1646.42678</v>
      </c>
      <c r="B1974" s="1">
        <f>DATE(2014,11,2) + TIME(10,14,33)</f>
        <v>41945.426770833335</v>
      </c>
      <c r="C1974">
        <v>80</v>
      </c>
      <c r="D1974">
        <v>79.757759093999994</v>
      </c>
      <c r="E1974">
        <v>50</v>
      </c>
      <c r="F1974">
        <v>49.389842987000002</v>
      </c>
      <c r="G1974">
        <v>1306.5515137</v>
      </c>
      <c r="H1974">
        <v>1295.2425536999999</v>
      </c>
      <c r="I1974">
        <v>1390.3499756000001</v>
      </c>
      <c r="J1974">
        <v>1371.5932617000001</v>
      </c>
      <c r="K1974">
        <v>0</v>
      </c>
      <c r="L1974">
        <v>2200</v>
      </c>
      <c r="M1974">
        <v>2200</v>
      </c>
      <c r="N1974">
        <v>0</v>
      </c>
    </row>
    <row r="1975" spans="1:14" x14ac:dyDescent="0.25">
      <c r="A1975">
        <v>1646.640832</v>
      </c>
      <c r="B1975" s="1">
        <f>DATE(2014,11,2) + TIME(15,22,47)</f>
        <v>41945.640821759262</v>
      </c>
      <c r="C1975">
        <v>80</v>
      </c>
      <c r="D1975">
        <v>79.733482361</v>
      </c>
      <c r="E1975">
        <v>50</v>
      </c>
      <c r="F1975">
        <v>49.505558014000002</v>
      </c>
      <c r="G1975">
        <v>1306.5445557</v>
      </c>
      <c r="H1975">
        <v>1295.2346190999999</v>
      </c>
      <c r="I1975">
        <v>1390.2144774999999</v>
      </c>
      <c r="J1975">
        <v>1371.5129394999999</v>
      </c>
      <c r="K1975">
        <v>0</v>
      </c>
      <c r="L1975">
        <v>2200</v>
      </c>
      <c r="M1975">
        <v>2200</v>
      </c>
      <c r="N1975">
        <v>0</v>
      </c>
    </row>
    <row r="1976" spans="1:14" x14ac:dyDescent="0.25">
      <c r="A1976">
        <v>1646.8974639999999</v>
      </c>
      <c r="B1976" s="1">
        <f>DATE(2014,11,2) + TIME(21,32,20)</f>
        <v>41945.897453703707</v>
      </c>
      <c r="C1976">
        <v>80</v>
      </c>
      <c r="D1976">
        <v>79.705589294000006</v>
      </c>
      <c r="E1976">
        <v>50</v>
      </c>
      <c r="F1976">
        <v>49.612400055000002</v>
      </c>
      <c r="G1976">
        <v>1306.5366211</v>
      </c>
      <c r="H1976">
        <v>1295.2254639</v>
      </c>
      <c r="I1976">
        <v>1390.0812988</v>
      </c>
      <c r="J1976">
        <v>1371.4326172000001</v>
      </c>
      <c r="K1976">
        <v>0</v>
      </c>
      <c r="L1976">
        <v>2200</v>
      </c>
      <c r="M1976">
        <v>2200</v>
      </c>
      <c r="N1976">
        <v>0</v>
      </c>
    </row>
    <row r="1977" spans="1:14" x14ac:dyDescent="0.25">
      <c r="A1977">
        <v>1647.16148</v>
      </c>
      <c r="B1977" s="1">
        <f>DATE(2014,11,3) + TIME(3,52,31)</f>
        <v>41946.161469907405</v>
      </c>
      <c r="C1977">
        <v>80</v>
      </c>
      <c r="D1977">
        <v>79.677024841000005</v>
      </c>
      <c r="E1977">
        <v>50</v>
      </c>
      <c r="F1977">
        <v>49.696544647000003</v>
      </c>
      <c r="G1977">
        <v>1306.5269774999999</v>
      </c>
      <c r="H1977">
        <v>1295.2148437999999</v>
      </c>
      <c r="I1977">
        <v>1389.965332</v>
      </c>
      <c r="J1977">
        <v>1371.3604736</v>
      </c>
      <c r="K1977">
        <v>0</v>
      </c>
      <c r="L1977">
        <v>2200</v>
      </c>
      <c r="M1977">
        <v>2200</v>
      </c>
      <c r="N1977">
        <v>0</v>
      </c>
    </row>
    <row r="1978" spans="1:14" x14ac:dyDescent="0.25">
      <c r="A1978">
        <v>1647.4316670000001</v>
      </c>
      <c r="B1978" s="1">
        <f>DATE(2014,11,3) + TIME(10,21,35)</f>
        <v>41946.431655092594</v>
      </c>
      <c r="C1978">
        <v>80</v>
      </c>
      <c r="D1978">
        <v>79.647926330999994</v>
      </c>
      <c r="E1978">
        <v>50</v>
      </c>
      <c r="F1978">
        <v>49.762138366999999</v>
      </c>
      <c r="G1978">
        <v>1306.5170897999999</v>
      </c>
      <c r="H1978">
        <v>1295.2038574000001</v>
      </c>
      <c r="I1978">
        <v>1389.8654785000001</v>
      </c>
      <c r="J1978">
        <v>1371.2971190999999</v>
      </c>
      <c r="K1978">
        <v>0</v>
      </c>
      <c r="L1978">
        <v>2200</v>
      </c>
      <c r="M1978">
        <v>2200</v>
      </c>
      <c r="N1978">
        <v>0</v>
      </c>
    </row>
    <row r="1979" spans="1:14" x14ac:dyDescent="0.25">
      <c r="A1979">
        <v>1647.7121520000001</v>
      </c>
      <c r="B1979" s="1">
        <f>DATE(2014,11,3) + TIME(17,5,29)</f>
        <v>41946.712141203701</v>
      </c>
      <c r="C1979">
        <v>80</v>
      </c>
      <c r="D1979">
        <v>79.617988585999996</v>
      </c>
      <c r="E1979">
        <v>50</v>
      </c>
      <c r="F1979">
        <v>49.813575745000001</v>
      </c>
      <c r="G1979">
        <v>1306.5070800999999</v>
      </c>
      <c r="H1979">
        <v>1295.1926269999999</v>
      </c>
      <c r="I1979">
        <v>1389.7784423999999</v>
      </c>
      <c r="J1979">
        <v>1371.2408447</v>
      </c>
      <c r="K1979">
        <v>0</v>
      </c>
      <c r="L1979">
        <v>2200</v>
      </c>
      <c r="M1979">
        <v>2200</v>
      </c>
      <c r="N1979">
        <v>0</v>
      </c>
    </row>
    <row r="1980" spans="1:14" x14ac:dyDescent="0.25">
      <c r="A1980">
        <v>1648.00665</v>
      </c>
      <c r="B1980" s="1">
        <f>DATE(2014,11,4) + TIME(0,9,34)</f>
        <v>41947.006643518522</v>
      </c>
      <c r="C1980">
        <v>80</v>
      </c>
      <c r="D1980">
        <v>79.586936950999998</v>
      </c>
      <c r="E1980">
        <v>50</v>
      </c>
      <c r="F1980">
        <v>49.853908539000003</v>
      </c>
      <c r="G1980">
        <v>1306.4967041</v>
      </c>
      <c r="H1980">
        <v>1295.1811522999999</v>
      </c>
      <c r="I1980">
        <v>1389.7012939000001</v>
      </c>
      <c r="J1980">
        <v>1371.1899414</v>
      </c>
      <c r="K1980">
        <v>0</v>
      </c>
      <c r="L1980">
        <v>2200</v>
      </c>
      <c r="M1980">
        <v>2200</v>
      </c>
      <c r="N1980">
        <v>0</v>
      </c>
    </row>
    <row r="1981" spans="1:14" x14ac:dyDescent="0.25">
      <c r="A1981">
        <v>1648.319328</v>
      </c>
      <c r="B1981" s="1">
        <f>DATE(2014,11,4) + TIME(7,39,49)</f>
        <v>41947.31931712963</v>
      </c>
      <c r="C1981">
        <v>80</v>
      </c>
      <c r="D1981">
        <v>79.554443359000004</v>
      </c>
      <c r="E1981">
        <v>50</v>
      </c>
      <c r="F1981">
        <v>49.885421753000003</v>
      </c>
      <c r="G1981">
        <v>1306.4859618999999</v>
      </c>
      <c r="H1981">
        <v>1295.1690673999999</v>
      </c>
      <c r="I1981">
        <v>1389.6318358999999</v>
      </c>
      <c r="J1981">
        <v>1371.1431885</v>
      </c>
      <c r="K1981">
        <v>0</v>
      </c>
      <c r="L1981">
        <v>2200</v>
      </c>
      <c r="M1981">
        <v>2200</v>
      </c>
      <c r="N1981">
        <v>0</v>
      </c>
    </row>
    <row r="1982" spans="1:14" x14ac:dyDescent="0.25">
      <c r="A1982">
        <v>1648.655188</v>
      </c>
      <c r="B1982" s="1">
        <f>DATE(2014,11,4) + TIME(15,43,28)</f>
        <v>41947.655185185184</v>
      </c>
      <c r="C1982">
        <v>80</v>
      </c>
      <c r="D1982">
        <v>79.520118713000002</v>
      </c>
      <c r="E1982">
        <v>50</v>
      </c>
      <c r="F1982">
        <v>49.909881591999998</v>
      </c>
      <c r="G1982">
        <v>1306.4747314000001</v>
      </c>
      <c r="H1982">
        <v>1295.15625</v>
      </c>
      <c r="I1982">
        <v>1389.5684814000001</v>
      </c>
      <c r="J1982">
        <v>1371.0997314000001</v>
      </c>
      <c r="K1982">
        <v>0</v>
      </c>
      <c r="L1982">
        <v>2200</v>
      </c>
      <c r="M1982">
        <v>2200</v>
      </c>
      <c r="N1982">
        <v>0</v>
      </c>
    </row>
    <row r="1983" spans="1:14" x14ac:dyDescent="0.25">
      <c r="A1983">
        <v>1649.0137259999999</v>
      </c>
      <c r="B1983" s="1">
        <f>DATE(2014,11,5) + TIME(0,19,45)</f>
        <v>41948.013715277775</v>
      </c>
      <c r="C1983">
        <v>80</v>
      </c>
      <c r="D1983">
        <v>79.483985900999997</v>
      </c>
      <c r="E1983">
        <v>50</v>
      </c>
      <c r="F1983">
        <v>49.928428650000001</v>
      </c>
      <c r="G1983">
        <v>1306.4626464999999</v>
      </c>
      <c r="H1983">
        <v>1295.1427002</v>
      </c>
      <c r="I1983">
        <v>1389.5100098</v>
      </c>
      <c r="J1983">
        <v>1371.0588379000001</v>
      </c>
      <c r="K1983">
        <v>0</v>
      </c>
      <c r="L1983">
        <v>2200</v>
      </c>
      <c r="M1983">
        <v>2200</v>
      </c>
      <c r="N1983">
        <v>0</v>
      </c>
    </row>
    <row r="1984" spans="1:14" x14ac:dyDescent="0.25">
      <c r="A1984">
        <v>1649.3996890000001</v>
      </c>
      <c r="B1984" s="1">
        <f>DATE(2014,11,5) + TIME(9,35,33)</f>
        <v>41948.399687500001</v>
      </c>
      <c r="C1984">
        <v>80</v>
      </c>
      <c r="D1984">
        <v>79.445693969999994</v>
      </c>
      <c r="E1984">
        <v>50</v>
      </c>
      <c r="F1984">
        <v>49.942329407000003</v>
      </c>
      <c r="G1984">
        <v>1306.4498291</v>
      </c>
      <c r="H1984">
        <v>1295.1281738</v>
      </c>
      <c r="I1984">
        <v>1389.4556885</v>
      </c>
      <c r="J1984">
        <v>1371.0201416</v>
      </c>
      <c r="K1984">
        <v>0</v>
      </c>
      <c r="L1984">
        <v>2200</v>
      </c>
      <c r="M1984">
        <v>2200</v>
      </c>
      <c r="N1984">
        <v>0</v>
      </c>
    </row>
    <row r="1985" spans="1:14" x14ac:dyDescent="0.25">
      <c r="A1985">
        <v>1649.819735</v>
      </c>
      <c r="B1985" s="1">
        <f>DATE(2014,11,5) + TIME(19,40,25)</f>
        <v>41948.819733796299</v>
      </c>
      <c r="C1985">
        <v>80</v>
      </c>
      <c r="D1985">
        <v>79.404769896999994</v>
      </c>
      <c r="E1985">
        <v>50</v>
      </c>
      <c r="F1985">
        <v>49.952610016000001</v>
      </c>
      <c r="G1985">
        <v>1306.4360352000001</v>
      </c>
      <c r="H1985">
        <v>1295.1126709</v>
      </c>
      <c r="I1985">
        <v>1389.4042969</v>
      </c>
      <c r="J1985">
        <v>1370.9830322</v>
      </c>
      <c r="K1985">
        <v>0</v>
      </c>
      <c r="L1985">
        <v>2200</v>
      </c>
      <c r="M1985">
        <v>2200</v>
      </c>
      <c r="N1985">
        <v>0</v>
      </c>
    </row>
    <row r="1986" spans="1:14" x14ac:dyDescent="0.25">
      <c r="A1986">
        <v>1650.282344</v>
      </c>
      <c r="B1986" s="1">
        <f>DATE(2014,11,6) + TIME(6,46,34)</f>
        <v>41949.282337962963</v>
      </c>
      <c r="C1986">
        <v>80</v>
      </c>
      <c r="D1986">
        <v>79.360610961999996</v>
      </c>
      <c r="E1986">
        <v>50</v>
      </c>
      <c r="F1986">
        <v>49.960094452</v>
      </c>
      <c r="G1986">
        <v>1306.4211425999999</v>
      </c>
      <c r="H1986">
        <v>1295.0958252</v>
      </c>
      <c r="I1986">
        <v>1389.3547363</v>
      </c>
      <c r="J1986">
        <v>1370.9468993999999</v>
      </c>
      <c r="K1986">
        <v>0</v>
      </c>
      <c r="L1986">
        <v>2200</v>
      </c>
      <c r="M1986">
        <v>2200</v>
      </c>
      <c r="N1986">
        <v>0</v>
      </c>
    </row>
    <row r="1987" spans="1:14" x14ac:dyDescent="0.25">
      <c r="A1987">
        <v>1650.798912</v>
      </c>
      <c r="B1987" s="1">
        <f>DATE(2014,11,6) + TIME(19,10,25)</f>
        <v>41949.798900462964</v>
      </c>
      <c r="C1987">
        <v>80</v>
      </c>
      <c r="D1987">
        <v>79.312438964999998</v>
      </c>
      <c r="E1987">
        <v>50</v>
      </c>
      <c r="F1987">
        <v>49.965431213000002</v>
      </c>
      <c r="G1987">
        <v>1306.4047852000001</v>
      </c>
      <c r="H1987">
        <v>1295.0772704999999</v>
      </c>
      <c r="I1987">
        <v>1389.3062743999999</v>
      </c>
      <c r="J1987">
        <v>1370.9110106999999</v>
      </c>
      <c r="K1987">
        <v>0</v>
      </c>
      <c r="L1987">
        <v>2200</v>
      </c>
      <c r="M1987">
        <v>2200</v>
      </c>
      <c r="N1987">
        <v>0</v>
      </c>
    </row>
    <row r="1988" spans="1:14" x14ac:dyDescent="0.25">
      <c r="A1988">
        <v>1651.36042</v>
      </c>
      <c r="B1988" s="1">
        <f>DATE(2014,11,7) + TIME(8,39,0)</f>
        <v>41950.36041666667</v>
      </c>
      <c r="C1988">
        <v>80</v>
      </c>
      <c r="D1988">
        <v>79.260589600000003</v>
      </c>
      <c r="E1988">
        <v>50</v>
      </c>
      <c r="F1988">
        <v>49.969051360999998</v>
      </c>
      <c r="G1988">
        <v>1306.3865966999999</v>
      </c>
      <c r="H1988">
        <v>1295.0567627</v>
      </c>
      <c r="I1988">
        <v>1389.2578125</v>
      </c>
      <c r="J1988">
        <v>1370.875</v>
      </c>
      <c r="K1988">
        <v>0</v>
      </c>
      <c r="L1988">
        <v>2200</v>
      </c>
      <c r="M1988">
        <v>2200</v>
      </c>
      <c r="N1988">
        <v>0</v>
      </c>
    </row>
    <row r="1989" spans="1:14" x14ac:dyDescent="0.25">
      <c r="A1989">
        <v>1651.9259489999999</v>
      </c>
      <c r="B1989" s="1">
        <f>DATE(2014,11,7) + TIME(22,13,22)</f>
        <v>41950.925949074073</v>
      </c>
      <c r="C1989">
        <v>80</v>
      </c>
      <c r="D1989">
        <v>79.207374572999996</v>
      </c>
      <c r="E1989">
        <v>50</v>
      </c>
      <c r="F1989">
        <v>49.971340179000002</v>
      </c>
      <c r="G1989">
        <v>1306.3666992000001</v>
      </c>
      <c r="H1989">
        <v>1295.0345459</v>
      </c>
      <c r="I1989">
        <v>1389.2104492000001</v>
      </c>
      <c r="J1989">
        <v>1370.8394774999999</v>
      </c>
      <c r="K1989">
        <v>0</v>
      </c>
      <c r="L1989">
        <v>2200</v>
      </c>
      <c r="M1989">
        <v>2200</v>
      </c>
      <c r="N1989">
        <v>0</v>
      </c>
    </row>
    <row r="1990" spans="1:14" x14ac:dyDescent="0.25">
      <c r="A1990">
        <v>1652.5036520000001</v>
      </c>
      <c r="B1990" s="1">
        <f>DATE(2014,11,8) + TIME(12,5,15)</f>
        <v>41951.503645833334</v>
      </c>
      <c r="C1990">
        <v>80</v>
      </c>
      <c r="D1990">
        <v>79.152931213000002</v>
      </c>
      <c r="E1990">
        <v>50</v>
      </c>
      <c r="F1990">
        <v>49.972808837999999</v>
      </c>
      <c r="G1990">
        <v>1306.3468018000001</v>
      </c>
      <c r="H1990">
        <v>1295.0120850000001</v>
      </c>
      <c r="I1990">
        <v>1389.1669922000001</v>
      </c>
      <c r="J1990">
        <v>1370.8068848</v>
      </c>
      <c r="K1990">
        <v>0</v>
      </c>
      <c r="L1990">
        <v>2200</v>
      </c>
      <c r="M1990">
        <v>2200</v>
      </c>
      <c r="N1990">
        <v>0</v>
      </c>
    </row>
    <row r="1991" spans="1:14" x14ac:dyDescent="0.25">
      <c r="A1991">
        <v>1653.101275</v>
      </c>
      <c r="B1991" s="1">
        <f>DATE(2014,11,9) + TIME(2,25,50)</f>
        <v>41952.101273148146</v>
      </c>
      <c r="C1991">
        <v>80</v>
      </c>
      <c r="D1991">
        <v>79.097084045000003</v>
      </c>
      <c r="E1991">
        <v>50</v>
      </c>
      <c r="F1991">
        <v>49.973770141999999</v>
      </c>
      <c r="G1991">
        <v>1306.3264160000001</v>
      </c>
      <c r="H1991">
        <v>1294.9891356999999</v>
      </c>
      <c r="I1991">
        <v>1389.1260986</v>
      </c>
      <c r="J1991">
        <v>1370.7763672000001</v>
      </c>
      <c r="K1991">
        <v>0</v>
      </c>
      <c r="L1991">
        <v>2200</v>
      </c>
      <c r="M1991">
        <v>2200</v>
      </c>
      <c r="N1991">
        <v>0</v>
      </c>
    </row>
    <row r="1992" spans="1:14" x14ac:dyDescent="0.25">
      <c r="A1992">
        <v>1653.7265709999999</v>
      </c>
      <c r="B1992" s="1">
        <f>DATE(2014,11,9) + TIME(17,26,15)</f>
        <v>41952.7265625</v>
      </c>
      <c r="C1992">
        <v>80</v>
      </c>
      <c r="D1992">
        <v>79.039466857999997</v>
      </c>
      <c r="E1992">
        <v>50</v>
      </c>
      <c r="F1992">
        <v>49.974403381000002</v>
      </c>
      <c r="G1992">
        <v>1306.3055420000001</v>
      </c>
      <c r="H1992">
        <v>1294.965332</v>
      </c>
      <c r="I1992">
        <v>1389.0870361</v>
      </c>
      <c r="J1992">
        <v>1370.7470702999999</v>
      </c>
      <c r="K1992">
        <v>0</v>
      </c>
      <c r="L1992">
        <v>2200</v>
      </c>
      <c r="M1992">
        <v>2200</v>
      </c>
      <c r="N1992">
        <v>0</v>
      </c>
    </row>
    <row r="1993" spans="1:14" x14ac:dyDescent="0.25">
      <c r="A1993">
        <v>1654.3879979999999</v>
      </c>
      <c r="B1993" s="1">
        <f>DATE(2014,11,10) + TIME(9,18,43)</f>
        <v>41953.387997685182</v>
      </c>
      <c r="C1993">
        <v>80</v>
      </c>
      <c r="D1993">
        <v>78.979591369999994</v>
      </c>
      <c r="E1993">
        <v>50</v>
      </c>
      <c r="F1993">
        <v>49.974830627000003</v>
      </c>
      <c r="G1993">
        <v>1306.2835693</v>
      </c>
      <c r="H1993">
        <v>1294.9404297000001</v>
      </c>
      <c r="I1993">
        <v>1389.0490723</v>
      </c>
      <c r="J1993">
        <v>1370.71875</v>
      </c>
      <c r="K1993">
        <v>0</v>
      </c>
      <c r="L1993">
        <v>2200</v>
      </c>
      <c r="M1993">
        <v>2200</v>
      </c>
      <c r="N1993">
        <v>0</v>
      </c>
    </row>
    <row r="1994" spans="1:14" x14ac:dyDescent="0.25">
      <c r="A1994">
        <v>1655.0957539999999</v>
      </c>
      <c r="B1994" s="1">
        <f>DATE(2014,11,11) + TIME(2,17,53)</f>
        <v>41954.095752314817</v>
      </c>
      <c r="C1994">
        <v>80</v>
      </c>
      <c r="D1994">
        <v>78.916809082</v>
      </c>
      <c r="E1994">
        <v>50</v>
      </c>
      <c r="F1994">
        <v>49.975116730000003</v>
      </c>
      <c r="G1994">
        <v>1306.2604980000001</v>
      </c>
      <c r="H1994">
        <v>1294.9140625</v>
      </c>
      <c r="I1994">
        <v>1389.0117187999999</v>
      </c>
      <c r="J1994">
        <v>1370.690918</v>
      </c>
      <c r="K1994">
        <v>0</v>
      </c>
      <c r="L1994">
        <v>2200</v>
      </c>
      <c r="M1994">
        <v>2200</v>
      </c>
      <c r="N1994">
        <v>0</v>
      </c>
    </row>
    <row r="1995" spans="1:14" x14ac:dyDescent="0.25">
      <c r="A1995">
        <v>1655.862588</v>
      </c>
      <c r="B1995" s="1">
        <f>DATE(2014,11,11) + TIME(20,42,7)</f>
        <v>41954.862581018519</v>
      </c>
      <c r="C1995">
        <v>80</v>
      </c>
      <c r="D1995">
        <v>78.850318908999995</v>
      </c>
      <c r="E1995">
        <v>50</v>
      </c>
      <c r="F1995">
        <v>49.975315094000003</v>
      </c>
      <c r="G1995">
        <v>1306.2357178</v>
      </c>
      <c r="H1995">
        <v>1294.8857422000001</v>
      </c>
      <c r="I1995">
        <v>1388.9744873</v>
      </c>
      <c r="J1995">
        <v>1370.6632079999999</v>
      </c>
      <c r="K1995">
        <v>0</v>
      </c>
      <c r="L1995">
        <v>2200</v>
      </c>
      <c r="M1995">
        <v>2200</v>
      </c>
      <c r="N1995">
        <v>0</v>
      </c>
    </row>
    <row r="1996" spans="1:14" x14ac:dyDescent="0.25">
      <c r="A1996">
        <v>1656.6916510000001</v>
      </c>
      <c r="B1996" s="1">
        <f>DATE(2014,11,12) + TIME(16,35,58)</f>
        <v>41955.691643518519</v>
      </c>
      <c r="C1996">
        <v>80</v>
      </c>
      <c r="D1996">
        <v>78.779678344999994</v>
      </c>
      <c r="E1996">
        <v>50</v>
      </c>
      <c r="F1996">
        <v>49.975456238</v>
      </c>
      <c r="G1996">
        <v>1306.2087402</v>
      </c>
      <c r="H1996">
        <v>1294.8551024999999</v>
      </c>
      <c r="I1996">
        <v>1388.9367675999999</v>
      </c>
      <c r="J1996">
        <v>1370.635376</v>
      </c>
      <c r="K1996">
        <v>0</v>
      </c>
      <c r="L1996">
        <v>2200</v>
      </c>
      <c r="M1996">
        <v>2200</v>
      </c>
      <c r="N1996">
        <v>0</v>
      </c>
    </row>
    <row r="1997" spans="1:14" x14ac:dyDescent="0.25">
      <c r="A1997">
        <v>1657.5802719999999</v>
      </c>
      <c r="B1997" s="1">
        <f>DATE(2014,11,13) + TIME(13,55,35)</f>
        <v>41956.580266203702</v>
      </c>
      <c r="C1997">
        <v>80</v>
      </c>
      <c r="D1997">
        <v>78.704811096</v>
      </c>
      <c r="E1997">
        <v>50</v>
      </c>
      <c r="F1997">
        <v>49.975551605</v>
      </c>
      <c r="G1997">
        <v>1306.1795654</v>
      </c>
      <c r="H1997">
        <v>1294.8217772999999</v>
      </c>
      <c r="I1997">
        <v>1388.8988036999999</v>
      </c>
      <c r="J1997">
        <v>1370.6072998</v>
      </c>
      <c r="K1997">
        <v>0</v>
      </c>
      <c r="L1997">
        <v>2200</v>
      </c>
      <c r="M1997">
        <v>2200</v>
      </c>
      <c r="N1997">
        <v>0</v>
      </c>
    </row>
    <row r="1998" spans="1:14" x14ac:dyDescent="0.25">
      <c r="A1998">
        <v>1658.495132</v>
      </c>
      <c r="B1998" s="1">
        <f>DATE(2014,11,14) + TIME(11,52,59)</f>
        <v>41957.495127314818</v>
      </c>
      <c r="C1998">
        <v>80</v>
      </c>
      <c r="D1998">
        <v>78.627120972</v>
      </c>
      <c r="E1998">
        <v>50</v>
      </c>
      <c r="F1998">
        <v>49.975616455000001</v>
      </c>
      <c r="G1998">
        <v>1306.1481934000001</v>
      </c>
      <c r="H1998">
        <v>1294.7860106999999</v>
      </c>
      <c r="I1998">
        <v>1388.8608397999999</v>
      </c>
      <c r="J1998">
        <v>1370.5792236</v>
      </c>
      <c r="K1998">
        <v>0</v>
      </c>
      <c r="L1998">
        <v>2200</v>
      </c>
      <c r="M1998">
        <v>2200</v>
      </c>
      <c r="N1998">
        <v>0</v>
      </c>
    </row>
    <row r="1999" spans="1:14" x14ac:dyDescent="0.25">
      <c r="A1999">
        <v>1659.4215099999999</v>
      </c>
      <c r="B1999" s="1">
        <f>DATE(2014,11,15) + TIME(10,6,58)</f>
        <v>41958.42150462963</v>
      </c>
      <c r="C1999">
        <v>80</v>
      </c>
      <c r="D1999">
        <v>78.547996521000002</v>
      </c>
      <c r="E1999">
        <v>50</v>
      </c>
      <c r="F1999">
        <v>49.975662231000001</v>
      </c>
      <c r="G1999">
        <v>1306.1156006000001</v>
      </c>
      <c r="H1999">
        <v>1294.7489014</v>
      </c>
      <c r="I1999">
        <v>1388.8243408000001</v>
      </c>
      <c r="J1999">
        <v>1370.5524902</v>
      </c>
      <c r="K1999">
        <v>0</v>
      </c>
      <c r="L1999">
        <v>2200</v>
      </c>
      <c r="M1999">
        <v>2200</v>
      </c>
      <c r="N1999">
        <v>0</v>
      </c>
    </row>
    <row r="2000" spans="1:14" x14ac:dyDescent="0.25">
      <c r="A2000">
        <v>1660.371637</v>
      </c>
      <c r="B2000" s="1">
        <f>DATE(2014,11,16) + TIME(8,55,9)</f>
        <v>41959.371631944443</v>
      </c>
      <c r="C2000">
        <v>80</v>
      </c>
      <c r="D2000">
        <v>78.467643738000007</v>
      </c>
      <c r="E2000">
        <v>50</v>
      </c>
      <c r="F2000">
        <v>49.975692748999997</v>
      </c>
      <c r="G2000">
        <v>1306.0825195</v>
      </c>
      <c r="H2000">
        <v>1294.7108154</v>
      </c>
      <c r="I2000">
        <v>1388.7897949000001</v>
      </c>
      <c r="J2000">
        <v>1370.5270995999999</v>
      </c>
      <c r="K2000">
        <v>0</v>
      </c>
      <c r="L2000">
        <v>2200</v>
      </c>
      <c r="M2000">
        <v>2200</v>
      </c>
      <c r="N2000">
        <v>0</v>
      </c>
    </row>
    <row r="2001" spans="1:14" x14ac:dyDescent="0.25">
      <c r="A2001">
        <v>1661.3576089999999</v>
      </c>
      <c r="B2001" s="1">
        <f>DATE(2014,11,17) + TIME(8,34,57)</f>
        <v>41960.357604166667</v>
      </c>
      <c r="C2001">
        <v>80</v>
      </c>
      <c r="D2001">
        <v>78.385696410999998</v>
      </c>
      <c r="E2001">
        <v>50</v>
      </c>
      <c r="F2001">
        <v>49.975719452</v>
      </c>
      <c r="G2001">
        <v>1306.0484618999999</v>
      </c>
      <c r="H2001">
        <v>1294.6715088000001</v>
      </c>
      <c r="I2001">
        <v>1388.7565918</v>
      </c>
      <c r="J2001">
        <v>1370.5028076000001</v>
      </c>
      <c r="K2001">
        <v>0</v>
      </c>
      <c r="L2001">
        <v>2200</v>
      </c>
      <c r="M2001">
        <v>2200</v>
      </c>
      <c r="N2001">
        <v>0</v>
      </c>
    </row>
    <row r="2002" spans="1:14" x14ac:dyDescent="0.25">
      <c r="A2002">
        <v>1662.3923930000001</v>
      </c>
      <c r="B2002" s="1">
        <f>DATE(2014,11,18) + TIME(9,25,2)</f>
        <v>41961.392384259256</v>
      </c>
      <c r="C2002">
        <v>80</v>
      </c>
      <c r="D2002">
        <v>78.301490783999995</v>
      </c>
      <c r="E2002">
        <v>50</v>
      </c>
      <c r="F2002">
        <v>49.975738524999997</v>
      </c>
      <c r="G2002">
        <v>1306.0129394999999</v>
      </c>
      <c r="H2002">
        <v>1294.6303711</v>
      </c>
      <c r="I2002">
        <v>1388.723999</v>
      </c>
      <c r="J2002">
        <v>1370.4790039</v>
      </c>
      <c r="K2002">
        <v>0</v>
      </c>
      <c r="L2002">
        <v>2200</v>
      </c>
      <c r="M2002">
        <v>2200</v>
      </c>
      <c r="N2002">
        <v>0</v>
      </c>
    </row>
    <row r="2003" spans="1:14" x14ac:dyDescent="0.25">
      <c r="A2003">
        <v>1663.490955</v>
      </c>
      <c r="B2003" s="1">
        <f>DATE(2014,11,19) + TIME(11,46,58)</f>
        <v>41962.490949074076</v>
      </c>
      <c r="C2003">
        <v>80</v>
      </c>
      <c r="D2003">
        <v>78.214164733999993</v>
      </c>
      <c r="E2003">
        <v>50</v>
      </c>
      <c r="F2003">
        <v>49.975753783999998</v>
      </c>
      <c r="G2003">
        <v>1305.9753418</v>
      </c>
      <c r="H2003">
        <v>1294.5866699000001</v>
      </c>
      <c r="I2003">
        <v>1388.6918945</v>
      </c>
      <c r="J2003">
        <v>1370.4555664</v>
      </c>
      <c r="K2003">
        <v>0</v>
      </c>
      <c r="L2003">
        <v>2200</v>
      </c>
      <c r="M2003">
        <v>2200</v>
      </c>
      <c r="N2003">
        <v>0</v>
      </c>
    </row>
    <row r="2004" spans="1:14" x14ac:dyDescent="0.25">
      <c r="A2004">
        <v>1664.672016</v>
      </c>
      <c r="B2004" s="1">
        <f>DATE(2014,11,20) + TIME(16,7,42)</f>
        <v>41963.672013888892</v>
      </c>
      <c r="C2004">
        <v>80</v>
      </c>
      <c r="D2004">
        <v>78.122619628999999</v>
      </c>
      <c r="E2004">
        <v>50</v>
      </c>
      <c r="F2004">
        <v>49.975765228</v>
      </c>
      <c r="G2004">
        <v>1305.9350586</v>
      </c>
      <c r="H2004">
        <v>1294.5397949000001</v>
      </c>
      <c r="I2004">
        <v>1388.659668</v>
      </c>
      <c r="J2004">
        <v>1370.4321289</v>
      </c>
      <c r="K2004">
        <v>0</v>
      </c>
      <c r="L2004">
        <v>2200</v>
      </c>
      <c r="M2004">
        <v>2200</v>
      </c>
      <c r="N2004">
        <v>0</v>
      </c>
    </row>
    <row r="2005" spans="1:14" x14ac:dyDescent="0.25">
      <c r="A2005">
        <v>1665.9595879999999</v>
      </c>
      <c r="B2005" s="1">
        <f>DATE(2014,11,21) + TIME(23,1,48)</f>
        <v>41964.959583333337</v>
      </c>
      <c r="C2005">
        <v>80</v>
      </c>
      <c r="D2005">
        <v>78.025527953999998</v>
      </c>
      <c r="E2005">
        <v>50</v>
      </c>
      <c r="F2005">
        <v>49.975780487000002</v>
      </c>
      <c r="G2005">
        <v>1305.8914795000001</v>
      </c>
      <c r="H2005">
        <v>1294.4887695</v>
      </c>
      <c r="I2005">
        <v>1388.6269531</v>
      </c>
      <c r="J2005">
        <v>1370.4084473</v>
      </c>
      <c r="K2005">
        <v>0</v>
      </c>
      <c r="L2005">
        <v>2200</v>
      </c>
      <c r="M2005">
        <v>2200</v>
      </c>
      <c r="N2005">
        <v>0</v>
      </c>
    </row>
    <row r="2006" spans="1:14" x14ac:dyDescent="0.25">
      <c r="A2006">
        <v>1667.2592110000001</v>
      </c>
      <c r="B2006" s="1">
        <f>DATE(2014,11,23) + TIME(6,13,15)</f>
        <v>41966.259201388886</v>
      </c>
      <c r="C2006">
        <v>80</v>
      </c>
      <c r="D2006">
        <v>77.925041199000006</v>
      </c>
      <c r="E2006">
        <v>50</v>
      </c>
      <c r="F2006">
        <v>49.975791931000003</v>
      </c>
      <c r="G2006">
        <v>1305.8431396000001</v>
      </c>
      <c r="H2006">
        <v>1294.4326172000001</v>
      </c>
      <c r="I2006">
        <v>1388.5932617000001</v>
      </c>
      <c r="J2006">
        <v>1370.3840332</v>
      </c>
      <c r="K2006">
        <v>0</v>
      </c>
      <c r="L2006">
        <v>2200</v>
      </c>
      <c r="M2006">
        <v>2200</v>
      </c>
      <c r="N2006">
        <v>0</v>
      </c>
    </row>
    <row r="2007" spans="1:14" x14ac:dyDescent="0.25">
      <c r="A2007">
        <v>1668.5756060000001</v>
      </c>
      <c r="B2007" s="1">
        <f>DATE(2014,11,24) + TIME(13,48,52)</f>
        <v>41967.575601851851</v>
      </c>
      <c r="C2007">
        <v>80</v>
      </c>
      <c r="D2007">
        <v>77.823303222999996</v>
      </c>
      <c r="E2007">
        <v>50</v>
      </c>
      <c r="F2007">
        <v>49.975803374999998</v>
      </c>
      <c r="G2007">
        <v>1305.7938231999999</v>
      </c>
      <c r="H2007">
        <v>1294.3746338000001</v>
      </c>
      <c r="I2007">
        <v>1388.5612793</v>
      </c>
      <c r="J2007">
        <v>1370.3608397999999</v>
      </c>
      <c r="K2007">
        <v>0</v>
      </c>
      <c r="L2007">
        <v>2200</v>
      </c>
      <c r="M2007">
        <v>2200</v>
      </c>
      <c r="N2007">
        <v>0</v>
      </c>
    </row>
    <row r="2008" spans="1:14" x14ac:dyDescent="0.25">
      <c r="A2008">
        <v>1669.926076</v>
      </c>
      <c r="B2008" s="1">
        <f>DATE(2014,11,25) + TIME(22,13,33)</f>
        <v>41968.926076388889</v>
      </c>
      <c r="C2008">
        <v>80</v>
      </c>
      <c r="D2008">
        <v>77.720596313000001</v>
      </c>
      <c r="E2008">
        <v>50</v>
      </c>
      <c r="F2008">
        <v>49.975814819</v>
      </c>
      <c r="G2008">
        <v>1305.7431641000001</v>
      </c>
      <c r="H2008">
        <v>1294.3148193</v>
      </c>
      <c r="I2008">
        <v>1388.5306396000001</v>
      </c>
      <c r="J2008">
        <v>1370.3386230000001</v>
      </c>
      <c r="K2008">
        <v>0</v>
      </c>
      <c r="L2008">
        <v>2200</v>
      </c>
      <c r="M2008">
        <v>2200</v>
      </c>
      <c r="N2008">
        <v>0</v>
      </c>
    </row>
    <row r="2009" spans="1:14" x14ac:dyDescent="0.25">
      <c r="A2009">
        <v>1671.3281139999999</v>
      </c>
      <c r="B2009" s="1">
        <f>DATE(2014,11,27) + TIME(7,52,29)</f>
        <v>41970.328113425923</v>
      </c>
      <c r="C2009">
        <v>80</v>
      </c>
      <c r="D2009">
        <v>77.616325377999999</v>
      </c>
      <c r="E2009">
        <v>50</v>
      </c>
      <c r="F2009">
        <v>49.975826263000002</v>
      </c>
      <c r="G2009">
        <v>1305.6905518000001</v>
      </c>
      <c r="H2009">
        <v>1294.2521973</v>
      </c>
      <c r="I2009">
        <v>1388.5008545000001</v>
      </c>
      <c r="J2009">
        <v>1370.3171387</v>
      </c>
      <c r="K2009">
        <v>0</v>
      </c>
      <c r="L2009">
        <v>2200</v>
      </c>
      <c r="M2009">
        <v>2200</v>
      </c>
      <c r="N2009">
        <v>0</v>
      </c>
    </row>
    <row r="2010" spans="1:14" x14ac:dyDescent="0.25">
      <c r="A2010">
        <v>1672.8008150000001</v>
      </c>
      <c r="B2010" s="1">
        <f>DATE(2014,11,28) + TIME(19,13,10)</f>
        <v>41971.800810185188</v>
      </c>
      <c r="C2010">
        <v>80</v>
      </c>
      <c r="D2010">
        <v>77.509490967000005</v>
      </c>
      <c r="E2010">
        <v>50</v>
      </c>
      <c r="F2010">
        <v>49.975837708</v>
      </c>
      <c r="G2010">
        <v>1305.6351318</v>
      </c>
      <c r="H2010">
        <v>1294.1859131000001</v>
      </c>
      <c r="I2010">
        <v>1388.4714355000001</v>
      </c>
      <c r="J2010">
        <v>1370.2958983999999</v>
      </c>
      <c r="K2010">
        <v>0</v>
      </c>
      <c r="L2010">
        <v>2200</v>
      </c>
      <c r="M2010">
        <v>2200</v>
      </c>
      <c r="N2010">
        <v>0</v>
      </c>
    </row>
    <row r="2011" spans="1:14" x14ac:dyDescent="0.25">
      <c r="A2011">
        <v>1674.3668290000001</v>
      </c>
      <c r="B2011" s="1">
        <f>DATE(2014,11,30) + TIME(8,48,13)</f>
        <v>41973.36681712963</v>
      </c>
      <c r="C2011">
        <v>80</v>
      </c>
      <c r="D2011">
        <v>77.398872374999996</v>
      </c>
      <c r="E2011">
        <v>50</v>
      </c>
      <c r="F2011">
        <v>49.975852965999998</v>
      </c>
      <c r="G2011">
        <v>1305.5759277</v>
      </c>
      <c r="H2011">
        <v>1294.1148682</v>
      </c>
      <c r="I2011">
        <v>1388.4421387</v>
      </c>
      <c r="J2011">
        <v>1370.2747803</v>
      </c>
      <c r="K2011">
        <v>0</v>
      </c>
      <c r="L2011">
        <v>2200</v>
      </c>
      <c r="M2011">
        <v>2200</v>
      </c>
      <c r="N2011">
        <v>0</v>
      </c>
    </row>
    <row r="2012" spans="1:14" x14ac:dyDescent="0.25">
      <c r="A2012">
        <v>1675</v>
      </c>
      <c r="B2012" s="1">
        <f>DATE(2014,12,1) + TIME(0,0,0)</f>
        <v>41974</v>
      </c>
      <c r="C2012">
        <v>80</v>
      </c>
      <c r="D2012">
        <v>77.326034546000002</v>
      </c>
      <c r="E2012">
        <v>50</v>
      </c>
      <c r="F2012">
        <v>49.975852965999998</v>
      </c>
      <c r="G2012">
        <v>1305.5111084</v>
      </c>
      <c r="H2012">
        <v>1294.041626</v>
      </c>
      <c r="I2012">
        <v>1388.4119873</v>
      </c>
      <c r="J2012">
        <v>1370.2529297000001</v>
      </c>
      <c r="K2012">
        <v>0</v>
      </c>
      <c r="L2012">
        <v>2200</v>
      </c>
      <c r="M2012">
        <v>2200</v>
      </c>
      <c r="N2012">
        <v>0</v>
      </c>
    </row>
    <row r="2013" spans="1:14" x14ac:dyDescent="0.25">
      <c r="A2013">
        <v>1676.629995</v>
      </c>
      <c r="B2013" s="1">
        <f>DATE(2014,12,2) + TIME(15,7,11)</f>
        <v>41975.629988425928</v>
      </c>
      <c r="C2013">
        <v>80</v>
      </c>
      <c r="D2013">
        <v>77.228981017999999</v>
      </c>
      <c r="E2013">
        <v>50</v>
      </c>
      <c r="F2013">
        <v>49.975872039999999</v>
      </c>
      <c r="G2013">
        <v>1305.4847411999999</v>
      </c>
      <c r="H2013">
        <v>1294.0035399999999</v>
      </c>
      <c r="I2013">
        <v>1388.4008789</v>
      </c>
      <c r="J2013">
        <v>1370.2449951000001</v>
      </c>
      <c r="K2013">
        <v>0</v>
      </c>
      <c r="L2013">
        <v>2200</v>
      </c>
      <c r="M2013">
        <v>2200</v>
      </c>
      <c r="N2013">
        <v>0</v>
      </c>
    </row>
    <row r="2014" spans="1:14" x14ac:dyDescent="0.25">
      <c r="A2014">
        <v>1678.3117999999999</v>
      </c>
      <c r="B2014" s="1">
        <f>DATE(2014,12,4) + TIME(7,28,59)</f>
        <v>41977.311793981484</v>
      </c>
      <c r="C2014">
        <v>80</v>
      </c>
      <c r="D2014">
        <v>77.118446349999999</v>
      </c>
      <c r="E2014">
        <v>50</v>
      </c>
      <c r="F2014">
        <v>49.975887299</v>
      </c>
      <c r="G2014">
        <v>1305.416626</v>
      </c>
      <c r="H2014">
        <v>1293.9219971</v>
      </c>
      <c r="I2014">
        <v>1388.3720702999999</v>
      </c>
      <c r="J2014">
        <v>1370.2242432</v>
      </c>
      <c r="K2014">
        <v>0</v>
      </c>
      <c r="L2014">
        <v>2200</v>
      </c>
      <c r="M2014">
        <v>2200</v>
      </c>
      <c r="N2014">
        <v>0</v>
      </c>
    </row>
    <row r="2015" spans="1:14" x14ac:dyDescent="0.25">
      <c r="A2015">
        <v>1680.0336520000001</v>
      </c>
      <c r="B2015" s="1">
        <f>DATE(2014,12,6) + TIME(0,48,27)</f>
        <v>41979.033645833333</v>
      </c>
      <c r="C2015">
        <v>80</v>
      </c>
      <c r="D2015">
        <v>77.002052307</v>
      </c>
      <c r="E2015">
        <v>50</v>
      </c>
      <c r="F2015">
        <v>49.975902556999998</v>
      </c>
      <c r="G2015">
        <v>1305.3447266000001</v>
      </c>
      <c r="H2015">
        <v>1293.8344727000001</v>
      </c>
      <c r="I2015">
        <v>1388.34375</v>
      </c>
      <c r="J2015">
        <v>1370.2037353999999</v>
      </c>
      <c r="K2015">
        <v>0</v>
      </c>
      <c r="L2015">
        <v>2200</v>
      </c>
      <c r="M2015">
        <v>2200</v>
      </c>
      <c r="N2015">
        <v>0</v>
      </c>
    </row>
    <row r="2016" spans="1:14" x14ac:dyDescent="0.25">
      <c r="A2016">
        <v>1681.7835950000001</v>
      </c>
      <c r="B2016" s="1">
        <f>DATE(2014,12,7) + TIME(18,48,22)</f>
        <v>41980.783587962964</v>
      </c>
      <c r="C2016">
        <v>80</v>
      </c>
      <c r="D2016">
        <v>76.883209229000002</v>
      </c>
      <c r="E2016">
        <v>50</v>
      </c>
      <c r="F2016">
        <v>49.975921630999999</v>
      </c>
      <c r="G2016">
        <v>1305.2692870999999</v>
      </c>
      <c r="H2016">
        <v>1293.7421875</v>
      </c>
      <c r="I2016">
        <v>1388.3160399999999</v>
      </c>
      <c r="J2016">
        <v>1370.1837158000001</v>
      </c>
      <c r="K2016">
        <v>0</v>
      </c>
      <c r="L2016">
        <v>2200</v>
      </c>
      <c r="M2016">
        <v>2200</v>
      </c>
      <c r="N2016">
        <v>0</v>
      </c>
    </row>
    <row r="2017" spans="1:14" x14ac:dyDescent="0.25">
      <c r="A2017">
        <v>1683.5589190000001</v>
      </c>
      <c r="B2017" s="1">
        <f>DATE(2014,12,9) + TIME(13,24,50)</f>
        <v>41982.558912037035</v>
      </c>
      <c r="C2017">
        <v>80</v>
      </c>
      <c r="D2017">
        <v>76.763473511000001</v>
      </c>
      <c r="E2017">
        <v>50</v>
      </c>
      <c r="F2017">
        <v>49.97593689</v>
      </c>
      <c r="G2017">
        <v>1305.190918</v>
      </c>
      <c r="H2017">
        <v>1293.6455077999999</v>
      </c>
      <c r="I2017">
        <v>1388.2891846</v>
      </c>
      <c r="J2017">
        <v>1370.1643065999999</v>
      </c>
      <c r="K2017">
        <v>0</v>
      </c>
      <c r="L2017">
        <v>2200</v>
      </c>
      <c r="M2017">
        <v>2200</v>
      </c>
      <c r="N2017">
        <v>0</v>
      </c>
    </row>
    <row r="2018" spans="1:14" x14ac:dyDescent="0.25">
      <c r="A2018">
        <v>1685.364879</v>
      </c>
      <c r="B2018" s="1">
        <f>DATE(2014,12,11) + TIME(8,45,25)</f>
        <v>41984.364872685182</v>
      </c>
      <c r="C2018">
        <v>80</v>
      </c>
      <c r="D2018">
        <v>76.643325806000007</v>
      </c>
      <c r="E2018">
        <v>50</v>
      </c>
      <c r="F2018">
        <v>49.975955962999997</v>
      </c>
      <c r="G2018">
        <v>1305.1097411999999</v>
      </c>
      <c r="H2018">
        <v>1293.5447998</v>
      </c>
      <c r="I2018">
        <v>1388.2630615</v>
      </c>
      <c r="J2018">
        <v>1370.1453856999999</v>
      </c>
      <c r="K2018">
        <v>0</v>
      </c>
      <c r="L2018">
        <v>2200</v>
      </c>
      <c r="M2018">
        <v>2200</v>
      </c>
      <c r="N2018">
        <v>0</v>
      </c>
    </row>
    <row r="2019" spans="1:14" x14ac:dyDescent="0.25">
      <c r="A2019">
        <v>1687.2063470000001</v>
      </c>
      <c r="B2019" s="1">
        <f>DATE(2014,12,13) + TIME(4,57,8)</f>
        <v>41986.206342592595</v>
      </c>
      <c r="C2019">
        <v>80</v>
      </c>
      <c r="D2019">
        <v>76.522720336999996</v>
      </c>
      <c r="E2019">
        <v>50</v>
      </c>
      <c r="F2019">
        <v>49.975971221999998</v>
      </c>
      <c r="G2019">
        <v>1305.0252685999999</v>
      </c>
      <c r="H2019">
        <v>1293.4394531</v>
      </c>
      <c r="I2019">
        <v>1388.2375488</v>
      </c>
      <c r="J2019">
        <v>1370.1269531</v>
      </c>
      <c r="K2019">
        <v>0</v>
      </c>
      <c r="L2019">
        <v>2200</v>
      </c>
      <c r="M2019">
        <v>2200</v>
      </c>
      <c r="N2019">
        <v>0</v>
      </c>
    </row>
    <row r="2020" spans="1:14" x14ac:dyDescent="0.25">
      <c r="A2020">
        <v>1689.0886599999999</v>
      </c>
      <c r="B2020" s="1">
        <f>DATE(2014,12,15) + TIME(2,7,40)</f>
        <v>41988.08865740741</v>
      </c>
      <c r="C2020">
        <v>80</v>
      </c>
      <c r="D2020">
        <v>76.401412964000002</v>
      </c>
      <c r="E2020">
        <v>50</v>
      </c>
      <c r="F2020">
        <v>49.975990295000003</v>
      </c>
      <c r="G2020">
        <v>1304.9372559000001</v>
      </c>
      <c r="H2020">
        <v>1293.3289795000001</v>
      </c>
      <c r="I2020">
        <v>1388.2125243999999</v>
      </c>
      <c r="J2020">
        <v>1370.1088867000001</v>
      </c>
      <c r="K2020">
        <v>0</v>
      </c>
      <c r="L2020">
        <v>2200</v>
      </c>
      <c r="M2020">
        <v>2200</v>
      </c>
      <c r="N2020">
        <v>0</v>
      </c>
    </row>
    <row r="2021" spans="1:14" x14ac:dyDescent="0.25">
      <c r="A2021">
        <v>1691.016153</v>
      </c>
      <c r="B2021" s="1">
        <f>DATE(2014,12,17) + TIME(0,23,15)</f>
        <v>41990.016145833331</v>
      </c>
      <c r="C2021">
        <v>80</v>
      </c>
      <c r="D2021">
        <v>76.279136657999999</v>
      </c>
      <c r="E2021">
        <v>50</v>
      </c>
      <c r="F2021">
        <v>49.976013184000003</v>
      </c>
      <c r="G2021">
        <v>1304.8452147999999</v>
      </c>
      <c r="H2021">
        <v>1293.2130127</v>
      </c>
      <c r="I2021">
        <v>1388.1881103999999</v>
      </c>
      <c r="J2021">
        <v>1370.0910644999999</v>
      </c>
      <c r="K2021">
        <v>0</v>
      </c>
      <c r="L2021">
        <v>2200</v>
      </c>
      <c r="M2021">
        <v>2200</v>
      </c>
      <c r="N2021">
        <v>0</v>
      </c>
    </row>
    <row r="2022" spans="1:14" x14ac:dyDescent="0.25">
      <c r="A2022">
        <v>1692.9933699999999</v>
      </c>
      <c r="B2022" s="1">
        <f>DATE(2014,12,18) + TIME(23,50,27)</f>
        <v>41991.993368055555</v>
      </c>
      <c r="C2022">
        <v>80</v>
      </c>
      <c r="D2022">
        <v>76.15562439</v>
      </c>
      <c r="E2022">
        <v>50</v>
      </c>
      <c r="F2022">
        <v>49.976032257</v>
      </c>
      <c r="G2022">
        <v>1304.7487793</v>
      </c>
      <c r="H2022">
        <v>1293.0908202999999</v>
      </c>
      <c r="I2022">
        <v>1388.1639404</v>
      </c>
      <c r="J2022">
        <v>1370.0734863</v>
      </c>
      <c r="K2022">
        <v>0</v>
      </c>
      <c r="L2022">
        <v>2200</v>
      </c>
      <c r="M2022">
        <v>2200</v>
      </c>
      <c r="N2022">
        <v>0</v>
      </c>
    </row>
    <row r="2023" spans="1:14" x14ac:dyDescent="0.25">
      <c r="A2023">
        <v>1695.0140690000001</v>
      </c>
      <c r="B2023" s="1">
        <f>DATE(2014,12,21) + TIME(0,20,15)</f>
        <v>41994.014062499999</v>
      </c>
      <c r="C2023">
        <v>80</v>
      </c>
      <c r="D2023">
        <v>76.030799865999995</v>
      </c>
      <c r="E2023">
        <v>50</v>
      </c>
      <c r="F2023">
        <v>49.976055144999997</v>
      </c>
      <c r="G2023">
        <v>1304.6477050999999</v>
      </c>
      <c r="H2023">
        <v>1292.9621582</v>
      </c>
      <c r="I2023">
        <v>1388.1400146000001</v>
      </c>
      <c r="J2023">
        <v>1370.0561522999999</v>
      </c>
      <c r="K2023">
        <v>0</v>
      </c>
      <c r="L2023">
        <v>2200</v>
      </c>
      <c r="M2023">
        <v>2200</v>
      </c>
      <c r="N2023">
        <v>0</v>
      </c>
    </row>
    <row r="2024" spans="1:14" x14ac:dyDescent="0.25">
      <c r="A2024">
        <v>1697.071704</v>
      </c>
      <c r="B2024" s="1">
        <f>DATE(2014,12,23) + TIME(1,43,15)</f>
        <v>41996.071701388886</v>
      </c>
      <c r="C2024">
        <v>80</v>
      </c>
      <c r="D2024">
        <v>75.904922485</v>
      </c>
      <c r="E2024">
        <v>50</v>
      </c>
      <c r="F2024">
        <v>49.976074218999997</v>
      </c>
      <c r="G2024">
        <v>1304.5418701000001</v>
      </c>
      <c r="H2024">
        <v>1292.8267822</v>
      </c>
      <c r="I2024">
        <v>1388.1165771000001</v>
      </c>
      <c r="J2024">
        <v>1370.0389404</v>
      </c>
      <c r="K2024">
        <v>0</v>
      </c>
      <c r="L2024">
        <v>2200</v>
      </c>
      <c r="M2024">
        <v>2200</v>
      </c>
      <c r="N2024">
        <v>0</v>
      </c>
    </row>
    <row r="2025" spans="1:14" x14ac:dyDescent="0.25">
      <c r="A2025">
        <v>1699.1694070000001</v>
      </c>
      <c r="B2025" s="1">
        <f>DATE(2014,12,25) + TIME(4,3,56)</f>
        <v>41998.169398148151</v>
      </c>
      <c r="C2025">
        <v>80</v>
      </c>
      <c r="D2025">
        <v>75.778144835999996</v>
      </c>
      <c r="E2025">
        <v>50</v>
      </c>
      <c r="F2025">
        <v>49.976097107000001</v>
      </c>
      <c r="G2025">
        <v>1304.4315185999999</v>
      </c>
      <c r="H2025">
        <v>1292.6849365</v>
      </c>
      <c r="I2025">
        <v>1388.0933838000001</v>
      </c>
      <c r="J2025">
        <v>1370.0220947</v>
      </c>
      <c r="K2025">
        <v>0</v>
      </c>
      <c r="L2025">
        <v>2200</v>
      </c>
      <c r="M2025">
        <v>2200</v>
      </c>
      <c r="N2025">
        <v>0</v>
      </c>
    </row>
    <row r="2026" spans="1:14" x14ac:dyDescent="0.25">
      <c r="A2026">
        <v>1701.288742</v>
      </c>
      <c r="B2026" s="1">
        <f>DATE(2014,12,27) + TIME(6,55,47)</f>
        <v>42000.288738425923</v>
      </c>
      <c r="C2026">
        <v>80</v>
      </c>
      <c r="D2026">
        <v>75.650749207000004</v>
      </c>
      <c r="E2026">
        <v>50</v>
      </c>
      <c r="F2026">
        <v>49.976119994999998</v>
      </c>
      <c r="G2026">
        <v>1304.3165283000001</v>
      </c>
      <c r="H2026">
        <v>1292.5363769999999</v>
      </c>
      <c r="I2026">
        <v>1388.0706786999999</v>
      </c>
      <c r="J2026">
        <v>1370.0054932</v>
      </c>
      <c r="K2026">
        <v>0</v>
      </c>
      <c r="L2026">
        <v>2200</v>
      </c>
      <c r="M2026">
        <v>2200</v>
      </c>
      <c r="N2026">
        <v>0</v>
      </c>
    </row>
    <row r="2027" spans="1:14" x14ac:dyDescent="0.25">
      <c r="A2027">
        <v>1703.4337169999999</v>
      </c>
      <c r="B2027" s="1">
        <f>DATE(2014,12,29) + TIME(10,24,33)</f>
        <v>42002.433715277781</v>
      </c>
      <c r="C2027">
        <v>80</v>
      </c>
      <c r="D2027">
        <v>75.523132324000002</v>
      </c>
      <c r="E2027">
        <v>50</v>
      </c>
      <c r="F2027">
        <v>49.976142883000001</v>
      </c>
      <c r="G2027">
        <v>1304.1975098</v>
      </c>
      <c r="H2027">
        <v>1292.3819579999999</v>
      </c>
      <c r="I2027">
        <v>1388.0484618999999</v>
      </c>
      <c r="J2027">
        <v>1369.9891356999999</v>
      </c>
      <c r="K2027">
        <v>0</v>
      </c>
      <c r="L2027">
        <v>2200</v>
      </c>
      <c r="M2027">
        <v>2200</v>
      </c>
      <c r="N2027">
        <v>0</v>
      </c>
    </row>
    <row r="2028" spans="1:14" x14ac:dyDescent="0.25">
      <c r="A2028">
        <v>1705.6100289999999</v>
      </c>
      <c r="B2028" s="1">
        <f>DATE(2014,12,31) + TIME(14,38,26)</f>
        <v>42004.610023148147</v>
      </c>
      <c r="C2028">
        <v>80</v>
      </c>
      <c r="D2028">
        <v>75.395172118999994</v>
      </c>
      <c r="E2028">
        <v>50</v>
      </c>
      <c r="F2028">
        <v>49.976165770999998</v>
      </c>
      <c r="G2028">
        <v>1304.0742187999999</v>
      </c>
      <c r="H2028">
        <v>1292.2213135</v>
      </c>
      <c r="I2028">
        <v>1388.0266113</v>
      </c>
      <c r="J2028">
        <v>1369.9731445</v>
      </c>
      <c r="K2028">
        <v>0</v>
      </c>
      <c r="L2028">
        <v>2200</v>
      </c>
      <c r="M2028">
        <v>2200</v>
      </c>
      <c r="N2028">
        <v>0</v>
      </c>
    </row>
    <row r="2029" spans="1:14" x14ac:dyDescent="0.25">
      <c r="A2029">
        <v>1706</v>
      </c>
      <c r="B2029" s="1">
        <f>DATE(2015,1,1) + TIME(0,0,0)</f>
        <v>42005</v>
      </c>
      <c r="C2029">
        <v>80</v>
      </c>
      <c r="D2029">
        <v>75.340965271000002</v>
      </c>
      <c r="E2029">
        <v>50</v>
      </c>
      <c r="F2029">
        <v>49.976169585999997</v>
      </c>
      <c r="G2029">
        <v>1303.9534911999999</v>
      </c>
      <c r="H2029">
        <v>1292.0750731999999</v>
      </c>
      <c r="I2029">
        <v>1388.0043945</v>
      </c>
      <c r="J2029">
        <v>1369.9566649999999</v>
      </c>
      <c r="K2029">
        <v>0</v>
      </c>
      <c r="L2029">
        <v>2200</v>
      </c>
      <c r="M2029">
        <v>2200</v>
      </c>
      <c r="N2029">
        <v>0</v>
      </c>
    </row>
    <row r="2030" spans="1:14" x14ac:dyDescent="0.25">
      <c r="A2030">
        <v>1708.212569</v>
      </c>
      <c r="B2030" s="1">
        <f>DATE(2015,1,3) + TIME(5,6,5)</f>
        <v>42007.212557870371</v>
      </c>
      <c r="C2030">
        <v>80</v>
      </c>
      <c r="D2030">
        <v>75.234497070000003</v>
      </c>
      <c r="E2030">
        <v>50</v>
      </c>
      <c r="F2030">
        <v>49.976196289000001</v>
      </c>
      <c r="G2030">
        <v>1303.9193115</v>
      </c>
      <c r="H2030">
        <v>1292.0161132999999</v>
      </c>
      <c r="I2030">
        <v>1388.0014647999999</v>
      </c>
      <c r="J2030">
        <v>1369.9545897999999</v>
      </c>
      <c r="K2030">
        <v>0</v>
      </c>
      <c r="L2030">
        <v>2200</v>
      </c>
      <c r="M2030">
        <v>2200</v>
      </c>
      <c r="N2030">
        <v>0</v>
      </c>
    </row>
    <row r="2031" spans="1:14" x14ac:dyDescent="0.25">
      <c r="A2031">
        <v>1710.4746990000001</v>
      </c>
      <c r="B2031" s="1">
        <f>DATE(2015,1,5) + TIME(11,23,33)</f>
        <v>42009.474687499998</v>
      </c>
      <c r="C2031">
        <v>80</v>
      </c>
      <c r="D2031">
        <v>75.111358643000003</v>
      </c>
      <c r="E2031">
        <v>50</v>
      </c>
      <c r="F2031">
        <v>49.976219176999997</v>
      </c>
      <c r="G2031">
        <v>1303.7886963000001</v>
      </c>
      <c r="H2031">
        <v>1291.8458252</v>
      </c>
      <c r="I2031">
        <v>1387.9804687999999</v>
      </c>
      <c r="J2031">
        <v>1369.9392089999999</v>
      </c>
      <c r="K2031">
        <v>0</v>
      </c>
      <c r="L2031">
        <v>2200</v>
      </c>
      <c r="M2031">
        <v>2200</v>
      </c>
      <c r="N2031">
        <v>0</v>
      </c>
    </row>
    <row r="2032" spans="1:14" x14ac:dyDescent="0.25">
      <c r="A2032">
        <v>1712.782565</v>
      </c>
      <c r="B2032" s="1">
        <f>DATE(2015,1,7) + TIME(18,46,53)</f>
        <v>42011.782557870371</v>
      </c>
      <c r="C2032">
        <v>80</v>
      </c>
      <c r="D2032">
        <v>74.982040405000006</v>
      </c>
      <c r="E2032">
        <v>50</v>
      </c>
      <c r="F2032">
        <v>49.97624588</v>
      </c>
      <c r="G2032">
        <v>1303.6500243999999</v>
      </c>
      <c r="H2032">
        <v>1291.6633300999999</v>
      </c>
      <c r="I2032">
        <v>1387.9597168</v>
      </c>
      <c r="J2032">
        <v>1369.9238281</v>
      </c>
      <c r="K2032">
        <v>0</v>
      </c>
      <c r="L2032">
        <v>2200</v>
      </c>
      <c r="M2032">
        <v>2200</v>
      </c>
      <c r="N2032">
        <v>0</v>
      </c>
    </row>
    <row r="2033" spans="1:14" x14ac:dyDescent="0.25">
      <c r="A2033">
        <v>1715.123214</v>
      </c>
      <c r="B2033" s="1">
        <f>DATE(2015,1,10) + TIME(2,57,25)</f>
        <v>42014.123206018521</v>
      </c>
      <c r="C2033">
        <v>80</v>
      </c>
      <c r="D2033">
        <v>74.849708557</v>
      </c>
      <c r="E2033">
        <v>50</v>
      </c>
      <c r="F2033">
        <v>49.976272582999997</v>
      </c>
      <c r="G2033">
        <v>1303.5051269999999</v>
      </c>
      <c r="H2033">
        <v>1291.4713135</v>
      </c>
      <c r="I2033">
        <v>1387.9389647999999</v>
      </c>
      <c r="J2033">
        <v>1369.9084473</v>
      </c>
      <c r="K2033">
        <v>0</v>
      </c>
      <c r="L2033">
        <v>2200</v>
      </c>
      <c r="M2033">
        <v>2200</v>
      </c>
      <c r="N2033">
        <v>0</v>
      </c>
    </row>
    <row r="2034" spans="1:14" x14ac:dyDescent="0.25">
      <c r="A2034">
        <v>1717.494504</v>
      </c>
      <c r="B2034" s="1">
        <f>DATE(2015,1,12) + TIME(11,52,5)</f>
        <v>42016.494502314818</v>
      </c>
      <c r="C2034">
        <v>80</v>
      </c>
      <c r="D2034">
        <v>74.715705872000001</v>
      </c>
      <c r="E2034">
        <v>50</v>
      </c>
      <c r="F2034">
        <v>49.976299286</v>
      </c>
      <c r="G2034">
        <v>1303.3547363</v>
      </c>
      <c r="H2034">
        <v>1291.2712402</v>
      </c>
      <c r="I2034">
        <v>1387.9187012</v>
      </c>
      <c r="J2034">
        <v>1369.8933105000001</v>
      </c>
      <c r="K2034">
        <v>0</v>
      </c>
      <c r="L2034">
        <v>2200</v>
      </c>
      <c r="M2034">
        <v>2200</v>
      </c>
      <c r="N2034">
        <v>0</v>
      </c>
    </row>
    <row r="2035" spans="1:14" x14ac:dyDescent="0.25">
      <c r="A2035">
        <v>1719.8924440000001</v>
      </c>
      <c r="B2035" s="1">
        <f>DATE(2015,1,14) + TIME(21,25,7)</f>
        <v>42018.892442129632</v>
      </c>
      <c r="C2035">
        <v>80</v>
      </c>
      <c r="D2035">
        <v>74.580352782999995</v>
      </c>
      <c r="E2035">
        <v>50</v>
      </c>
      <c r="F2035">
        <v>49.976325989000003</v>
      </c>
      <c r="G2035">
        <v>1303.1989745999999</v>
      </c>
      <c r="H2035">
        <v>1291.0633545000001</v>
      </c>
      <c r="I2035">
        <v>1387.8985596</v>
      </c>
      <c r="J2035">
        <v>1369.878418</v>
      </c>
      <c r="K2035">
        <v>0</v>
      </c>
      <c r="L2035">
        <v>2200</v>
      </c>
      <c r="M2035">
        <v>2200</v>
      </c>
      <c r="N2035">
        <v>0</v>
      </c>
    </row>
    <row r="2036" spans="1:14" x14ac:dyDescent="0.25">
      <c r="A2036">
        <v>1722.3232889999999</v>
      </c>
      <c r="B2036" s="1">
        <f>DATE(2015,1,17) + TIME(7,45,32)</f>
        <v>42021.323287037034</v>
      </c>
      <c r="C2036">
        <v>80</v>
      </c>
      <c r="D2036">
        <v>74.443626404</v>
      </c>
      <c r="E2036">
        <v>50</v>
      </c>
      <c r="F2036">
        <v>49.976352691999999</v>
      </c>
      <c r="G2036">
        <v>1303.0383300999999</v>
      </c>
      <c r="H2036">
        <v>1290.8479004000001</v>
      </c>
      <c r="I2036">
        <v>1387.8787841999999</v>
      </c>
      <c r="J2036">
        <v>1369.8636475000001</v>
      </c>
      <c r="K2036">
        <v>0</v>
      </c>
      <c r="L2036">
        <v>2200</v>
      </c>
      <c r="M2036">
        <v>2200</v>
      </c>
      <c r="N2036">
        <v>0</v>
      </c>
    </row>
    <row r="2037" spans="1:14" x14ac:dyDescent="0.25">
      <c r="A2037">
        <v>1724.7923209999999</v>
      </c>
      <c r="B2037" s="1">
        <f>DATE(2015,1,19) + TIME(19,0,56)</f>
        <v>42023.792314814818</v>
      </c>
      <c r="C2037">
        <v>80</v>
      </c>
      <c r="D2037">
        <v>74.305137634000005</v>
      </c>
      <c r="E2037">
        <v>50</v>
      </c>
      <c r="F2037">
        <v>49.976379395000002</v>
      </c>
      <c r="G2037">
        <v>1302.8720702999999</v>
      </c>
      <c r="H2037">
        <v>1290.6242675999999</v>
      </c>
      <c r="I2037">
        <v>1387.8592529</v>
      </c>
      <c r="J2037">
        <v>1369.848999</v>
      </c>
      <c r="K2037">
        <v>0</v>
      </c>
      <c r="L2037">
        <v>2200</v>
      </c>
      <c r="M2037">
        <v>2200</v>
      </c>
      <c r="N2037">
        <v>0</v>
      </c>
    </row>
    <row r="2038" spans="1:14" x14ac:dyDescent="0.25">
      <c r="A2038">
        <v>1727.304705</v>
      </c>
      <c r="B2038" s="1">
        <f>DATE(2015,1,22) + TIME(7,18,46)</f>
        <v>42026.304699074077</v>
      </c>
      <c r="C2038">
        <v>80</v>
      </c>
      <c r="D2038">
        <v>74.164405822999996</v>
      </c>
      <c r="E2038">
        <v>50</v>
      </c>
      <c r="F2038">
        <v>49.976406097000002</v>
      </c>
      <c r="G2038">
        <v>1302.6999512</v>
      </c>
      <c r="H2038">
        <v>1290.3919678</v>
      </c>
      <c r="I2038">
        <v>1387.8398437999999</v>
      </c>
      <c r="J2038">
        <v>1369.8344727000001</v>
      </c>
      <c r="K2038">
        <v>0</v>
      </c>
      <c r="L2038">
        <v>2200</v>
      </c>
      <c r="M2038">
        <v>2200</v>
      </c>
      <c r="N2038">
        <v>0</v>
      </c>
    </row>
    <row r="2039" spans="1:14" x14ac:dyDescent="0.25">
      <c r="A2039">
        <v>1729.8655650000001</v>
      </c>
      <c r="B2039" s="1">
        <f>DATE(2015,1,24) + TIME(20,46,24)</f>
        <v>42028.865555555552</v>
      </c>
      <c r="C2039">
        <v>80</v>
      </c>
      <c r="D2039">
        <v>74.020904540999993</v>
      </c>
      <c r="E2039">
        <v>50</v>
      </c>
      <c r="F2039">
        <v>49.976436614999997</v>
      </c>
      <c r="G2039">
        <v>1302.5214844</v>
      </c>
      <c r="H2039">
        <v>1290.1502685999999</v>
      </c>
      <c r="I2039">
        <v>1387.8205565999999</v>
      </c>
      <c r="J2039">
        <v>1369.8199463000001</v>
      </c>
      <c r="K2039">
        <v>0</v>
      </c>
      <c r="L2039">
        <v>2200</v>
      </c>
      <c r="M2039">
        <v>2200</v>
      </c>
      <c r="N2039">
        <v>0</v>
      </c>
    </row>
    <row r="2040" spans="1:14" x14ac:dyDescent="0.25">
      <c r="A2040">
        <v>1732.479994</v>
      </c>
      <c r="B2040" s="1">
        <f>DATE(2015,1,27) + TIME(11,31,11)</f>
        <v>42031.479988425926</v>
      </c>
      <c r="C2040">
        <v>80</v>
      </c>
      <c r="D2040">
        <v>73.874092102000006</v>
      </c>
      <c r="E2040">
        <v>50</v>
      </c>
      <c r="F2040">
        <v>49.976463318</v>
      </c>
      <c r="G2040">
        <v>1302.3361815999999</v>
      </c>
      <c r="H2040">
        <v>1289.8985596</v>
      </c>
      <c r="I2040">
        <v>1387.8013916</v>
      </c>
      <c r="J2040">
        <v>1369.8055420000001</v>
      </c>
      <c r="K2040">
        <v>0</v>
      </c>
      <c r="L2040">
        <v>2200</v>
      </c>
      <c r="M2040">
        <v>2200</v>
      </c>
      <c r="N2040">
        <v>0</v>
      </c>
    </row>
    <row r="2041" spans="1:14" x14ac:dyDescent="0.25">
      <c r="A2041">
        <v>1735.1485290000001</v>
      </c>
      <c r="B2041" s="1">
        <f>DATE(2015,1,30) + TIME(3,33,52)</f>
        <v>42034.148518518516</v>
      </c>
      <c r="C2041">
        <v>80</v>
      </c>
      <c r="D2041">
        <v>73.723434448000006</v>
      </c>
      <c r="E2041">
        <v>50</v>
      </c>
      <c r="F2041">
        <v>49.976493834999999</v>
      </c>
      <c r="G2041">
        <v>1302.1436768000001</v>
      </c>
      <c r="H2041">
        <v>1289.6362305</v>
      </c>
      <c r="I2041">
        <v>1387.7822266000001</v>
      </c>
      <c r="J2041">
        <v>1369.7910156</v>
      </c>
      <c r="K2041">
        <v>0</v>
      </c>
      <c r="L2041">
        <v>2200</v>
      </c>
      <c r="M2041">
        <v>2200</v>
      </c>
      <c r="N2041">
        <v>0</v>
      </c>
    </row>
    <row r="2042" spans="1:14" x14ac:dyDescent="0.25">
      <c r="A2042">
        <v>1737</v>
      </c>
      <c r="B2042" s="1">
        <f>DATE(2015,2,1) + TIME(0,0,0)</f>
        <v>42036</v>
      </c>
      <c r="C2042">
        <v>80</v>
      </c>
      <c r="D2042">
        <v>73.584678650000001</v>
      </c>
      <c r="E2042">
        <v>50</v>
      </c>
      <c r="F2042">
        <v>49.976512909</v>
      </c>
      <c r="G2042">
        <v>1301.9464111</v>
      </c>
      <c r="H2042">
        <v>1289.3699951000001</v>
      </c>
      <c r="I2042">
        <v>1387.7626952999999</v>
      </c>
      <c r="J2042">
        <v>1369.7761230000001</v>
      </c>
      <c r="K2042">
        <v>0</v>
      </c>
      <c r="L2042">
        <v>2200</v>
      </c>
      <c r="M2042">
        <v>2200</v>
      </c>
      <c r="N2042">
        <v>0</v>
      </c>
    </row>
    <row r="2043" spans="1:14" x14ac:dyDescent="0.25">
      <c r="A2043">
        <v>1739.71199</v>
      </c>
      <c r="B2043" s="1">
        <f>DATE(2015,2,3) + TIME(17,5,15)</f>
        <v>42038.71197916667</v>
      </c>
      <c r="C2043">
        <v>80</v>
      </c>
      <c r="D2043">
        <v>73.452301024999997</v>
      </c>
      <c r="E2043">
        <v>50</v>
      </c>
      <c r="F2043">
        <v>49.976543427000003</v>
      </c>
      <c r="G2043">
        <v>1301.7962646000001</v>
      </c>
      <c r="H2043">
        <v>1289.1578368999999</v>
      </c>
      <c r="I2043">
        <v>1387.75</v>
      </c>
      <c r="J2043">
        <v>1369.7666016000001</v>
      </c>
      <c r="K2043">
        <v>0</v>
      </c>
      <c r="L2043">
        <v>2200</v>
      </c>
      <c r="M2043">
        <v>2200</v>
      </c>
      <c r="N2043">
        <v>0</v>
      </c>
    </row>
    <row r="2044" spans="1:14" x14ac:dyDescent="0.25">
      <c r="A2044">
        <v>1742.508274</v>
      </c>
      <c r="B2044" s="1">
        <f>DATE(2015,2,6) + TIME(12,11,54)</f>
        <v>42041.508263888885</v>
      </c>
      <c r="C2044">
        <v>80</v>
      </c>
      <c r="D2044">
        <v>73.297409058</v>
      </c>
      <c r="E2044">
        <v>50</v>
      </c>
      <c r="F2044">
        <v>49.976577759000001</v>
      </c>
      <c r="G2044">
        <v>1301.5913086</v>
      </c>
      <c r="H2044">
        <v>1288.8782959</v>
      </c>
      <c r="I2044">
        <v>1387.7310791</v>
      </c>
      <c r="J2044">
        <v>1369.7521973</v>
      </c>
      <c r="K2044">
        <v>0</v>
      </c>
      <c r="L2044">
        <v>2200</v>
      </c>
      <c r="M2044">
        <v>2200</v>
      </c>
      <c r="N2044">
        <v>0</v>
      </c>
    </row>
    <row r="2045" spans="1:14" x14ac:dyDescent="0.25">
      <c r="A2045">
        <v>1745.3437220000001</v>
      </c>
      <c r="B2045" s="1">
        <f>DATE(2015,2,9) + TIME(8,14,57)</f>
        <v>42044.343715277777</v>
      </c>
      <c r="C2045">
        <v>80</v>
      </c>
      <c r="D2045">
        <v>73.132049561000002</v>
      </c>
      <c r="E2045">
        <v>50</v>
      </c>
      <c r="F2045">
        <v>49.976608276</v>
      </c>
      <c r="G2045">
        <v>1301.3735352000001</v>
      </c>
      <c r="H2045">
        <v>1288.5787353999999</v>
      </c>
      <c r="I2045">
        <v>1387.7120361</v>
      </c>
      <c r="J2045">
        <v>1369.7375488</v>
      </c>
      <c r="K2045">
        <v>0</v>
      </c>
      <c r="L2045">
        <v>2200</v>
      </c>
      <c r="M2045">
        <v>2200</v>
      </c>
      <c r="N2045">
        <v>0</v>
      </c>
    </row>
    <row r="2046" spans="1:14" x14ac:dyDescent="0.25">
      <c r="A2046">
        <v>1748.2257300000001</v>
      </c>
      <c r="B2046" s="1">
        <f>DATE(2015,2,12) + TIME(5,25,3)</f>
        <v>42047.225729166668</v>
      </c>
      <c r="C2046">
        <v>80</v>
      </c>
      <c r="D2046">
        <v>72.960212708</v>
      </c>
      <c r="E2046">
        <v>50</v>
      </c>
      <c r="F2046">
        <v>49.976638794000003</v>
      </c>
      <c r="G2046">
        <v>1301.1478271000001</v>
      </c>
      <c r="H2046">
        <v>1288.2669678</v>
      </c>
      <c r="I2046">
        <v>1387.6928711</v>
      </c>
      <c r="J2046">
        <v>1369.7230225000001</v>
      </c>
      <c r="K2046">
        <v>0</v>
      </c>
      <c r="L2046">
        <v>2200</v>
      </c>
      <c r="M2046">
        <v>2200</v>
      </c>
      <c r="N2046">
        <v>0</v>
      </c>
    </row>
    <row r="2047" spans="1:14" x14ac:dyDescent="0.25">
      <c r="A2047">
        <v>1751.160979</v>
      </c>
      <c r="B2047" s="1">
        <f>DATE(2015,2,15) + TIME(3,51,48)</f>
        <v>42050.16097222222</v>
      </c>
      <c r="C2047">
        <v>80</v>
      </c>
      <c r="D2047">
        <v>72.782188415999997</v>
      </c>
      <c r="E2047">
        <v>50</v>
      </c>
      <c r="F2047">
        <v>49.976669311999999</v>
      </c>
      <c r="G2047">
        <v>1300.9147949000001</v>
      </c>
      <c r="H2047">
        <v>1287.9438477000001</v>
      </c>
      <c r="I2047">
        <v>1387.6738281</v>
      </c>
      <c r="J2047">
        <v>1369.7082519999999</v>
      </c>
      <c r="K2047">
        <v>0</v>
      </c>
      <c r="L2047">
        <v>2200</v>
      </c>
      <c r="M2047">
        <v>2200</v>
      </c>
      <c r="N2047">
        <v>0</v>
      </c>
    </row>
    <row r="2048" spans="1:14" x14ac:dyDescent="0.25">
      <c r="A2048">
        <v>1754.1561919999999</v>
      </c>
      <c r="B2048" s="1">
        <f>DATE(2015,2,18) + TIME(3,44,54)</f>
        <v>42053.156180555554</v>
      </c>
      <c r="C2048">
        <v>80</v>
      </c>
      <c r="D2048">
        <v>72.597305297999995</v>
      </c>
      <c r="E2048">
        <v>50</v>
      </c>
      <c r="F2048">
        <v>49.976703643999997</v>
      </c>
      <c r="G2048">
        <v>1300.6739502</v>
      </c>
      <c r="H2048">
        <v>1287.6088867000001</v>
      </c>
      <c r="I2048">
        <v>1387.6546631000001</v>
      </c>
      <c r="J2048">
        <v>1369.6934814000001</v>
      </c>
      <c r="K2048">
        <v>0</v>
      </c>
      <c r="L2048">
        <v>2200</v>
      </c>
      <c r="M2048">
        <v>2200</v>
      </c>
      <c r="N2048">
        <v>0</v>
      </c>
    </row>
    <row r="2049" spans="1:14" x14ac:dyDescent="0.25">
      <c r="A2049">
        <v>1757.2086400000001</v>
      </c>
      <c r="B2049" s="1">
        <f>DATE(2015,2,21) + TIME(5,0,26)</f>
        <v>42056.208634259259</v>
      </c>
      <c r="C2049">
        <v>80</v>
      </c>
      <c r="D2049">
        <v>72.404754639000004</v>
      </c>
      <c r="E2049">
        <v>50</v>
      </c>
      <c r="F2049">
        <v>49.976737976000003</v>
      </c>
      <c r="G2049">
        <v>1300.4249268000001</v>
      </c>
      <c r="H2049">
        <v>1287.2615966999999</v>
      </c>
      <c r="I2049">
        <v>1387.635376</v>
      </c>
      <c r="J2049">
        <v>1369.6785889</v>
      </c>
      <c r="K2049">
        <v>0</v>
      </c>
      <c r="L2049">
        <v>2200</v>
      </c>
      <c r="M2049">
        <v>2200</v>
      </c>
      <c r="N2049">
        <v>0</v>
      </c>
    </row>
    <row r="2050" spans="1:14" x14ac:dyDescent="0.25">
      <c r="A2050">
        <v>1760.306593</v>
      </c>
      <c r="B2050" s="1">
        <f>DATE(2015,2,24) + TIME(7,21,29)</f>
        <v>42059.306585648148</v>
      </c>
      <c r="C2050">
        <v>80</v>
      </c>
      <c r="D2050">
        <v>72.204101562000005</v>
      </c>
      <c r="E2050">
        <v>50</v>
      </c>
      <c r="F2050">
        <v>49.976772308000001</v>
      </c>
      <c r="G2050">
        <v>1300.1677245999999</v>
      </c>
      <c r="H2050">
        <v>1286.9019774999999</v>
      </c>
      <c r="I2050">
        <v>1387.6159668</v>
      </c>
      <c r="J2050">
        <v>1369.6634521000001</v>
      </c>
      <c r="K2050">
        <v>0</v>
      </c>
      <c r="L2050">
        <v>2200</v>
      </c>
      <c r="M2050">
        <v>2200</v>
      </c>
      <c r="N2050">
        <v>0</v>
      </c>
    </row>
    <row r="2051" spans="1:14" x14ac:dyDescent="0.25">
      <c r="A2051">
        <v>1763.4485420000001</v>
      </c>
      <c r="B2051" s="1">
        <f>DATE(2015,2,27) + TIME(10,45,54)</f>
        <v>42062.448541666665</v>
      </c>
      <c r="C2051">
        <v>80</v>
      </c>
      <c r="D2051">
        <v>71.995201111</v>
      </c>
      <c r="E2051">
        <v>50</v>
      </c>
      <c r="F2051">
        <v>49.976802825999997</v>
      </c>
      <c r="G2051">
        <v>1299.9033202999999</v>
      </c>
      <c r="H2051">
        <v>1286.5311279</v>
      </c>
      <c r="I2051">
        <v>1387.5964355000001</v>
      </c>
      <c r="J2051">
        <v>1369.6481934000001</v>
      </c>
      <c r="K2051">
        <v>0</v>
      </c>
      <c r="L2051">
        <v>2200</v>
      </c>
      <c r="M2051">
        <v>2200</v>
      </c>
      <c r="N2051">
        <v>0</v>
      </c>
    </row>
    <row r="2052" spans="1:14" x14ac:dyDescent="0.25">
      <c r="A2052">
        <v>1765</v>
      </c>
      <c r="B2052" s="1">
        <f>DATE(2015,3,1) + TIME(0,0,0)</f>
        <v>42064</v>
      </c>
      <c r="C2052">
        <v>80</v>
      </c>
      <c r="D2052">
        <v>71.817222595000004</v>
      </c>
      <c r="E2052">
        <v>50</v>
      </c>
      <c r="F2052">
        <v>49.976818084999998</v>
      </c>
      <c r="G2052">
        <v>1299.6398925999999</v>
      </c>
      <c r="H2052">
        <v>1286.1696777</v>
      </c>
      <c r="I2052">
        <v>1387.5761719</v>
      </c>
      <c r="J2052">
        <v>1369.6322021000001</v>
      </c>
      <c r="K2052">
        <v>0</v>
      </c>
      <c r="L2052">
        <v>2200</v>
      </c>
      <c r="M2052">
        <v>2200</v>
      </c>
      <c r="N2052">
        <v>0</v>
      </c>
    </row>
    <row r="2053" spans="1:14" x14ac:dyDescent="0.25">
      <c r="A2053">
        <v>1768.193859</v>
      </c>
      <c r="B2053" s="1">
        <f>DATE(2015,3,4) + TIME(4,39,9)</f>
        <v>42067.193854166668</v>
      </c>
      <c r="C2053">
        <v>80</v>
      </c>
      <c r="D2053">
        <v>71.651908875000004</v>
      </c>
      <c r="E2053">
        <v>50</v>
      </c>
      <c r="F2053">
        <v>49.976856232000003</v>
      </c>
      <c r="G2053">
        <v>1299.4831543</v>
      </c>
      <c r="H2053">
        <v>1285.9329834</v>
      </c>
      <c r="I2053">
        <v>1387.5672606999999</v>
      </c>
      <c r="J2053">
        <v>1369.6253661999999</v>
      </c>
      <c r="K2053">
        <v>0</v>
      </c>
      <c r="L2053">
        <v>2200</v>
      </c>
      <c r="M2053">
        <v>2200</v>
      </c>
      <c r="N2053">
        <v>0</v>
      </c>
    </row>
    <row r="2054" spans="1:14" x14ac:dyDescent="0.25">
      <c r="A2054">
        <v>1771.4713879999999</v>
      </c>
      <c r="B2054" s="1">
        <f>DATE(2015,3,7) + TIME(11,18,47)</f>
        <v>42070.471377314818</v>
      </c>
      <c r="C2054">
        <v>80</v>
      </c>
      <c r="D2054">
        <v>71.432395935000002</v>
      </c>
      <c r="E2054">
        <v>50</v>
      </c>
      <c r="F2054">
        <v>49.976890564000001</v>
      </c>
      <c r="G2054">
        <v>1299.2137451000001</v>
      </c>
      <c r="H2054">
        <v>1285.5568848</v>
      </c>
      <c r="I2054">
        <v>1387.5474853999999</v>
      </c>
      <c r="J2054">
        <v>1369.6097411999999</v>
      </c>
      <c r="K2054">
        <v>0</v>
      </c>
      <c r="L2054">
        <v>2200</v>
      </c>
      <c r="M2054">
        <v>2200</v>
      </c>
      <c r="N2054">
        <v>0</v>
      </c>
    </row>
    <row r="2055" spans="1:14" x14ac:dyDescent="0.25">
      <c r="A2055">
        <v>1774.7974300000001</v>
      </c>
      <c r="B2055" s="1">
        <f>DATE(2015,3,10) + TIME(19,8,17)</f>
        <v>42073.797418981485</v>
      </c>
      <c r="C2055">
        <v>80</v>
      </c>
      <c r="D2055">
        <v>71.191192627000007</v>
      </c>
      <c r="E2055">
        <v>50</v>
      </c>
      <c r="F2055">
        <v>49.976924896</v>
      </c>
      <c r="G2055">
        <v>1298.9263916</v>
      </c>
      <c r="H2055">
        <v>1285.1508789</v>
      </c>
      <c r="I2055">
        <v>1387.5272216999999</v>
      </c>
      <c r="J2055">
        <v>1369.59375</v>
      </c>
      <c r="K2055">
        <v>0</v>
      </c>
      <c r="L2055">
        <v>2200</v>
      </c>
      <c r="M2055">
        <v>2200</v>
      </c>
      <c r="N2055">
        <v>0</v>
      </c>
    </row>
    <row r="2056" spans="1:14" x14ac:dyDescent="0.25">
      <c r="A2056">
        <v>1778.1807699999999</v>
      </c>
      <c r="B2056" s="1">
        <f>DATE(2015,3,14) + TIME(4,20,18)</f>
        <v>42077.180763888886</v>
      </c>
      <c r="C2056">
        <v>80</v>
      </c>
      <c r="D2056">
        <v>70.936195373999993</v>
      </c>
      <c r="E2056">
        <v>50</v>
      </c>
      <c r="F2056">
        <v>49.976963042999998</v>
      </c>
      <c r="G2056">
        <v>1298.6301269999999</v>
      </c>
      <c r="H2056">
        <v>1284.7298584</v>
      </c>
      <c r="I2056">
        <v>1387.5068358999999</v>
      </c>
      <c r="J2056">
        <v>1369.5775146000001</v>
      </c>
      <c r="K2056">
        <v>0</v>
      </c>
      <c r="L2056">
        <v>2200</v>
      </c>
      <c r="M2056">
        <v>2200</v>
      </c>
      <c r="N2056">
        <v>0</v>
      </c>
    </row>
    <row r="2057" spans="1:14" x14ac:dyDescent="0.25">
      <c r="A2057">
        <v>1781.6302129999999</v>
      </c>
      <c r="B2057" s="1">
        <f>DATE(2015,3,17) + TIME(15,7,30)</f>
        <v>42080.630208333336</v>
      </c>
      <c r="C2057">
        <v>80</v>
      </c>
      <c r="D2057">
        <v>70.667922974000007</v>
      </c>
      <c r="E2057">
        <v>50</v>
      </c>
      <c r="F2057">
        <v>49.976997375000003</v>
      </c>
      <c r="G2057">
        <v>1298.3261719</v>
      </c>
      <c r="H2057">
        <v>1284.2963867000001</v>
      </c>
      <c r="I2057">
        <v>1387.4862060999999</v>
      </c>
      <c r="J2057">
        <v>1369.5610352000001</v>
      </c>
      <c r="K2057">
        <v>0</v>
      </c>
      <c r="L2057">
        <v>2200</v>
      </c>
      <c r="M2057">
        <v>2200</v>
      </c>
      <c r="N2057">
        <v>0</v>
      </c>
    </row>
    <row r="2058" spans="1:14" x14ac:dyDescent="0.25">
      <c r="A2058">
        <v>1785.1548299999999</v>
      </c>
      <c r="B2058" s="1">
        <f>DATE(2015,3,21) + TIME(3,42,57)</f>
        <v>42084.154826388891</v>
      </c>
      <c r="C2058">
        <v>80</v>
      </c>
      <c r="D2058">
        <v>70.385337829999997</v>
      </c>
      <c r="E2058">
        <v>50</v>
      </c>
      <c r="F2058">
        <v>49.977035522000001</v>
      </c>
      <c r="G2058">
        <v>1298.0141602000001</v>
      </c>
      <c r="H2058">
        <v>1283.8502197</v>
      </c>
      <c r="I2058">
        <v>1387.4652100000001</v>
      </c>
      <c r="J2058">
        <v>1369.5440673999999</v>
      </c>
      <c r="K2058">
        <v>0</v>
      </c>
      <c r="L2058">
        <v>2200</v>
      </c>
      <c r="M2058">
        <v>2200</v>
      </c>
      <c r="N2058">
        <v>0</v>
      </c>
    </row>
    <row r="2059" spans="1:14" x14ac:dyDescent="0.25">
      <c r="A2059">
        <v>1788.7645709999999</v>
      </c>
      <c r="B2059" s="1">
        <f>DATE(2015,3,24) + TIME(18,20,58)</f>
        <v>42087.764560185184</v>
      </c>
      <c r="C2059">
        <v>80</v>
      </c>
      <c r="D2059">
        <v>70.087249756000006</v>
      </c>
      <c r="E2059">
        <v>50</v>
      </c>
      <c r="F2059">
        <v>49.977073668999999</v>
      </c>
      <c r="G2059">
        <v>1297.6937256000001</v>
      </c>
      <c r="H2059">
        <v>1283.3903809000001</v>
      </c>
      <c r="I2059">
        <v>1387.4437256000001</v>
      </c>
      <c r="J2059">
        <v>1369.5267334</v>
      </c>
      <c r="K2059">
        <v>0</v>
      </c>
      <c r="L2059">
        <v>2200</v>
      </c>
      <c r="M2059">
        <v>2200</v>
      </c>
      <c r="N2059">
        <v>0</v>
      </c>
    </row>
    <row r="2060" spans="1:14" x14ac:dyDescent="0.25">
      <c r="A2060">
        <v>1792.455647</v>
      </c>
      <c r="B2060" s="1">
        <f>DATE(2015,3,28) + TIME(10,56,7)</f>
        <v>42091.455636574072</v>
      </c>
      <c r="C2060">
        <v>80</v>
      </c>
      <c r="D2060">
        <v>69.771560668999996</v>
      </c>
      <c r="E2060">
        <v>50</v>
      </c>
      <c r="F2060">
        <v>49.977111815999997</v>
      </c>
      <c r="G2060">
        <v>1297.3643798999999</v>
      </c>
      <c r="H2060">
        <v>1282.9162598</v>
      </c>
      <c r="I2060">
        <v>1387.4216309000001</v>
      </c>
      <c r="J2060">
        <v>1369.5089111</v>
      </c>
      <c r="K2060">
        <v>0</v>
      </c>
      <c r="L2060">
        <v>2200</v>
      </c>
      <c r="M2060">
        <v>2200</v>
      </c>
      <c r="N2060">
        <v>0</v>
      </c>
    </row>
    <row r="2061" spans="1:14" x14ac:dyDescent="0.25">
      <c r="A2061">
        <v>1796</v>
      </c>
      <c r="B2061" s="1">
        <f>DATE(2015,4,1) + TIME(0,0,0)</f>
        <v>42095</v>
      </c>
      <c r="C2061">
        <v>80</v>
      </c>
      <c r="D2061">
        <v>69.441299438000001</v>
      </c>
      <c r="E2061">
        <v>50</v>
      </c>
      <c r="F2061">
        <v>49.977146148999999</v>
      </c>
      <c r="G2061">
        <v>1297.0269774999999</v>
      </c>
      <c r="H2061">
        <v>1282.4300536999999</v>
      </c>
      <c r="I2061">
        <v>1387.3989257999999</v>
      </c>
      <c r="J2061">
        <v>1369.4904785000001</v>
      </c>
      <c r="K2061">
        <v>0</v>
      </c>
      <c r="L2061">
        <v>2200</v>
      </c>
      <c r="M2061">
        <v>2200</v>
      </c>
      <c r="N2061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2022-06-22T13:08:40Z</dcterms:created>
  <dcterms:modified xsi:type="dcterms:W3CDTF">2022-06-22T13:09:30Z</dcterms:modified>
</cp:coreProperties>
</file>