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kh_kv/"/>
    </mc:Choice>
  </mc:AlternateContent>
  <xr:revisionPtr revIDLastSave="0" documentId="8_{99D46340-0E95-4C9B-BDB7-C4609FF5AD83}" xr6:coauthVersionLast="47" xr6:coauthVersionMax="47" xr10:uidLastSave="{00000000-0000-0000-0000-000000000000}"/>
  <bookViews>
    <workbookView xWindow="-26220" yWindow="2580" windowWidth="15375" windowHeight="7875" xr2:uid="{9747379B-5028-4E2D-99BF-FFBADBEE94A5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29" i="1" l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<sst xmlns="http://schemas.openxmlformats.org/spreadsheetml/2006/main" count="15" uniqueCount="15">
  <si>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MODEL\SCENARIOS\2022\Parameterstudy_kh_kv\kh100_kv1.sr3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</si>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</sst>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91159C-A1C2-4461-B1C3-694220E6F434}" name="Table1" displayName="Table1" ref="A3:N2329" totalsRowShown="0">
  <autoFilter ref="A3:N2329" xr:uid="{2591159C-A1C2-4461-B1C3-694220E6F434}"/>
  <tableColumns count="14">
    <tableColumn id="1" xr3:uid="{12E949E6-C4EC-45A5-BAA1-5720D87DCFB1}" name="Time (day)"/>
    <tableColumn id="2" xr3:uid="{804C944F-CD20-415A-B227-B249E35B07BA}" name="Date" dataDxfId="0"/>
    <tableColumn id="3" xr3:uid="{31C15A66-AA8B-4A33-BFEA-1F805FDE3AB6}" name="Hot well INJ-Well bottom hole temperature (C)"/>
    <tableColumn id="4" xr3:uid="{35CA36A6-35C4-4F4A-AB3C-EC2E69E90A6A}" name="Hot well PROD-Well bottom hole temperature (C)"/>
    <tableColumn id="5" xr3:uid="{B009274B-7800-469C-A04F-7D8C3C2091F9}" name="Warm well INJ-Well bottom hole temperature (C)"/>
    <tableColumn id="6" xr3:uid="{861A1E4F-AA1D-44C4-A18A-448CE3B9ADDC}" name="Warm well PROD-Well bottom hole temperature (C)"/>
    <tableColumn id="7" xr3:uid="{5DCBCE39-96C3-4EB6-9FC7-B79168ABF8AC}" name="Hot well INJ-Well Bottom-hole Pressure (kPa)"/>
    <tableColumn id="8" xr3:uid="{6F1EA5AC-2786-4F82-A405-C36923236910}" name="Hot well PROD-Well Bottom-hole Pressure (kPa)"/>
    <tableColumn id="9" xr3:uid="{258893C7-7C3C-4EE6-9D36-620FBAA9BCFC}" name="Warm well INJ-Well Bottom-hole Pressure (kPa)"/>
    <tableColumn id="10" xr3:uid="{91AC9067-4A2E-4EEB-ABBD-47005544262A}" name="Warm well PROD-Well Bottom-hole Pressure (kPa)"/>
    <tableColumn id="11" xr3:uid="{2043CAC0-54EB-4AD0-AE84-56A007B5CC51}" name="Hot well INJ-Fluid Rate SC (m³/day)"/>
    <tableColumn id="12" xr3:uid="{98A32B17-4D99-4F02-92B1-002B7534133E}" name="Hot well PROD-Fluid Rate SC (m³/day)"/>
    <tableColumn id="13" xr3:uid="{8B22F403-FB97-498A-9A97-6ADA112F62BD}" name="Warm well INJ-Fluid Rate SC (m³/day)"/>
    <tableColumn id="14" xr3:uid="{0F12C0B3-580F-4453-938E-64243E5746F7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1BD9-8BA0-4CAD-80DC-A422CB806B5A}">
  <dimension ref="A1:N2329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15.000079155</v>
      </c>
      <c r="E4">
        <v>50</v>
      </c>
      <c r="F4">
        <v>14.999998093</v>
      </c>
      <c r="G4">
        <v>1333.3571777</v>
      </c>
      <c r="H4">
        <v>1329.4145507999999</v>
      </c>
      <c r="I4">
        <v>1329.4047852000001</v>
      </c>
      <c r="J4">
        <v>1325.4614257999999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15.000314713</v>
      </c>
      <c r="E5">
        <v>50</v>
      </c>
      <c r="F5">
        <v>14.999993324</v>
      </c>
      <c r="G5">
        <v>1333.3717041</v>
      </c>
      <c r="H5">
        <v>1329.4290771000001</v>
      </c>
      <c r="I5">
        <v>1329.3903809000001</v>
      </c>
      <c r="J5">
        <v>1325.4470214999999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15.001023292999999</v>
      </c>
      <c r="E6">
        <v>50</v>
      </c>
      <c r="F6">
        <v>14.999978065000001</v>
      </c>
      <c r="G6">
        <v>1333.4141846</v>
      </c>
      <c r="H6">
        <v>1329.4716797000001</v>
      </c>
      <c r="I6">
        <v>1329.3479004000001</v>
      </c>
      <c r="J6">
        <v>1325.4045410000001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15.003145218</v>
      </c>
      <c r="E7">
        <v>50</v>
      </c>
      <c r="F7">
        <v>14.999934196</v>
      </c>
      <c r="G7">
        <v>1333.5347899999999</v>
      </c>
      <c r="H7">
        <v>1329.5922852000001</v>
      </c>
      <c r="I7">
        <v>1329.2276611</v>
      </c>
      <c r="J7">
        <v>1325.2844238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15.009492873999999</v>
      </c>
      <c r="E8">
        <v>50</v>
      </c>
      <c r="F8">
        <v>14.999822617</v>
      </c>
      <c r="G8">
        <v>1333.8438721</v>
      </c>
      <c r="H8">
        <v>1329.9019774999999</v>
      </c>
      <c r="I8">
        <v>1328.9193115</v>
      </c>
      <c r="J8">
        <v>1324.9759521000001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15.028429985000001</v>
      </c>
      <c r="E9">
        <v>50</v>
      </c>
      <c r="F9">
        <v>14.999590874000001</v>
      </c>
      <c r="G9">
        <v>1334.4859618999999</v>
      </c>
      <c r="H9">
        <v>1330.5456543</v>
      </c>
      <c r="I9">
        <v>1328.2781981999999</v>
      </c>
      <c r="J9">
        <v>1324.3349608999999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15.084866524000001</v>
      </c>
      <c r="E10">
        <v>50</v>
      </c>
      <c r="F10">
        <v>14.999240875</v>
      </c>
      <c r="G10">
        <v>1335.4552002</v>
      </c>
      <c r="H10">
        <v>1331.5200195</v>
      </c>
      <c r="I10">
        <v>1327.3067627</v>
      </c>
      <c r="J10">
        <v>1323.3636475000001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15.253095627</v>
      </c>
      <c r="E11">
        <v>50</v>
      </c>
      <c r="F11">
        <v>14.998842239</v>
      </c>
      <c r="G11">
        <v>1336.5465088000001</v>
      </c>
      <c r="H11">
        <v>1332.6269531</v>
      </c>
      <c r="I11">
        <v>1326.1975098</v>
      </c>
      <c r="J11">
        <v>1322.2543945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15.753848076000001</v>
      </c>
      <c r="E12">
        <v>50</v>
      </c>
      <c r="F12">
        <v>14.998444556999999</v>
      </c>
      <c r="G12">
        <v>1337.6070557</v>
      </c>
      <c r="H12">
        <v>1333.7342529</v>
      </c>
      <c r="I12">
        <v>1325.0733643000001</v>
      </c>
      <c r="J12">
        <v>1321.1303711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2.2943000000000002E-2</v>
      </c>
      <c r="B13" s="1">
        <f>DATE(2010,5,1) + TIME(0,33,2)</f>
        <v>40299.022939814815</v>
      </c>
      <c r="C13">
        <v>80</v>
      </c>
      <c r="D13">
        <v>16.741926193000001</v>
      </c>
      <c r="E13">
        <v>50</v>
      </c>
      <c r="F13">
        <v>14.998136519999999</v>
      </c>
      <c r="G13">
        <v>1338.3829346</v>
      </c>
      <c r="H13">
        <v>1334.5975341999999</v>
      </c>
      <c r="I13">
        <v>1324.1757812000001</v>
      </c>
      <c r="J13">
        <v>1320.2326660000001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3.6204E-2</v>
      </c>
      <c r="B14" s="1">
        <f>DATE(2010,5,1) + TIME(0,52,7)</f>
        <v>40299.036192129628</v>
      </c>
      <c r="C14">
        <v>80</v>
      </c>
      <c r="D14">
        <v>17.732749939000001</v>
      </c>
      <c r="E14">
        <v>50</v>
      </c>
      <c r="F14">
        <v>14.997964859</v>
      </c>
      <c r="G14">
        <v>1338.7979736</v>
      </c>
      <c r="H14">
        <v>1335.0887451000001</v>
      </c>
      <c r="I14">
        <v>1323.6606445</v>
      </c>
      <c r="J14">
        <v>1319.7176514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4.9586999999999999E-2</v>
      </c>
      <c r="B15" s="1">
        <f>DATE(2010,5,1) + TIME(1,11,24)</f>
        <v>40299.049583333333</v>
      </c>
      <c r="C15">
        <v>80</v>
      </c>
      <c r="D15">
        <v>18.723472595</v>
      </c>
      <c r="E15">
        <v>50</v>
      </c>
      <c r="F15">
        <v>14.997851372</v>
      </c>
      <c r="G15">
        <v>1339.0556641000001</v>
      </c>
      <c r="H15">
        <v>1335.4193115</v>
      </c>
      <c r="I15">
        <v>1323.3101807</v>
      </c>
      <c r="J15">
        <v>1319.3671875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6.3094999999999998E-2</v>
      </c>
      <c r="B16" s="1">
        <f>DATE(2010,5,1) + TIME(1,30,51)</f>
        <v>40299.063090277778</v>
      </c>
      <c r="C16">
        <v>80</v>
      </c>
      <c r="D16">
        <v>19.714124680000001</v>
      </c>
      <c r="E16">
        <v>50</v>
      </c>
      <c r="F16">
        <v>14.997770309</v>
      </c>
      <c r="G16">
        <v>1339.2313231999999</v>
      </c>
      <c r="H16">
        <v>1335.6646728999999</v>
      </c>
      <c r="I16">
        <v>1323.0487060999999</v>
      </c>
      <c r="J16">
        <v>1319.1055908000001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7.6730999999999994E-2</v>
      </c>
      <c r="B17" s="1">
        <f>DATE(2010,5,1) + TIME(1,50,29)</f>
        <v>40299.076724537037</v>
      </c>
      <c r="C17">
        <v>80</v>
      </c>
      <c r="D17">
        <v>20.705293654999998</v>
      </c>
      <c r="E17">
        <v>50</v>
      </c>
      <c r="F17">
        <v>14.997708320999999</v>
      </c>
      <c r="G17">
        <v>1339.3582764</v>
      </c>
      <c r="H17">
        <v>1335.8577881000001</v>
      </c>
      <c r="I17">
        <v>1322.8427733999999</v>
      </c>
      <c r="J17">
        <v>1318.8996582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9.0489E-2</v>
      </c>
      <c r="B18" s="1">
        <f>DATE(2010,5,1) + TIME(2,10,18)</f>
        <v>40299.090486111112</v>
      </c>
      <c r="C18">
        <v>80</v>
      </c>
      <c r="D18">
        <v>21.696054458999999</v>
      </c>
      <c r="E18">
        <v>50</v>
      </c>
      <c r="F18">
        <v>14.997659683</v>
      </c>
      <c r="G18">
        <v>1339.4536132999999</v>
      </c>
      <c r="H18">
        <v>1336.0159911999999</v>
      </c>
      <c r="I18">
        <v>1322.6750488</v>
      </c>
      <c r="J18">
        <v>1318.7319336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0.104375</v>
      </c>
      <c r="B19" s="1">
        <f>DATE(2010,5,1) + TIME(2,30,17)</f>
        <v>40299.104363425926</v>
      </c>
      <c r="C19">
        <v>80</v>
      </c>
      <c r="D19">
        <v>22.686491013000001</v>
      </c>
      <c r="E19">
        <v>50</v>
      </c>
      <c r="F19">
        <v>14.997621536</v>
      </c>
      <c r="G19">
        <v>1339.5274658000001</v>
      </c>
      <c r="H19">
        <v>1336.1495361</v>
      </c>
      <c r="I19">
        <v>1322.5351562000001</v>
      </c>
      <c r="J19">
        <v>1318.5919189000001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0.118394</v>
      </c>
      <c r="B20" s="1">
        <f>DATE(2010,5,1) + TIME(2,50,29)</f>
        <v>40299.118391203701</v>
      </c>
      <c r="C20">
        <v>80</v>
      </c>
      <c r="D20">
        <v>23.676815033</v>
      </c>
      <c r="E20">
        <v>50</v>
      </c>
      <c r="F20">
        <v>14.997591019</v>
      </c>
      <c r="G20">
        <v>1339.5860596</v>
      </c>
      <c r="H20">
        <v>1336.2650146000001</v>
      </c>
      <c r="I20">
        <v>1322.4165039</v>
      </c>
      <c r="J20">
        <v>1318.4731445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0.132551</v>
      </c>
      <c r="B21" s="1">
        <f>DATE(2010,5,1) + TIME(3,10,52)</f>
        <v>40299.1325462963</v>
      </c>
      <c r="C21">
        <v>80</v>
      </c>
      <c r="D21">
        <v>24.667016983</v>
      </c>
      <c r="E21">
        <v>50</v>
      </c>
      <c r="F21">
        <v>14.997566223</v>
      </c>
      <c r="G21">
        <v>1339.6339111</v>
      </c>
      <c r="H21">
        <v>1336.3669434000001</v>
      </c>
      <c r="I21">
        <v>1322.3143310999999</v>
      </c>
      <c r="J21">
        <v>1318.3709716999999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0.14684800000000001</v>
      </c>
      <c r="B22" s="1">
        <f>DATE(2010,5,1) + TIME(3,31,27)</f>
        <v>40299.146840277775</v>
      </c>
      <c r="C22">
        <v>80</v>
      </c>
      <c r="D22">
        <v>25.657497406000001</v>
      </c>
      <c r="E22">
        <v>50</v>
      </c>
      <c r="F22">
        <v>14.997545241999999</v>
      </c>
      <c r="G22">
        <v>1339.6738281</v>
      </c>
      <c r="H22">
        <v>1336.458374</v>
      </c>
      <c r="I22">
        <v>1322.2257079999999</v>
      </c>
      <c r="J22">
        <v>1318.2821045000001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0.16128200000000001</v>
      </c>
      <c r="B23" s="1">
        <f>DATE(2010,5,1) + TIME(3,52,14)</f>
        <v>40299.161273148151</v>
      </c>
      <c r="C23">
        <v>80</v>
      </c>
      <c r="D23">
        <v>26.647636414000001</v>
      </c>
      <c r="E23">
        <v>50</v>
      </c>
      <c r="F23">
        <v>14.997529030000001</v>
      </c>
      <c r="G23">
        <v>1339.7082519999999</v>
      </c>
      <c r="H23">
        <v>1336.5415039</v>
      </c>
      <c r="I23">
        <v>1322.1478271000001</v>
      </c>
      <c r="J23">
        <v>1318.2041016000001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0.17586099999999999</v>
      </c>
      <c r="B24" s="1">
        <f>DATE(2010,5,1) + TIME(4,13,14)</f>
        <v>40299.175856481481</v>
      </c>
      <c r="C24">
        <v>80</v>
      </c>
      <c r="D24">
        <v>27.637393951</v>
      </c>
      <c r="E24">
        <v>50</v>
      </c>
      <c r="F24">
        <v>14.997515677999999</v>
      </c>
      <c r="G24">
        <v>1339.7385254000001</v>
      </c>
      <c r="H24">
        <v>1336.6184082</v>
      </c>
      <c r="I24">
        <v>1322.0792236</v>
      </c>
      <c r="J24">
        <v>1318.1352539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0.19058900000000001</v>
      </c>
      <c r="B25" s="1">
        <f>DATE(2010,5,1) + TIME(4,34,26)</f>
        <v>40299.190578703703</v>
      </c>
      <c r="C25">
        <v>80</v>
      </c>
      <c r="D25">
        <v>28.626956939999999</v>
      </c>
      <c r="E25">
        <v>50</v>
      </c>
      <c r="F25">
        <v>14.997505188</v>
      </c>
      <c r="G25">
        <v>1339.7661132999999</v>
      </c>
      <c r="H25">
        <v>1336.6901855000001</v>
      </c>
      <c r="I25">
        <v>1322.0180664</v>
      </c>
      <c r="J25">
        <v>1318.0738524999999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0.20547399999999999</v>
      </c>
      <c r="B26" s="1">
        <f>DATE(2010,5,1) + TIME(4,55,52)</f>
        <v>40299.205462962964</v>
      </c>
      <c r="C26">
        <v>80</v>
      </c>
      <c r="D26">
        <v>29.616302489999999</v>
      </c>
      <c r="E26">
        <v>50</v>
      </c>
      <c r="F26">
        <v>14.997496605</v>
      </c>
      <c r="G26">
        <v>1339.7918701000001</v>
      </c>
      <c r="H26">
        <v>1336.7581786999999</v>
      </c>
      <c r="I26">
        <v>1321.963501</v>
      </c>
      <c r="J26">
        <v>1318.0189209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0.22051799999999999</v>
      </c>
      <c r="B27" s="1">
        <f>DATE(2010,5,1) + TIME(5,17,32)</f>
        <v>40299.220509259256</v>
      </c>
      <c r="C27">
        <v>80</v>
      </c>
      <c r="D27">
        <v>30.605543137000002</v>
      </c>
      <c r="E27">
        <v>50</v>
      </c>
      <c r="F27">
        <v>14.997489929</v>
      </c>
      <c r="G27">
        <v>1339.8164062000001</v>
      </c>
      <c r="H27">
        <v>1336.822876</v>
      </c>
      <c r="I27">
        <v>1321.9143065999999</v>
      </c>
      <c r="J27">
        <v>1317.9694824000001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0.23572599999999999</v>
      </c>
      <c r="B28" s="1">
        <f>DATE(2010,5,1) + TIME(5,39,26)</f>
        <v>40299.235717592594</v>
      </c>
      <c r="C28">
        <v>80</v>
      </c>
      <c r="D28">
        <v>31.594486237000002</v>
      </c>
      <c r="E28">
        <v>50</v>
      </c>
      <c r="F28">
        <v>14.997485161</v>
      </c>
      <c r="G28">
        <v>1339.8405762</v>
      </c>
      <c r="H28">
        <v>1336.8852539</v>
      </c>
      <c r="I28">
        <v>1321.8699951000001</v>
      </c>
      <c r="J28">
        <v>1317.9248047000001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0.25110500000000002</v>
      </c>
      <c r="B29" s="1">
        <f>DATE(2010,5,1) + TIME(6,1,35)</f>
        <v>40299.251099537039</v>
      </c>
      <c r="C29">
        <v>80</v>
      </c>
      <c r="D29">
        <v>32.583068848000003</v>
      </c>
      <c r="E29">
        <v>50</v>
      </c>
      <c r="F29">
        <v>14.9974823</v>
      </c>
      <c r="G29">
        <v>1339.8645019999999</v>
      </c>
      <c r="H29">
        <v>1336.9458007999999</v>
      </c>
      <c r="I29">
        <v>1321.8298339999999</v>
      </c>
      <c r="J29">
        <v>1317.8842772999999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0.26666099999999998</v>
      </c>
      <c r="B30" s="1">
        <f>DATE(2010,5,1) + TIME(6,23,59)</f>
        <v>40299.266655092593</v>
      </c>
      <c r="C30">
        <v>80</v>
      </c>
      <c r="D30">
        <v>33.571346282999997</v>
      </c>
      <c r="E30">
        <v>50</v>
      </c>
      <c r="F30">
        <v>14.997479438999999</v>
      </c>
      <c r="G30">
        <v>1339.8887939000001</v>
      </c>
      <c r="H30">
        <v>1337.0047606999999</v>
      </c>
      <c r="I30">
        <v>1321.7933350000001</v>
      </c>
      <c r="J30">
        <v>1317.8472899999999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0.28240100000000001</v>
      </c>
      <c r="B31" s="1">
        <f>DATE(2010,5,1) + TIME(6,46,39)</f>
        <v>40299.282395833332</v>
      </c>
      <c r="C31">
        <v>80</v>
      </c>
      <c r="D31">
        <v>34.559295654000003</v>
      </c>
      <c r="E31">
        <v>50</v>
      </c>
      <c r="F31">
        <v>14.997478485</v>
      </c>
      <c r="G31">
        <v>1339.9135742000001</v>
      </c>
      <c r="H31">
        <v>1337.0627440999999</v>
      </c>
      <c r="I31">
        <v>1321.7601318</v>
      </c>
      <c r="J31">
        <v>1317.8134766000001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0.29833300000000001</v>
      </c>
      <c r="B32" s="1">
        <f>DATE(2010,5,1) + TIME(7,9,36)</f>
        <v>40299.298333333332</v>
      </c>
      <c r="C32">
        <v>80</v>
      </c>
      <c r="D32">
        <v>35.546890259000001</v>
      </c>
      <c r="E32">
        <v>50</v>
      </c>
      <c r="F32">
        <v>14.997478485</v>
      </c>
      <c r="G32">
        <v>1339.9390868999999</v>
      </c>
      <c r="H32">
        <v>1337.1198730000001</v>
      </c>
      <c r="I32">
        <v>1321.7297363</v>
      </c>
      <c r="J32">
        <v>1317.7825928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0.31446600000000002</v>
      </c>
      <c r="B33" s="1">
        <f>DATE(2010,5,1) + TIME(7,32,49)</f>
        <v>40299.314456018517</v>
      </c>
      <c r="C33">
        <v>80</v>
      </c>
      <c r="D33">
        <v>36.534103393999999</v>
      </c>
      <c r="E33">
        <v>50</v>
      </c>
      <c r="F33">
        <v>14.997479438999999</v>
      </c>
      <c r="G33">
        <v>1339.9654541</v>
      </c>
      <c r="H33">
        <v>1337.1765137</v>
      </c>
      <c r="I33">
        <v>1321.7019043</v>
      </c>
      <c r="J33">
        <v>1317.7541504000001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0.33080700000000002</v>
      </c>
      <c r="B34" s="1">
        <f>DATE(2010,5,1) + TIME(7,56,21)</f>
        <v>40299.33079861111</v>
      </c>
      <c r="C34">
        <v>80</v>
      </c>
      <c r="D34">
        <v>37.520912170000003</v>
      </c>
      <c r="E34">
        <v>50</v>
      </c>
      <c r="F34">
        <v>14.997481346000001</v>
      </c>
      <c r="G34">
        <v>1339.9927978999999</v>
      </c>
      <c r="H34">
        <v>1337.2326660000001</v>
      </c>
      <c r="I34">
        <v>1321.6763916</v>
      </c>
      <c r="J34">
        <v>1317.7280272999999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0.34736699999999998</v>
      </c>
      <c r="B35" s="1">
        <f>DATE(2010,5,1) + TIME(8,20,12)</f>
        <v>40299.347361111111</v>
      </c>
      <c r="C35">
        <v>80</v>
      </c>
      <c r="D35">
        <v>38.507282257</v>
      </c>
      <c r="E35">
        <v>50</v>
      </c>
      <c r="F35">
        <v>14.997483253</v>
      </c>
      <c r="G35">
        <v>1340.0212402</v>
      </c>
      <c r="H35">
        <v>1337.2886963000001</v>
      </c>
      <c r="I35">
        <v>1321.6530762</v>
      </c>
      <c r="J35">
        <v>1317.7039795000001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0.36415599999999998</v>
      </c>
      <c r="B36" s="1">
        <f>DATE(2010,5,1) + TIME(8,44,23)</f>
        <v>40299.364155092589</v>
      </c>
      <c r="C36">
        <v>80</v>
      </c>
      <c r="D36">
        <v>39.493186950999998</v>
      </c>
      <c r="E36">
        <v>50</v>
      </c>
      <c r="F36">
        <v>14.997487068</v>
      </c>
      <c r="G36">
        <v>1340.0509033000001</v>
      </c>
      <c r="H36">
        <v>1337.3446045000001</v>
      </c>
      <c r="I36">
        <v>1321.6314697</v>
      </c>
      <c r="J36">
        <v>1317.6817627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0.381185</v>
      </c>
      <c r="B37" s="1">
        <f>DATE(2010,5,1) + TIME(9,8,54)</f>
        <v>40299.381180555552</v>
      </c>
      <c r="C37">
        <v>80</v>
      </c>
      <c r="D37">
        <v>40.478702544999997</v>
      </c>
      <c r="E37">
        <v>50</v>
      </c>
      <c r="F37">
        <v>14.997489929</v>
      </c>
      <c r="G37">
        <v>1340.0817870999999</v>
      </c>
      <c r="H37">
        <v>1337.4006348</v>
      </c>
      <c r="I37">
        <v>1321.6118164</v>
      </c>
      <c r="J37">
        <v>1317.6611327999999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0.39846399999999998</v>
      </c>
      <c r="B38" s="1">
        <f>DATE(2010,5,1) + TIME(9,33,47)</f>
        <v>40299.398460648146</v>
      </c>
      <c r="C38">
        <v>80</v>
      </c>
      <c r="D38">
        <v>41.463699341000002</v>
      </c>
      <c r="E38">
        <v>50</v>
      </c>
      <c r="F38">
        <v>14.997494698000001</v>
      </c>
      <c r="G38">
        <v>1340.1138916</v>
      </c>
      <c r="H38">
        <v>1337.4566649999999</v>
      </c>
      <c r="I38">
        <v>1321.5936279</v>
      </c>
      <c r="J38">
        <v>1317.6422118999999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0.41600599999999999</v>
      </c>
      <c r="B39" s="1">
        <f>DATE(2010,5,1) + TIME(9,59,2)</f>
        <v>40299.415995370371</v>
      </c>
      <c r="C39">
        <v>80</v>
      </c>
      <c r="D39">
        <v>42.448032378999997</v>
      </c>
      <c r="E39">
        <v>50</v>
      </c>
      <c r="F39">
        <v>14.997499466000001</v>
      </c>
      <c r="G39">
        <v>1340.1473389</v>
      </c>
      <c r="H39">
        <v>1337.5129394999999</v>
      </c>
      <c r="I39">
        <v>1321.5769043</v>
      </c>
      <c r="J39">
        <v>1317.6246338000001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0.43382700000000002</v>
      </c>
      <c r="B40" s="1">
        <f>DATE(2010,5,1) + TIME(10,24,42)</f>
        <v>40299.433819444443</v>
      </c>
      <c r="C40">
        <v>80</v>
      </c>
      <c r="D40">
        <v>43.431758881</v>
      </c>
      <c r="E40">
        <v>50</v>
      </c>
      <c r="F40">
        <v>14.997504234000001</v>
      </c>
      <c r="G40">
        <v>1340.1820068</v>
      </c>
      <c r="H40">
        <v>1337.5695800999999</v>
      </c>
      <c r="I40">
        <v>1321.5615233999999</v>
      </c>
      <c r="J40">
        <v>1317.6082764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0.45194299999999998</v>
      </c>
      <c r="B41" s="1">
        <f>DATE(2010,5,1) + TIME(10,50,47)</f>
        <v>40299.451932870368</v>
      </c>
      <c r="C41">
        <v>80</v>
      </c>
      <c r="D41">
        <v>44.414852142000001</v>
      </c>
      <c r="E41">
        <v>50</v>
      </c>
      <c r="F41">
        <v>14.997509956</v>
      </c>
      <c r="G41">
        <v>1340.2178954999999</v>
      </c>
      <c r="H41">
        <v>1337.6264647999999</v>
      </c>
      <c r="I41">
        <v>1321.5474853999999</v>
      </c>
      <c r="J41">
        <v>1317.5932617000001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0.47037099999999998</v>
      </c>
      <c r="B42" s="1">
        <f>DATE(2010,5,1) + TIME(11,17,20)</f>
        <v>40299.470370370371</v>
      </c>
      <c r="C42">
        <v>80</v>
      </c>
      <c r="D42">
        <v>45.397266387999998</v>
      </c>
      <c r="E42">
        <v>50</v>
      </c>
      <c r="F42">
        <v>14.997515677999999</v>
      </c>
      <c r="G42">
        <v>1340.2551269999999</v>
      </c>
      <c r="H42">
        <v>1337.6835937999999</v>
      </c>
      <c r="I42">
        <v>1321.534668</v>
      </c>
      <c r="J42">
        <v>1317.5792236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0.48912899999999998</v>
      </c>
      <c r="B43" s="1">
        <f>DATE(2010,5,1) + TIME(11,44,20)</f>
        <v>40299.489120370374</v>
      </c>
      <c r="C43">
        <v>80</v>
      </c>
      <c r="D43">
        <v>46.378959655999999</v>
      </c>
      <c r="E43">
        <v>50</v>
      </c>
      <c r="F43">
        <v>14.997522354000001</v>
      </c>
      <c r="G43">
        <v>1340.2935791</v>
      </c>
      <c r="H43">
        <v>1337.7412108999999</v>
      </c>
      <c r="I43">
        <v>1321.5228271000001</v>
      </c>
      <c r="J43">
        <v>1317.5664062000001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0.50823600000000002</v>
      </c>
      <c r="B44" s="1">
        <f>DATE(2010,5,1) + TIME(12,11,51)</f>
        <v>40299.508229166669</v>
      </c>
      <c r="C44">
        <v>80</v>
      </c>
      <c r="D44">
        <v>47.359886168999999</v>
      </c>
      <c r="E44">
        <v>50</v>
      </c>
      <c r="F44">
        <v>14.997529030000001</v>
      </c>
      <c r="G44">
        <v>1340.333374</v>
      </c>
      <c r="H44">
        <v>1337.7993164</v>
      </c>
      <c r="I44">
        <v>1321.5120850000001</v>
      </c>
      <c r="J44">
        <v>1317.5544434000001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0.52771500000000005</v>
      </c>
      <c r="B45" s="1">
        <f>DATE(2010,5,1) + TIME(12,39,54)</f>
        <v>40299.527708333335</v>
      </c>
      <c r="C45">
        <v>80</v>
      </c>
      <c r="D45">
        <v>48.339992522999999</v>
      </c>
      <c r="E45">
        <v>50</v>
      </c>
      <c r="F45">
        <v>14.997536659</v>
      </c>
      <c r="G45">
        <v>1340.3743896000001</v>
      </c>
      <c r="H45">
        <v>1337.8576660000001</v>
      </c>
      <c r="I45">
        <v>1321.5021973</v>
      </c>
      <c r="J45">
        <v>1317.5433350000001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0.54759000000000002</v>
      </c>
      <c r="B46" s="1">
        <f>DATE(2010,5,1) + TIME(13,8,31)</f>
        <v>40299.547581018516</v>
      </c>
      <c r="C46">
        <v>80</v>
      </c>
      <c r="D46">
        <v>49.319229126000003</v>
      </c>
      <c r="E46">
        <v>50</v>
      </c>
      <c r="F46">
        <v>14.997544289</v>
      </c>
      <c r="G46">
        <v>1340.416626</v>
      </c>
      <c r="H46">
        <v>1337.916626</v>
      </c>
      <c r="I46">
        <v>1321.4932861</v>
      </c>
      <c r="J46">
        <v>1317.5332031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0.56788499999999997</v>
      </c>
      <c r="B47" s="1">
        <f>DATE(2010,5,1) + TIME(13,37,45)</f>
        <v>40299.567881944444</v>
      </c>
      <c r="C47">
        <v>80</v>
      </c>
      <c r="D47">
        <v>50.297405243</v>
      </c>
      <c r="E47">
        <v>50</v>
      </c>
      <c r="F47">
        <v>14.997551917999999</v>
      </c>
      <c r="G47">
        <v>1340.4602050999999</v>
      </c>
      <c r="H47">
        <v>1337.9759521000001</v>
      </c>
      <c r="I47">
        <v>1321.4852295000001</v>
      </c>
      <c r="J47">
        <v>1317.5238036999999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0.58863399999999999</v>
      </c>
      <c r="B48" s="1">
        <f>DATE(2010,5,1) + TIME(14,7,37)</f>
        <v>40299.588622685187</v>
      </c>
      <c r="C48">
        <v>80</v>
      </c>
      <c r="D48">
        <v>51.274406433000003</v>
      </c>
      <c r="E48">
        <v>50</v>
      </c>
      <c r="F48">
        <v>14.997560501000001</v>
      </c>
      <c r="G48">
        <v>1340.5048827999999</v>
      </c>
      <c r="H48">
        <v>1338.0357666</v>
      </c>
      <c r="I48">
        <v>1321.4780272999999</v>
      </c>
      <c r="J48">
        <v>1317.5151367000001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0.60987100000000005</v>
      </c>
      <c r="B49" s="1">
        <f>DATE(2010,5,1) + TIME(14,38,12)</f>
        <v>40299.609861111108</v>
      </c>
      <c r="C49">
        <v>80</v>
      </c>
      <c r="D49">
        <v>52.25062561</v>
      </c>
      <c r="E49">
        <v>50</v>
      </c>
      <c r="F49">
        <v>14.997569084</v>
      </c>
      <c r="G49">
        <v>1340.5506591999999</v>
      </c>
      <c r="H49">
        <v>1338.0960693</v>
      </c>
      <c r="I49">
        <v>1321.4715576000001</v>
      </c>
      <c r="J49">
        <v>1317.5072021000001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0.63162499999999999</v>
      </c>
      <c r="B50" s="1">
        <f>DATE(2010,5,1) + TIME(15,9,32)</f>
        <v>40299.631620370368</v>
      </c>
      <c r="C50">
        <v>80</v>
      </c>
      <c r="D50">
        <v>53.225715637</v>
      </c>
      <c r="E50">
        <v>50</v>
      </c>
      <c r="F50">
        <v>14.997577667</v>
      </c>
      <c r="G50">
        <v>1340.5977783000001</v>
      </c>
      <c r="H50">
        <v>1338.1568603999999</v>
      </c>
      <c r="I50">
        <v>1321.4658202999999</v>
      </c>
      <c r="J50">
        <v>1317.5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0.65393500000000004</v>
      </c>
      <c r="B51" s="1">
        <f>DATE(2010,5,1) + TIME(15,41,40)</f>
        <v>40299.653935185182</v>
      </c>
      <c r="C51">
        <v>80</v>
      </c>
      <c r="D51">
        <v>54.199584960999999</v>
      </c>
      <c r="E51">
        <v>50</v>
      </c>
      <c r="F51">
        <v>14.997587204</v>
      </c>
      <c r="G51">
        <v>1340.6459961</v>
      </c>
      <c r="H51">
        <v>1338.2181396000001</v>
      </c>
      <c r="I51">
        <v>1321.4608154</v>
      </c>
      <c r="J51">
        <v>1317.4932861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0.676844</v>
      </c>
      <c r="B52" s="1">
        <f>DATE(2010,5,1) + TIME(16,14,39)</f>
        <v>40299.676840277774</v>
      </c>
      <c r="C52">
        <v>80</v>
      </c>
      <c r="D52">
        <v>55.172145843999999</v>
      </c>
      <c r="E52">
        <v>50</v>
      </c>
      <c r="F52">
        <v>14.997596741000001</v>
      </c>
      <c r="G52">
        <v>1340.6953125</v>
      </c>
      <c r="H52">
        <v>1338.2799072</v>
      </c>
      <c r="I52">
        <v>1321.4564209</v>
      </c>
      <c r="J52">
        <v>1317.4873047000001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0.70039899999999999</v>
      </c>
      <c r="B53" s="1">
        <f>DATE(2010,5,1) + TIME(16,48,34)</f>
        <v>40299.70039351852</v>
      </c>
      <c r="C53">
        <v>80</v>
      </c>
      <c r="D53">
        <v>56.143295287999997</v>
      </c>
      <c r="E53">
        <v>50</v>
      </c>
      <c r="F53">
        <v>14.997606276999999</v>
      </c>
      <c r="G53">
        <v>1340.7457274999999</v>
      </c>
      <c r="H53">
        <v>1338.3421631000001</v>
      </c>
      <c r="I53">
        <v>1321.4527588000001</v>
      </c>
      <c r="J53">
        <v>1317.4818115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0.72465400000000002</v>
      </c>
      <c r="B54" s="1">
        <f>DATE(2010,5,1) + TIME(17,23,30)</f>
        <v>40299.724652777775</v>
      </c>
      <c r="C54">
        <v>80</v>
      </c>
      <c r="D54">
        <v>57.112930298000002</v>
      </c>
      <c r="E54">
        <v>50</v>
      </c>
      <c r="F54">
        <v>14.997616768</v>
      </c>
      <c r="G54">
        <v>1340.7973632999999</v>
      </c>
      <c r="H54">
        <v>1338.4047852000001</v>
      </c>
      <c r="I54">
        <v>1321.4495850000001</v>
      </c>
      <c r="J54">
        <v>1317.4769286999999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0.749668</v>
      </c>
      <c r="B55" s="1">
        <f>DATE(2010,5,1) + TIME(17,59,31)</f>
        <v>40299.749664351853</v>
      </c>
      <c r="C55">
        <v>80</v>
      </c>
      <c r="D55">
        <v>58.080921173</v>
      </c>
      <c r="E55">
        <v>50</v>
      </c>
      <c r="F55">
        <v>14.997627258</v>
      </c>
      <c r="G55">
        <v>1340.8499756000001</v>
      </c>
      <c r="H55">
        <v>1338.4680175999999</v>
      </c>
      <c r="I55">
        <v>1321.4470214999999</v>
      </c>
      <c r="J55">
        <v>1317.4725341999999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0.77551000000000003</v>
      </c>
      <c r="B56" s="1">
        <f>DATE(2010,5,1) + TIME(18,36,44)</f>
        <v>40299.775509259256</v>
      </c>
      <c r="C56">
        <v>80</v>
      </c>
      <c r="D56">
        <v>59.047130584999998</v>
      </c>
      <c r="E56">
        <v>50</v>
      </c>
      <c r="F56">
        <v>14.997637749000001</v>
      </c>
      <c r="G56">
        <v>1340.9038086</v>
      </c>
      <c r="H56">
        <v>1338.5317382999999</v>
      </c>
      <c r="I56">
        <v>1321.4450684000001</v>
      </c>
      <c r="J56">
        <v>1317.4686279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0.80225500000000005</v>
      </c>
      <c r="B57" s="1">
        <f>DATE(2010,5,1) + TIME(19,15,14)</f>
        <v>40299.802245370367</v>
      </c>
      <c r="C57">
        <v>80</v>
      </c>
      <c r="D57">
        <v>60.011394500999998</v>
      </c>
      <c r="E57">
        <v>50</v>
      </c>
      <c r="F57">
        <v>14.997649193000001</v>
      </c>
      <c r="G57">
        <v>1340.9586182</v>
      </c>
      <c r="H57">
        <v>1338.5959473</v>
      </c>
      <c r="I57">
        <v>1321.4437256000001</v>
      </c>
      <c r="J57">
        <v>1317.4650879000001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0.82999100000000003</v>
      </c>
      <c r="B58" s="1">
        <f>DATE(2010,5,1) + TIME(19,55,11)</f>
        <v>40299.829988425925</v>
      </c>
      <c r="C58">
        <v>80</v>
      </c>
      <c r="D58">
        <v>60.972904204999999</v>
      </c>
      <c r="E58">
        <v>50</v>
      </c>
      <c r="F58">
        <v>14.997660636999999</v>
      </c>
      <c r="G58">
        <v>1341.0145264</v>
      </c>
      <c r="H58">
        <v>1338.6606445</v>
      </c>
      <c r="I58">
        <v>1321.442749</v>
      </c>
      <c r="J58">
        <v>1317.4621582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0.85883799999999999</v>
      </c>
      <c r="B59" s="1">
        <f>DATE(2010,5,1) + TIME(20,36,43)</f>
        <v>40299.858831018515</v>
      </c>
      <c r="C59">
        <v>80</v>
      </c>
      <c r="D59">
        <v>61.932678223000003</v>
      </c>
      <c r="E59">
        <v>50</v>
      </c>
      <c r="F59">
        <v>14.997672080999999</v>
      </c>
      <c r="G59">
        <v>1341.0715332</v>
      </c>
      <c r="H59">
        <v>1338.7258300999999</v>
      </c>
      <c r="I59">
        <v>1321.4423827999999</v>
      </c>
      <c r="J59">
        <v>1317.4595947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0.88889399999999996</v>
      </c>
      <c r="B60" s="1">
        <f>DATE(2010,5,1) + TIME(21,20,0)</f>
        <v>40299.888888888891</v>
      </c>
      <c r="C60">
        <v>80</v>
      </c>
      <c r="D60">
        <v>62.889911652000002</v>
      </c>
      <c r="E60">
        <v>50</v>
      </c>
      <c r="F60">
        <v>14.997684479</v>
      </c>
      <c r="G60">
        <v>1341.1296387</v>
      </c>
      <c r="H60">
        <v>1338.7915039</v>
      </c>
      <c r="I60">
        <v>1321.4425048999999</v>
      </c>
      <c r="J60">
        <v>1317.4573975000001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0.92029300000000003</v>
      </c>
      <c r="B61" s="1">
        <f>DATE(2010,5,1) + TIME(22,5,13)</f>
        <v>40299.920289351852</v>
      </c>
      <c r="C61">
        <v>80</v>
      </c>
      <c r="D61">
        <v>63.844329834</v>
      </c>
      <c r="E61">
        <v>50</v>
      </c>
      <c r="F61">
        <v>14.997696876999999</v>
      </c>
      <c r="G61">
        <v>1341.1887207</v>
      </c>
      <c r="H61">
        <v>1338.8577881000001</v>
      </c>
      <c r="I61">
        <v>1321.4429932</v>
      </c>
      <c r="J61">
        <v>1317.4555664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0.95319100000000001</v>
      </c>
      <c r="B62" s="1">
        <f>DATE(2010,5,1) + TIME(22,52,35)</f>
        <v>40299.953182870369</v>
      </c>
      <c r="C62">
        <v>80</v>
      </c>
      <c r="D62">
        <v>64.795631408999995</v>
      </c>
      <c r="E62">
        <v>50</v>
      </c>
      <c r="F62">
        <v>14.997710228000001</v>
      </c>
      <c r="G62">
        <v>1341.2490233999999</v>
      </c>
      <c r="H62">
        <v>1338.9244385</v>
      </c>
      <c r="I62">
        <v>1321.4440918</v>
      </c>
      <c r="J62">
        <v>1317.4541016000001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0.98777300000000001</v>
      </c>
      <c r="B63" s="1">
        <f>DATE(2010,5,1) + TIME(23,42,23)</f>
        <v>40299.987766203703</v>
      </c>
      <c r="C63">
        <v>80</v>
      </c>
      <c r="D63">
        <v>65.743629455999994</v>
      </c>
      <c r="E63">
        <v>50</v>
      </c>
      <c r="F63">
        <v>14.997723579000001</v>
      </c>
      <c r="G63">
        <v>1341.3103027</v>
      </c>
      <c r="H63">
        <v>1338.9915771000001</v>
      </c>
      <c r="I63">
        <v>1321.4455565999999</v>
      </c>
      <c r="J63">
        <v>1317.453125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1.0242519999999999</v>
      </c>
      <c r="B64" s="1">
        <f>DATE(2010,5,2) + TIME(0,34,55)</f>
        <v>40300.024247685185</v>
      </c>
      <c r="C64">
        <v>80</v>
      </c>
      <c r="D64">
        <v>66.687622070000003</v>
      </c>
      <c r="E64">
        <v>50</v>
      </c>
      <c r="F64">
        <v>14.997737884999999</v>
      </c>
      <c r="G64">
        <v>1341.3728027</v>
      </c>
      <c r="H64">
        <v>1339.0592041</v>
      </c>
      <c r="I64">
        <v>1321.4476318</v>
      </c>
      <c r="J64">
        <v>1317.4523925999999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1.043115</v>
      </c>
      <c r="B65" s="1">
        <f>DATE(2010,5,2) + TIME(1,2,5)</f>
        <v>40300.043113425927</v>
      </c>
      <c r="C65">
        <v>80</v>
      </c>
      <c r="D65">
        <v>67.164878845000004</v>
      </c>
      <c r="E65">
        <v>50</v>
      </c>
      <c r="F65">
        <v>14.997745514</v>
      </c>
      <c r="G65">
        <v>1341.4484863</v>
      </c>
      <c r="H65">
        <v>1339.1186522999999</v>
      </c>
      <c r="I65">
        <v>1321.4487305</v>
      </c>
      <c r="J65">
        <v>1317.4521483999999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1.0619780000000001</v>
      </c>
      <c r="B66" s="1">
        <f>DATE(2010,5,2) + TIME(1,29,14)</f>
        <v>40300.061967592592</v>
      </c>
      <c r="C66">
        <v>80</v>
      </c>
      <c r="D66">
        <v>67.626922606999997</v>
      </c>
      <c r="E66">
        <v>50</v>
      </c>
      <c r="F66">
        <v>14.99775219</v>
      </c>
      <c r="G66">
        <v>1341.480957</v>
      </c>
      <c r="H66">
        <v>1339.1555175999999</v>
      </c>
      <c r="I66">
        <v>1321.4499512</v>
      </c>
      <c r="J66">
        <v>1317.4519043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1.0808409999999999</v>
      </c>
      <c r="B67" s="1">
        <f>DATE(2010,5,2) + TIME(1,56,24)</f>
        <v>40300.080833333333</v>
      </c>
      <c r="C67">
        <v>80</v>
      </c>
      <c r="D67">
        <v>68.074462890999996</v>
      </c>
      <c r="E67">
        <v>50</v>
      </c>
      <c r="F67">
        <v>14.997759819000001</v>
      </c>
      <c r="G67">
        <v>1341.5130615</v>
      </c>
      <c r="H67">
        <v>1339.1900635</v>
      </c>
      <c r="I67">
        <v>1321.4511719</v>
      </c>
      <c r="J67">
        <v>1317.4519043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1.099704</v>
      </c>
      <c r="B68" s="1">
        <f>DATE(2010,5,2) + TIME(2,23,34)</f>
        <v>40300.099699074075</v>
      </c>
      <c r="C68">
        <v>80</v>
      </c>
      <c r="D68">
        <v>68.507904053000004</v>
      </c>
      <c r="E68">
        <v>50</v>
      </c>
      <c r="F68">
        <v>14.997766495</v>
      </c>
      <c r="G68">
        <v>1341.5445557</v>
      </c>
      <c r="H68">
        <v>1339.2235106999999</v>
      </c>
      <c r="I68">
        <v>1321.4525146000001</v>
      </c>
      <c r="J68">
        <v>1317.4517822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1.1185480000000001</v>
      </c>
      <c r="B69" s="1">
        <f>DATE(2010,5,2) + TIME(2,50,42)</f>
        <v>40300.118541666663</v>
      </c>
      <c r="C69">
        <v>80</v>
      </c>
      <c r="D69">
        <v>68.927177428999997</v>
      </c>
      <c r="E69">
        <v>50</v>
      </c>
      <c r="F69">
        <v>14.99777317</v>
      </c>
      <c r="G69">
        <v>1341.5754394999999</v>
      </c>
      <c r="H69">
        <v>1339.2558594</v>
      </c>
      <c r="I69">
        <v>1321.4539795000001</v>
      </c>
      <c r="J69">
        <v>1317.4519043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1.1373310000000001</v>
      </c>
      <c r="B70" s="1">
        <f>DATE(2010,5,2) + TIME(3,17,45)</f>
        <v>40300.137326388889</v>
      </c>
      <c r="C70">
        <v>80</v>
      </c>
      <c r="D70">
        <v>69.331771850999999</v>
      </c>
      <c r="E70">
        <v>50</v>
      </c>
      <c r="F70">
        <v>14.997780799999999</v>
      </c>
      <c r="G70">
        <v>1341.6055908000001</v>
      </c>
      <c r="H70">
        <v>1339.2872314000001</v>
      </c>
      <c r="I70">
        <v>1321.4554443</v>
      </c>
      <c r="J70">
        <v>1317.4520264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1.1560630000000001</v>
      </c>
      <c r="B71" s="1">
        <f>DATE(2010,5,2) + TIME(3,44,43)</f>
        <v>40300.156053240738</v>
      </c>
      <c r="C71">
        <v>80</v>
      </c>
      <c r="D71">
        <v>69.722328185999999</v>
      </c>
      <c r="E71">
        <v>50</v>
      </c>
      <c r="F71">
        <v>14.997787475999999</v>
      </c>
      <c r="G71">
        <v>1341.6350098</v>
      </c>
      <c r="H71">
        <v>1339.3176269999999</v>
      </c>
      <c r="I71">
        <v>1321.4569091999999</v>
      </c>
      <c r="J71">
        <v>1317.4521483999999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1.1747540000000001</v>
      </c>
      <c r="B72" s="1">
        <f>DATE(2010,5,2) + TIME(4,11,38)</f>
        <v>40300.174745370372</v>
      </c>
      <c r="C72">
        <v>80</v>
      </c>
      <c r="D72">
        <v>70.099380492999998</v>
      </c>
      <c r="E72">
        <v>50</v>
      </c>
      <c r="F72">
        <v>14.997794151000001</v>
      </c>
      <c r="G72">
        <v>1341.6638184000001</v>
      </c>
      <c r="H72">
        <v>1339.3470459</v>
      </c>
      <c r="I72">
        <v>1321.4584961</v>
      </c>
      <c r="J72">
        <v>1317.4523925999999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1.1934149999999999</v>
      </c>
      <c r="B73" s="1">
        <f>DATE(2010,5,2) + TIME(4,38,31)</f>
        <v>40300.193414351852</v>
      </c>
      <c r="C73">
        <v>80</v>
      </c>
      <c r="D73">
        <v>70.463378906000003</v>
      </c>
      <c r="E73">
        <v>50</v>
      </c>
      <c r="F73">
        <v>14.997800827000001</v>
      </c>
      <c r="G73">
        <v>1341.6917725000001</v>
      </c>
      <c r="H73">
        <v>1339.3756103999999</v>
      </c>
      <c r="I73">
        <v>1321.4600829999999</v>
      </c>
      <c r="J73">
        <v>1317.4526367000001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1.212054</v>
      </c>
      <c r="B74" s="1">
        <f>DATE(2010,5,2) + TIME(5,5,21)</f>
        <v>40300.212048611109</v>
      </c>
      <c r="C74">
        <v>80</v>
      </c>
      <c r="D74">
        <v>70.815040588000002</v>
      </c>
      <c r="E74">
        <v>50</v>
      </c>
      <c r="F74">
        <v>14.997807503000001</v>
      </c>
      <c r="G74">
        <v>1341.7191161999999</v>
      </c>
      <c r="H74">
        <v>1339.4034423999999</v>
      </c>
      <c r="I74">
        <v>1321.4616699000001</v>
      </c>
      <c r="J74">
        <v>1317.4528809000001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1.2306809999999999</v>
      </c>
      <c r="B75" s="1">
        <f>DATE(2010,5,2) + TIME(5,32,10)</f>
        <v>40300.230671296296</v>
      </c>
      <c r="C75">
        <v>80</v>
      </c>
      <c r="D75">
        <v>71.154861449999999</v>
      </c>
      <c r="E75">
        <v>50</v>
      </c>
      <c r="F75">
        <v>14.997814178</v>
      </c>
      <c r="G75">
        <v>1341.7457274999999</v>
      </c>
      <c r="H75">
        <v>1339.4304199000001</v>
      </c>
      <c r="I75">
        <v>1321.4633789</v>
      </c>
      <c r="J75">
        <v>1317.4532471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1.2493050000000001</v>
      </c>
      <c r="B76" s="1">
        <f>DATE(2010,5,2) + TIME(5,58,59)</f>
        <v>40300.249293981484</v>
      </c>
      <c r="C76">
        <v>80</v>
      </c>
      <c r="D76">
        <v>71.483314514</v>
      </c>
      <c r="E76">
        <v>50</v>
      </c>
      <c r="F76">
        <v>14.997819901</v>
      </c>
      <c r="G76">
        <v>1341.7717285000001</v>
      </c>
      <c r="H76">
        <v>1339.456543</v>
      </c>
      <c r="I76">
        <v>1321.4649658000001</v>
      </c>
      <c r="J76">
        <v>1317.4534911999999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1.2679290000000001</v>
      </c>
      <c r="B77" s="1">
        <f>DATE(2010,5,2) + TIME(6,25,49)</f>
        <v>40300.267928240741</v>
      </c>
      <c r="C77">
        <v>80</v>
      </c>
      <c r="D77">
        <v>71.800735474000007</v>
      </c>
      <c r="E77">
        <v>50</v>
      </c>
      <c r="F77">
        <v>14.997826576</v>
      </c>
      <c r="G77">
        <v>1341.7971190999999</v>
      </c>
      <c r="H77">
        <v>1339.4820557</v>
      </c>
      <c r="I77">
        <v>1321.4665527</v>
      </c>
      <c r="J77">
        <v>1317.4538574000001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1.2865530000000001</v>
      </c>
      <c r="B78" s="1">
        <f>DATE(2010,5,2) + TIME(6,52,38)</f>
        <v>40300.286550925928</v>
      </c>
      <c r="C78">
        <v>80</v>
      </c>
      <c r="D78">
        <v>72.107421875</v>
      </c>
      <c r="E78">
        <v>50</v>
      </c>
      <c r="F78">
        <v>14.997833252</v>
      </c>
      <c r="G78">
        <v>1341.8218993999999</v>
      </c>
      <c r="H78">
        <v>1339.5067139</v>
      </c>
      <c r="I78">
        <v>1321.4682617000001</v>
      </c>
      <c r="J78">
        <v>1317.4543457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1.305177</v>
      </c>
      <c r="B79" s="1">
        <f>DATE(2010,5,2) + TIME(7,19,27)</f>
        <v>40300.305173611108</v>
      </c>
      <c r="C79">
        <v>80</v>
      </c>
      <c r="D79">
        <v>72.403663635000001</v>
      </c>
      <c r="E79">
        <v>50</v>
      </c>
      <c r="F79">
        <v>14.997838974</v>
      </c>
      <c r="G79">
        <v>1341.8460693</v>
      </c>
      <c r="H79">
        <v>1339.5306396000001</v>
      </c>
      <c r="I79">
        <v>1321.4698486</v>
      </c>
      <c r="J79">
        <v>1317.4547118999999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1.323801</v>
      </c>
      <c r="B80" s="1">
        <f>DATE(2010,5,2) + TIME(7,46,16)</f>
        <v>40300.323796296296</v>
      </c>
      <c r="C80">
        <v>80</v>
      </c>
      <c r="D80">
        <v>72.689743042000003</v>
      </c>
      <c r="E80">
        <v>50</v>
      </c>
      <c r="F80">
        <v>14.99784565</v>
      </c>
      <c r="G80">
        <v>1341.8696289</v>
      </c>
      <c r="H80">
        <v>1339.5539550999999</v>
      </c>
      <c r="I80">
        <v>1321.4715576000001</v>
      </c>
      <c r="J80">
        <v>1317.4552002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1.342425</v>
      </c>
      <c r="B81" s="1">
        <f>DATE(2010,5,2) + TIME(8,13,5)</f>
        <v>40300.342418981483</v>
      </c>
      <c r="C81">
        <v>80</v>
      </c>
      <c r="D81">
        <v>72.965942382999998</v>
      </c>
      <c r="E81">
        <v>50</v>
      </c>
      <c r="F81">
        <v>14.997851372</v>
      </c>
      <c r="G81">
        <v>1341.8925781</v>
      </c>
      <c r="H81">
        <v>1339.5765381000001</v>
      </c>
      <c r="I81">
        <v>1321.4732666</v>
      </c>
      <c r="J81">
        <v>1317.4555664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1.361049</v>
      </c>
      <c r="B82" s="1">
        <f>DATE(2010,5,2) + TIME(8,39,54)</f>
        <v>40300.361041666663</v>
      </c>
      <c r="C82">
        <v>80</v>
      </c>
      <c r="D82">
        <v>73.232536315999994</v>
      </c>
      <c r="E82">
        <v>50</v>
      </c>
      <c r="F82">
        <v>14.997857094</v>
      </c>
      <c r="G82">
        <v>1341.9149170000001</v>
      </c>
      <c r="H82">
        <v>1339.5985106999999</v>
      </c>
      <c r="I82">
        <v>1321.4748535000001</v>
      </c>
      <c r="J82">
        <v>1317.4560547000001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1.3796729999999999</v>
      </c>
      <c r="B83" s="1">
        <f>DATE(2010,5,2) + TIME(9,6,43)</f>
        <v>40300.379664351851</v>
      </c>
      <c r="C83">
        <v>80</v>
      </c>
      <c r="D83">
        <v>73.489799500000004</v>
      </c>
      <c r="E83">
        <v>50</v>
      </c>
      <c r="F83">
        <v>14.99786377</v>
      </c>
      <c r="G83">
        <v>1341.9367675999999</v>
      </c>
      <c r="H83">
        <v>1339.619751</v>
      </c>
      <c r="I83">
        <v>1321.4764404</v>
      </c>
      <c r="J83">
        <v>1317.456543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1.3982969999999999</v>
      </c>
      <c r="B84" s="1">
        <f>DATE(2010,5,2) + TIME(9,33,32)</f>
        <v>40300.398287037038</v>
      </c>
      <c r="C84">
        <v>80</v>
      </c>
      <c r="D84">
        <v>73.737998962000006</v>
      </c>
      <c r="E84">
        <v>50</v>
      </c>
      <c r="F84">
        <v>14.997869492</v>
      </c>
      <c r="G84">
        <v>1341.9580077999999</v>
      </c>
      <c r="H84">
        <v>1339.6402588000001</v>
      </c>
      <c r="I84">
        <v>1321.4781493999999</v>
      </c>
      <c r="J84">
        <v>1317.4570312000001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1.4355450000000001</v>
      </c>
      <c r="B85" s="1">
        <f>DATE(2010,5,2) + TIME(10,27,11)</f>
        <v>40300.435543981483</v>
      </c>
      <c r="C85">
        <v>80</v>
      </c>
      <c r="D85">
        <v>74.198158264</v>
      </c>
      <c r="E85">
        <v>50</v>
      </c>
      <c r="F85">
        <v>14.997880936</v>
      </c>
      <c r="G85">
        <v>1341.9726562000001</v>
      </c>
      <c r="H85">
        <v>1339.6645507999999</v>
      </c>
      <c r="I85">
        <v>1321.4813231999999</v>
      </c>
      <c r="J85">
        <v>1317.4580077999999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1.472909</v>
      </c>
      <c r="B86" s="1">
        <f>DATE(2010,5,2) + TIME(11,20,59)</f>
        <v>40300.472905092596</v>
      </c>
      <c r="C86">
        <v>80</v>
      </c>
      <c r="D86">
        <v>74.628189086999996</v>
      </c>
      <c r="E86">
        <v>50</v>
      </c>
      <c r="F86">
        <v>14.997891426000001</v>
      </c>
      <c r="G86">
        <v>1342.012207</v>
      </c>
      <c r="H86">
        <v>1339.7003173999999</v>
      </c>
      <c r="I86">
        <v>1321.4844971</v>
      </c>
      <c r="J86">
        <v>1317.4589844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1.5106329999999999</v>
      </c>
      <c r="B87" s="1">
        <f>DATE(2010,5,2) + TIME(12,15,18)</f>
        <v>40300.510625000003</v>
      </c>
      <c r="C87">
        <v>80</v>
      </c>
      <c r="D87">
        <v>75.031806946000003</v>
      </c>
      <c r="E87">
        <v>50</v>
      </c>
      <c r="F87">
        <v>14.997902870000001</v>
      </c>
      <c r="G87">
        <v>1342.0494385</v>
      </c>
      <c r="H87">
        <v>1339.7347411999999</v>
      </c>
      <c r="I87">
        <v>1321.4875488</v>
      </c>
      <c r="J87">
        <v>1317.4599608999999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1.548786</v>
      </c>
      <c r="B88" s="1">
        <f>DATE(2010,5,2) + TIME(13,10,15)</f>
        <v>40300.548784722225</v>
      </c>
      <c r="C88">
        <v>80</v>
      </c>
      <c r="D88">
        <v>75.410408020000006</v>
      </c>
      <c r="E88">
        <v>50</v>
      </c>
      <c r="F88">
        <v>14.997913361</v>
      </c>
      <c r="G88">
        <v>1342.0850829999999</v>
      </c>
      <c r="H88">
        <v>1339.7675781</v>
      </c>
      <c r="I88">
        <v>1321.4904785000001</v>
      </c>
      <c r="J88">
        <v>1317.4610596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1.587429</v>
      </c>
      <c r="B89" s="1">
        <f>DATE(2010,5,2) + TIME(14,5,53)</f>
        <v>40300.587418981479</v>
      </c>
      <c r="C89">
        <v>80</v>
      </c>
      <c r="D89">
        <v>75.765663146999998</v>
      </c>
      <c r="E89">
        <v>50</v>
      </c>
      <c r="F89">
        <v>14.997923850999999</v>
      </c>
      <c r="G89">
        <v>1342.1188964999999</v>
      </c>
      <c r="H89">
        <v>1339.7985839999999</v>
      </c>
      <c r="I89">
        <v>1321.4935303</v>
      </c>
      <c r="J89">
        <v>1317.4620361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1.6266240000000001</v>
      </c>
      <c r="B90" s="1">
        <f>DATE(2010,5,2) + TIME(15,2,20)</f>
        <v>40300.626620370371</v>
      </c>
      <c r="C90">
        <v>80</v>
      </c>
      <c r="D90">
        <v>76.098884583</v>
      </c>
      <c r="E90">
        <v>50</v>
      </c>
      <c r="F90">
        <v>14.997935295</v>
      </c>
      <c r="G90">
        <v>1342.1512451000001</v>
      </c>
      <c r="H90">
        <v>1339.8280029</v>
      </c>
      <c r="I90">
        <v>1321.4964600000001</v>
      </c>
      <c r="J90">
        <v>1317.4630127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1.6664350000000001</v>
      </c>
      <c r="B91" s="1">
        <f>DATE(2010,5,2) + TIME(15,59,39)</f>
        <v>40300.66642361111</v>
      </c>
      <c r="C91">
        <v>80</v>
      </c>
      <c r="D91">
        <v>76.411277771000002</v>
      </c>
      <c r="E91">
        <v>50</v>
      </c>
      <c r="F91">
        <v>14.997945786000001</v>
      </c>
      <c r="G91">
        <v>1342.1821289</v>
      </c>
      <c r="H91">
        <v>1339.8557129000001</v>
      </c>
      <c r="I91">
        <v>1321.4993896000001</v>
      </c>
      <c r="J91">
        <v>1317.4639893000001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1.706928</v>
      </c>
      <c r="B92" s="1">
        <f>DATE(2010,5,2) + TIME(16,57,58)</f>
        <v>40300.706921296296</v>
      </c>
      <c r="C92">
        <v>80</v>
      </c>
      <c r="D92">
        <v>76.703964232999994</v>
      </c>
      <c r="E92">
        <v>50</v>
      </c>
      <c r="F92">
        <v>14.997955321999999</v>
      </c>
      <c r="G92">
        <v>1342.2114257999999</v>
      </c>
      <c r="H92">
        <v>1339.8818358999999</v>
      </c>
      <c r="I92">
        <v>1321.5021973</v>
      </c>
      <c r="J92">
        <v>1317.4649658000001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1.7481739999999999</v>
      </c>
      <c r="B93" s="1">
        <f>DATE(2010,5,2) + TIME(17,57,22)</f>
        <v>40300.748171296298</v>
      </c>
      <c r="C93">
        <v>80</v>
      </c>
      <c r="D93">
        <v>76.977996825999995</v>
      </c>
      <c r="E93">
        <v>50</v>
      </c>
      <c r="F93">
        <v>14.997965813</v>
      </c>
      <c r="G93">
        <v>1342.2393798999999</v>
      </c>
      <c r="H93">
        <v>1339.9063721</v>
      </c>
      <c r="I93">
        <v>1321.5050048999999</v>
      </c>
      <c r="J93">
        <v>1317.4659423999999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1.790246</v>
      </c>
      <c r="B94" s="1">
        <f>DATE(2010,5,2) + TIME(18,57,57)</f>
        <v>40300.790243055555</v>
      </c>
      <c r="C94">
        <v>80</v>
      </c>
      <c r="D94">
        <v>77.234329224000007</v>
      </c>
      <c r="E94">
        <v>50</v>
      </c>
      <c r="F94">
        <v>14.997976303</v>
      </c>
      <c r="G94">
        <v>1342.2658690999999</v>
      </c>
      <c r="H94">
        <v>1339.9294434000001</v>
      </c>
      <c r="I94">
        <v>1321.5078125</v>
      </c>
      <c r="J94">
        <v>1317.4669189000001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1.833237</v>
      </c>
      <c r="B95" s="1">
        <f>DATE(2010,5,2) + TIME(19,59,51)</f>
        <v>40300.833229166667</v>
      </c>
      <c r="C95">
        <v>80</v>
      </c>
      <c r="D95">
        <v>77.473953246999997</v>
      </c>
      <c r="E95">
        <v>50</v>
      </c>
      <c r="F95">
        <v>14.997986793999999</v>
      </c>
      <c r="G95">
        <v>1342.2911377</v>
      </c>
      <c r="H95">
        <v>1339.9509277</v>
      </c>
      <c r="I95">
        <v>1321.5106201000001</v>
      </c>
      <c r="J95">
        <v>1317.4678954999999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1.8772230000000001</v>
      </c>
      <c r="B96" s="1">
        <f>DATE(2010,5,2) + TIME(21,3,12)</f>
        <v>40300.877222222225</v>
      </c>
      <c r="C96">
        <v>80</v>
      </c>
      <c r="D96">
        <v>77.697654724000003</v>
      </c>
      <c r="E96">
        <v>50</v>
      </c>
      <c r="F96">
        <v>14.997997284</v>
      </c>
      <c r="G96">
        <v>1342.3149414</v>
      </c>
      <c r="H96">
        <v>1339.9710693</v>
      </c>
      <c r="I96">
        <v>1321.5133057</v>
      </c>
      <c r="J96">
        <v>1317.4688721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1.9222939999999999</v>
      </c>
      <c r="B97" s="1">
        <f>DATE(2010,5,2) + TIME(22,8,6)</f>
        <v>40300.922291666669</v>
      </c>
      <c r="C97">
        <v>80</v>
      </c>
      <c r="D97">
        <v>77.906227111999996</v>
      </c>
      <c r="E97">
        <v>50</v>
      </c>
      <c r="F97">
        <v>14.998006821000001</v>
      </c>
      <c r="G97">
        <v>1342.3376464999999</v>
      </c>
      <c r="H97">
        <v>1339.9898682</v>
      </c>
      <c r="I97">
        <v>1321.5158690999999</v>
      </c>
      <c r="J97">
        <v>1317.4697266000001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1.96855</v>
      </c>
      <c r="B98" s="1">
        <f>DATE(2010,5,2) + TIME(23,14,42)</f>
        <v>40300.968541666669</v>
      </c>
      <c r="C98">
        <v>80</v>
      </c>
      <c r="D98">
        <v>78.100425720000004</v>
      </c>
      <c r="E98">
        <v>50</v>
      </c>
      <c r="F98">
        <v>14.998017311</v>
      </c>
      <c r="G98">
        <v>1342.3588867000001</v>
      </c>
      <c r="H98">
        <v>1340.0072021000001</v>
      </c>
      <c r="I98">
        <v>1321.5184326000001</v>
      </c>
      <c r="J98">
        <v>1317.4705810999999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2.0160990000000001</v>
      </c>
      <c r="B99" s="1">
        <f>DATE(2010,5,3) + TIME(0,23,10)</f>
        <v>40301.016087962962</v>
      </c>
      <c r="C99">
        <v>80</v>
      </c>
      <c r="D99">
        <v>78.280960082999997</v>
      </c>
      <c r="E99">
        <v>50</v>
      </c>
      <c r="F99">
        <v>14.998027801999999</v>
      </c>
      <c r="G99">
        <v>1342.3790283000001</v>
      </c>
      <c r="H99">
        <v>1340.0233154</v>
      </c>
      <c r="I99">
        <v>1321.5209961</v>
      </c>
      <c r="J99">
        <v>1317.4715576000001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2.065064</v>
      </c>
      <c r="B100" s="1">
        <f>DATE(2010,5,3) + TIME(1,33,41)</f>
        <v>40301.065057870372</v>
      </c>
      <c r="C100">
        <v>80</v>
      </c>
      <c r="D100">
        <v>78.448509216000005</v>
      </c>
      <c r="E100">
        <v>50</v>
      </c>
      <c r="F100">
        <v>14.998037338</v>
      </c>
      <c r="G100">
        <v>1342.3978271000001</v>
      </c>
      <c r="H100">
        <v>1340.0379639</v>
      </c>
      <c r="I100">
        <v>1321.5235596</v>
      </c>
      <c r="J100">
        <v>1317.4722899999999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2.1155759999999999</v>
      </c>
      <c r="B101" s="1">
        <f>DATE(2010,5,3) + TIME(2,46,25)</f>
        <v>40301.115567129629</v>
      </c>
      <c r="C101">
        <v>80</v>
      </c>
      <c r="D101">
        <v>78.603713988999999</v>
      </c>
      <c r="E101">
        <v>50</v>
      </c>
      <c r="F101">
        <v>14.998047829000001</v>
      </c>
      <c r="G101">
        <v>1342.4155272999999</v>
      </c>
      <c r="H101">
        <v>1340.0513916</v>
      </c>
      <c r="I101">
        <v>1321.526001</v>
      </c>
      <c r="J101">
        <v>1317.4731445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2.1677849999999999</v>
      </c>
      <c r="B102" s="1">
        <f>DATE(2010,5,3) + TIME(4,1,36)</f>
        <v>40301.16777777778</v>
      </c>
      <c r="C102">
        <v>80</v>
      </c>
      <c r="D102">
        <v>78.747192382999998</v>
      </c>
      <c r="E102">
        <v>50</v>
      </c>
      <c r="F102">
        <v>14.998058319</v>
      </c>
      <c r="G102">
        <v>1342.4320068</v>
      </c>
      <c r="H102">
        <v>1340.0634766000001</v>
      </c>
      <c r="I102">
        <v>1321.5283202999999</v>
      </c>
      <c r="J102">
        <v>1317.473999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2.2216300000000002</v>
      </c>
      <c r="B103" s="1">
        <f>DATE(2010,5,3) + TIME(5,19,8)</f>
        <v>40301.221620370372</v>
      </c>
      <c r="C103">
        <v>80</v>
      </c>
      <c r="D103">
        <v>78.879035950000002</v>
      </c>
      <c r="E103">
        <v>50</v>
      </c>
      <c r="F103">
        <v>14.998068809999999</v>
      </c>
      <c r="G103">
        <v>1342.4472656</v>
      </c>
      <c r="H103">
        <v>1340.0742187999999</v>
      </c>
      <c r="I103">
        <v>1321.5307617000001</v>
      </c>
      <c r="J103">
        <v>1317.4747314000001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2.2770769999999998</v>
      </c>
      <c r="B104" s="1">
        <f>DATE(2010,5,3) + TIME(6,38,59)</f>
        <v>40301.277071759258</v>
      </c>
      <c r="C104">
        <v>80</v>
      </c>
      <c r="D104">
        <v>78.999557495000005</v>
      </c>
      <c r="E104">
        <v>50</v>
      </c>
      <c r="F104">
        <v>14.998078346</v>
      </c>
      <c r="G104">
        <v>1342.4613036999999</v>
      </c>
      <c r="H104">
        <v>1340.0837402</v>
      </c>
      <c r="I104">
        <v>1321.5329589999999</v>
      </c>
      <c r="J104">
        <v>1317.4754639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2.3342800000000001</v>
      </c>
      <c r="B105" s="1">
        <f>DATE(2010,5,3) + TIME(8,1,21)</f>
        <v>40301.334270833337</v>
      </c>
      <c r="C105">
        <v>80</v>
      </c>
      <c r="D105">
        <v>79.109481811999999</v>
      </c>
      <c r="E105">
        <v>50</v>
      </c>
      <c r="F105">
        <v>14.998088836999999</v>
      </c>
      <c r="G105">
        <v>1342.4741211</v>
      </c>
      <c r="H105">
        <v>1340.0919189000001</v>
      </c>
      <c r="I105">
        <v>1321.5351562000001</v>
      </c>
      <c r="J105">
        <v>1317.4761963000001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2.3934060000000001</v>
      </c>
      <c r="B106" s="1">
        <f>DATE(2010,5,3) + TIME(9,26,30)</f>
        <v>40301.39340277778</v>
      </c>
      <c r="C106">
        <v>80</v>
      </c>
      <c r="D106">
        <v>79.209487914999997</v>
      </c>
      <c r="E106">
        <v>50</v>
      </c>
      <c r="F106">
        <v>14.998099327</v>
      </c>
      <c r="G106">
        <v>1342.4855957</v>
      </c>
      <c r="H106">
        <v>1340.0987548999999</v>
      </c>
      <c r="I106">
        <v>1321.5373535000001</v>
      </c>
      <c r="J106">
        <v>1317.4769286999999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2.454612</v>
      </c>
      <c r="B107" s="1">
        <f>DATE(2010,5,3) + TIME(10,54,38)</f>
        <v>40301.454606481479</v>
      </c>
      <c r="C107">
        <v>80</v>
      </c>
      <c r="D107">
        <v>79.300201415999993</v>
      </c>
      <c r="E107">
        <v>50</v>
      </c>
      <c r="F107">
        <v>14.998109818</v>
      </c>
      <c r="G107">
        <v>1342.4958495999999</v>
      </c>
      <c r="H107">
        <v>1340.1043701000001</v>
      </c>
      <c r="I107">
        <v>1321.5394286999999</v>
      </c>
      <c r="J107">
        <v>1317.4775391000001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2.517963</v>
      </c>
      <c r="B108" s="1">
        <f>DATE(2010,5,3) + TIME(12,25,51)</f>
        <v>40301.517951388887</v>
      </c>
      <c r="C108">
        <v>80</v>
      </c>
      <c r="D108">
        <v>79.382072449000006</v>
      </c>
      <c r="E108">
        <v>50</v>
      </c>
      <c r="F108">
        <v>14.998120308000001</v>
      </c>
      <c r="G108">
        <v>1342.5050048999999</v>
      </c>
      <c r="H108">
        <v>1340.1086425999999</v>
      </c>
      <c r="I108">
        <v>1321.5415039</v>
      </c>
      <c r="J108">
        <v>1317.4781493999999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2.5836060000000001</v>
      </c>
      <c r="B109" s="1">
        <f>DATE(2010,5,3) + TIME(14,0,23)</f>
        <v>40301.583599537036</v>
      </c>
      <c r="C109">
        <v>80</v>
      </c>
      <c r="D109">
        <v>79.455688476999995</v>
      </c>
      <c r="E109">
        <v>50</v>
      </c>
      <c r="F109">
        <v>14.998130798</v>
      </c>
      <c r="G109">
        <v>1342.5128173999999</v>
      </c>
      <c r="H109">
        <v>1340.1116943</v>
      </c>
      <c r="I109">
        <v>1321.5435791</v>
      </c>
      <c r="J109">
        <v>1317.4787598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2.6173950000000001</v>
      </c>
      <c r="B110" s="1">
        <f>DATE(2010,5,3) + TIME(14,49,2)</f>
        <v>40301.617384259262</v>
      </c>
      <c r="C110">
        <v>80</v>
      </c>
      <c r="D110">
        <v>79.490905761999997</v>
      </c>
      <c r="E110">
        <v>50</v>
      </c>
      <c r="F110">
        <v>14.998136519999999</v>
      </c>
      <c r="G110">
        <v>1342.5217285000001</v>
      </c>
      <c r="H110">
        <v>1340.1124268000001</v>
      </c>
      <c r="I110">
        <v>1321.5445557</v>
      </c>
      <c r="J110">
        <v>1317.479126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2.6511830000000001</v>
      </c>
      <c r="B111" s="1">
        <f>DATE(2010,5,3) + TIME(15,37,42)</f>
        <v>40301.651180555556</v>
      </c>
      <c r="C111">
        <v>80</v>
      </c>
      <c r="D111">
        <v>79.523529053000004</v>
      </c>
      <c r="E111">
        <v>50</v>
      </c>
      <c r="F111">
        <v>14.998141288999999</v>
      </c>
      <c r="G111">
        <v>1342.5242920000001</v>
      </c>
      <c r="H111">
        <v>1340.1132812000001</v>
      </c>
      <c r="I111">
        <v>1321.5455322</v>
      </c>
      <c r="J111">
        <v>1317.4793701000001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2.7187600000000001</v>
      </c>
      <c r="B112" s="1">
        <f>DATE(2010,5,3) + TIME(17,15,0)</f>
        <v>40301.71875</v>
      </c>
      <c r="C112">
        <v>80</v>
      </c>
      <c r="D112">
        <v>79.579750060999999</v>
      </c>
      <c r="E112">
        <v>50</v>
      </c>
      <c r="F112">
        <v>14.998151779000001</v>
      </c>
      <c r="G112">
        <v>1342.5250243999999</v>
      </c>
      <c r="H112">
        <v>1340.1147461</v>
      </c>
      <c r="I112">
        <v>1321.5473632999999</v>
      </c>
      <c r="J112">
        <v>1317.4798584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2.7863660000000001</v>
      </c>
      <c r="B113" s="1">
        <f>DATE(2010,5,3) + TIME(18,52,22)</f>
        <v>40301.786365740743</v>
      </c>
      <c r="C113">
        <v>80</v>
      </c>
      <c r="D113">
        <v>79.628334045000003</v>
      </c>
      <c r="E113">
        <v>50</v>
      </c>
      <c r="F113">
        <v>14.998161315999999</v>
      </c>
      <c r="G113">
        <v>1342.5294189000001</v>
      </c>
      <c r="H113">
        <v>1340.1140137</v>
      </c>
      <c r="I113">
        <v>1321.5490723</v>
      </c>
      <c r="J113">
        <v>1317.4804687999999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2.8541569999999998</v>
      </c>
      <c r="B114" s="1">
        <f>DATE(2010,5,3) + TIME(20,29,59)</f>
        <v>40301.854155092595</v>
      </c>
      <c r="C114">
        <v>80</v>
      </c>
      <c r="D114">
        <v>79.670387267999999</v>
      </c>
      <c r="E114">
        <v>50</v>
      </c>
      <c r="F114">
        <v>14.998170853</v>
      </c>
      <c r="G114">
        <v>1342.5324707</v>
      </c>
      <c r="H114">
        <v>1340.1123047000001</v>
      </c>
      <c r="I114">
        <v>1321.5506591999999</v>
      </c>
      <c r="J114">
        <v>1317.4808350000001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2.9222679999999999</v>
      </c>
      <c r="B115" s="1">
        <f>DATE(2010,5,3) + TIME(22,8,3)</f>
        <v>40301.922256944446</v>
      </c>
      <c r="C115">
        <v>80</v>
      </c>
      <c r="D115">
        <v>79.706832886000001</v>
      </c>
      <c r="E115">
        <v>50</v>
      </c>
      <c r="F115">
        <v>14.998180389</v>
      </c>
      <c r="G115">
        <v>1342.5343018000001</v>
      </c>
      <c r="H115">
        <v>1340.1097411999999</v>
      </c>
      <c r="I115">
        <v>1321.5522461</v>
      </c>
      <c r="J115">
        <v>1317.4813231999999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2.9908199999999998</v>
      </c>
      <c r="B116" s="1">
        <f>DATE(2010,5,3) + TIME(23,46,46)</f>
        <v>40301.990810185183</v>
      </c>
      <c r="C116">
        <v>80</v>
      </c>
      <c r="D116">
        <v>79.738441467000001</v>
      </c>
      <c r="E116">
        <v>50</v>
      </c>
      <c r="F116">
        <v>14.998189926</v>
      </c>
      <c r="G116">
        <v>1342.5351562000001</v>
      </c>
      <c r="H116">
        <v>1340.1064452999999</v>
      </c>
      <c r="I116">
        <v>1321.5535889</v>
      </c>
      <c r="J116">
        <v>1317.4816894999999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3.0599219999999998</v>
      </c>
      <c r="B117" s="1">
        <f>DATE(2010,5,4) + TIME(1,26,17)</f>
        <v>40302.059918981482</v>
      </c>
      <c r="C117">
        <v>80</v>
      </c>
      <c r="D117">
        <v>79.765869140999996</v>
      </c>
      <c r="E117">
        <v>50</v>
      </c>
      <c r="F117">
        <v>14.998199463000001</v>
      </c>
      <c r="G117">
        <v>1342.5351562000001</v>
      </c>
      <c r="H117">
        <v>1340.1022949000001</v>
      </c>
      <c r="I117">
        <v>1321.5550536999999</v>
      </c>
      <c r="J117">
        <v>1317.4820557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3.1296010000000001</v>
      </c>
      <c r="B118" s="1">
        <f>DATE(2010,5,4) + TIME(3,6,37)</f>
        <v>40302.129594907405</v>
      </c>
      <c r="C118">
        <v>80</v>
      </c>
      <c r="D118">
        <v>79.789649963000002</v>
      </c>
      <c r="E118">
        <v>50</v>
      </c>
      <c r="F118">
        <v>14.998208046</v>
      </c>
      <c r="G118">
        <v>1342.5344238</v>
      </c>
      <c r="H118">
        <v>1340.0974120999999</v>
      </c>
      <c r="I118">
        <v>1321.5562743999999</v>
      </c>
      <c r="J118">
        <v>1317.4824219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3.199786</v>
      </c>
      <c r="B119" s="1">
        <f>DATE(2010,5,4) + TIME(4,47,41)</f>
        <v>40302.199780092589</v>
      </c>
      <c r="C119">
        <v>80</v>
      </c>
      <c r="D119">
        <v>79.810226439999994</v>
      </c>
      <c r="E119">
        <v>50</v>
      </c>
      <c r="F119">
        <v>14.998216629</v>
      </c>
      <c r="G119">
        <v>1342.5328368999999</v>
      </c>
      <c r="H119">
        <v>1340.0920410000001</v>
      </c>
      <c r="I119">
        <v>1321.5576172000001</v>
      </c>
      <c r="J119">
        <v>1317.4827881000001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3.2705799999999998</v>
      </c>
      <c r="B120" s="1">
        <f>DATE(2010,5,4) + TIME(6,29,38)</f>
        <v>40302.270578703705</v>
      </c>
      <c r="C120">
        <v>80</v>
      </c>
      <c r="D120">
        <v>79.828048706000004</v>
      </c>
      <c r="E120">
        <v>50</v>
      </c>
      <c r="F120">
        <v>14.998225211999999</v>
      </c>
      <c r="G120">
        <v>1342.5306396000001</v>
      </c>
      <c r="H120">
        <v>1340.0860596</v>
      </c>
      <c r="I120">
        <v>1321.5587158000001</v>
      </c>
      <c r="J120">
        <v>1317.4830322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3.3420830000000001</v>
      </c>
      <c r="B121" s="1">
        <f>DATE(2010,5,4) + TIME(8,12,35)</f>
        <v>40302.34207175926</v>
      </c>
      <c r="C121">
        <v>80</v>
      </c>
      <c r="D121">
        <v>79.843475342000005</v>
      </c>
      <c r="E121">
        <v>50</v>
      </c>
      <c r="F121">
        <v>14.998233795000001</v>
      </c>
      <c r="G121">
        <v>1342.5277100000001</v>
      </c>
      <c r="H121">
        <v>1340.0795897999999</v>
      </c>
      <c r="I121">
        <v>1321.5599365</v>
      </c>
      <c r="J121">
        <v>1317.4833983999999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3.4143979999999998</v>
      </c>
      <c r="B122" s="1">
        <f>DATE(2010,5,4) + TIME(9,56,43)</f>
        <v>40302.414386574077</v>
      </c>
      <c r="C122">
        <v>80</v>
      </c>
      <c r="D122">
        <v>79.856842040999993</v>
      </c>
      <c r="E122">
        <v>50</v>
      </c>
      <c r="F122">
        <v>14.998242378</v>
      </c>
      <c r="G122">
        <v>1342.5242920000001</v>
      </c>
      <c r="H122">
        <v>1340.0725098</v>
      </c>
      <c r="I122">
        <v>1321.5610352000001</v>
      </c>
      <c r="J122">
        <v>1317.4836425999999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3.4876320000000001</v>
      </c>
      <c r="B123" s="1">
        <f>DATE(2010,5,4) + TIME(11,42,11)</f>
        <v>40302.487627314818</v>
      </c>
      <c r="C123">
        <v>80</v>
      </c>
      <c r="D123">
        <v>79.868415833</v>
      </c>
      <c r="E123">
        <v>50</v>
      </c>
      <c r="F123">
        <v>14.998250961</v>
      </c>
      <c r="G123">
        <v>1342.5202637</v>
      </c>
      <c r="H123">
        <v>1340.0650635</v>
      </c>
      <c r="I123">
        <v>1321.5621338000001</v>
      </c>
      <c r="J123">
        <v>1317.4838867000001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3.561893</v>
      </c>
      <c r="B124" s="1">
        <f>DATE(2010,5,4) + TIME(13,29,7)</f>
        <v>40302.561886574076</v>
      </c>
      <c r="C124">
        <v>80</v>
      </c>
      <c r="D124">
        <v>79.878448485999996</v>
      </c>
      <c r="E124">
        <v>50</v>
      </c>
      <c r="F124">
        <v>14.998258591000001</v>
      </c>
      <c r="G124">
        <v>1342.5157471</v>
      </c>
      <c r="H124">
        <v>1340.057251</v>
      </c>
      <c r="I124">
        <v>1321.5631103999999</v>
      </c>
      <c r="J124">
        <v>1317.4841309000001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3.6372939999999998</v>
      </c>
      <c r="B125" s="1">
        <f>DATE(2010,5,4) + TIME(15,17,42)</f>
        <v>40302.637291666666</v>
      </c>
      <c r="C125">
        <v>80</v>
      </c>
      <c r="D125">
        <v>79.887130737000007</v>
      </c>
      <c r="E125">
        <v>50</v>
      </c>
      <c r="F125">
        <v>14.998267174</v>
      </c>
      <c r="G125">
        <v>1342.5107422000001</v>
      </c>
      <c r="H125">
        <v>1340.0489502</v>
      </c>
      <c r="I125">
        <v>1321.5640868999999</v>
      </c>
      <c r="J125">
        <v>1317.484375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3.713956</v>
      </c>
      <c r="B126" s="1">
        <f>DATE(2010,5,4) + TIME(17,8,5)</f>
        <v>40302.713946759257</v>
      </c>
      <c r="C126">
        <v>80</v>
      </c>
      <c r="D126">
        <v>79.894645690999994</v>
      </c>
      <c r="E126">
        <v>50</v>
      </c>
      <c r="F126">
        <v>14.998275757</v>
      </c>
      <c r="G126">
        <v>1342.5053711</v>
      </c>
      <c r="H126">
        <v>1340.0402832</v>
      </c>
      <c r="I126">
        <v>1321.5650635</v>
      </c>
      <c r="J126">
        <v>1317.4846190999999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3.7920069999999999</v>
      </c>
      <c r="B127" s="1">
        <f>DATE(2010,5,4) + TIME(19,0,29)</f>
        <v>40302.792002314818</v>
      </c>
      <c r="C127">
        <v>80</v>
      </c>
      <c r="D127">
        <v>79.901153563999998</v>
      </c>
      <c r="E127">
        <v>50</v>
      </c>
      <c r="F127">
        <v>14.998283386000001</v>
      </c>
      <c r="G127">
        <v>1342.4995117000001</v>
      </c>
      <c r="H127">
        <v>1340.0313721</v>
      </c>
      <c r="I127">
        <v>1321.5660399999999</v>
      </c>
      <c r="J127">
        <v>1317.4848632999999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3.871613</v>
      </c>
      <c r="B128" s="1">
        <f>DATE(2010,5,4) + TIME(20,55,7)</f>
        <v>40302.871608796297</v>
      </c>
      <c r="C128">
        <v>80</v>
      </c>
      <c r="D128">
        <v>79.906791686999995</v>
      </c>
      <c r="E128">
        <v>50</v>
      </c>
      <c r="F128">
        <v>14.998291969</v>
      </c>
      <c r="G128">
        <v>1342.4931641000001</v>
      </c>
      <c r="H128">
        <v>1340.0219727000001</v>
      </c>
      <c r="I128">
        <v>1321.5668945</v>
      </c>
      <c r="J128">
        <v>1317.4851074000001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3.9528889999999999</v>
      </c>
      <c r="B129" s="1">
        <f>DATE(2010,5,4) + TIME(22,52,9)</f>
        <v>40302.952881944446</v>
      </c>
      <c r="C129">
        <v>80</v>
      </c>
      <c r="D129">
        <v>79.911666870000005</v>
      </c>
      <c r="E129">
        <v>50</v>
      </c>
      <c r="F129">
        <v>14.998299598999999</v>
      </c>
      <c r="G129">
        <v>1342.4864502</v>
      </c>
      <c r="H129">
        <v>1340.012207</v>
      </c>
      <c r="I129">
        <v>1321.567749</v>
      </c>
      <c r="J129">
        <v>1317.4853516000001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4.0359949999999998</v>
      </c>
      <c r="B130" s="1">
        <f>DATE(2010,5,5) + TIME(0,51,49)</f>
        <v>40303.035983796297</v>
      </c>
      <c r="C130">
        <v>80</v>
      </c>
      <c r="D130">
        <v>79.915885924999998</v>
      </c>
      <c r="E130">
        <v>50</v>
      </c>
      <c r="F130">
        <v>14.998308182000001</v>
      </c>
      <c r="G130">
        <v>1342.4793701000001</v>
      </c>
      <c r="H130">
        <v>1340.0021973</v>
      </c>
      <c r="I130">
        <v>1321.5686035000001</v>
      </c>
      <c r="J130">
        <v>1317.4854736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4.1211000000000002</v>
      </c>
      <c r="B131" s="1">
        <f>DATE(2010,5,5) + TIME(2,54,23)</f>
        <v>40303.121099537035</v>
      </c>
      <c r="C131">
        <v>80</v>
      </c>
      <c r="D131">
        <v>79.919540405000006</v>
      </c>
      <c r="E131">
        <v>50</v>
      </c>
      <c r="F131">
        <v>14.998315810999999</v>
      </c>
      <c r="G131">
        <v>1342.4719238</v>
      </c>
      <c r="H131">
        <v>1339.9918213000001</v>
      </c>
      <c r="I131">
        <v>1321.5694579999999</v>
      </c>
      <c r="J131">
        <v>1317.4857178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4.2083919999999999</v>
      </c>
      <c r="B132" s="1">
        <f>DATE(2010,5,5) + TIME(5,0,5)</f>
        <v>40303.208391203705</v>
      </c>
      <c r="C132">
        <v>80</v>
      </c>
      <c r="D132">
        <v>79.922698975000003</v>
      </c>
      <c r="E132">
        <v>50</v>
      </c>
      <c r="F132">
        <v>14.998324394000001</v>
      </c>
      <c r="G132">
        <v>1342.4639893000001</v>
      </c>
      <c r="H132">
        <v>1339.9812012</v>
      </c>
      <c r="I132">
        <v>1321.5703125</v>
      </c>
      <c r="J132">
        <v>1317.4859618999999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4.2980780000000003</v>
      </c>
      <c r="B133" s="1">
        <f>DATE(2010,5,5) + TIME(7,9,13)</f>
        <v>40303.298067129632</v>
      </c>
      <c r="C133">
        <v>80</v>
      </c>
      <c r="D133">
        <v>79.925430297999995</v>
      </c>
      <c r="E133">
        <v>50</v>
      </c>
      <c r="F133">
        <v>14.998332024</v>
      </c>
      <c r="G133">
        <v>1342.4558105000001</v>
      </c>
      <c r="H133">
        <v>1339.9700928</v>
      </c>
      <c r="I133">
        <v>1321.5711670000001</v>
      </c>
      <c r="J133">
        <v>1317.4860839999999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4.3903840000000001</v>
      </c>
      <c r="B134" s="1">
        <f>DATE(2010,5,5) + TIME(9,22,9)</f>
        <v>40303.390381944446</v>
      </c>
      <c r="C134">
        <v>80</v>
      </c>
      <c r="D134">
        <v>79.927795410000002</v>
      </c>
      <c r="E134">
        <v>50</v>
      </c>
      <c r="F134">
        <v>14.998340606999999</v>
      </c>
      <c r="G134">
        <v>1342.4472656</v>
      </c>
      <c r="H134">
        <v>1339.9587402</v>
      </c>
      <c r="I134">
        <v>1321.5720214999999</v>
      </c>
      <c r="J134">
        <v>1317.4863281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4.4847849999999996</v>
      </c>
      <c r="B135" s="1">
        <f>DATE(2010,5,5) + TIME(11,38,5)</f>
        <v>40303.484780092593</v>
      </c>
      <c r="C135">
        <v>80</v>
      </c>
      <c r="D135">
        <v>79.929832458000007</v>
      </c>
      <c r="E135">
        <v>50</v>
      </c>
      <c r="F135">
        <v>14.998349190000001</v>
      </c>
      <c r="G135">
        <v>1342.4382324000001</v>
      </c>
      <c r="H135">
        <v>1339.9470214999999</v>
      </c>
      <c r="I135">
        <v>1321.5727539</v>
      </c>
      <c r="J135">
        <v>1317.4865723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4.5812999999999997</v>
      </c>
      <c r="B136" s="1">
        <f>DATE(2010,5,5) + TIME(13,57,4)</f>
        <v>40303.581296296295</v>
      </c>
      <c r="C136">
        <v>80</v>
      </c>
      <c r="D136">
        <v>79.931579589999998</v>
      </c>
      <c r="E136">
        <v>50</v>
      </c>
      <c r="F136">
        <v>14.998356819</v>
      </c>
      <c r="G136">
        <v>1342.4289550999999</v>
      </c>
      <c r="H136">
        <v>1339.9350586</v>
      </c>
      <c r="I136">
        <v>1321.5736084</v>
      </c>
      <c r="J136">
        <v>1317.4866943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4.6801300000000001</v>
      </c>
      <c r="B137" s="1">
        <f>DATE(2010,5,5) + TIME(16,19,23)</f>
        <v>40303.680127314816</v>
      </c>
      <c r="C137">
        <v>80</v>
      </c>
      <c r="D137">
        <v>79.933090210000003</v>
      </c>
      <c r="E137">
        <v>50</v>
      </c>
      <c r="F137">
        <v>14.998365401999999</v>
      </c>
      <c r="G137">
        <v>1342.4194336</v>
      </c>
      <c r="H137">
        <v>1339.9227295000001</v>
      </c>
      <c r="I137">
        <v>1321.5743408000001</v>
      </c>
      <c r="J137">
        <v>1317.4869385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4.7814889999999997</v>
      </c>
      <c r="B138" s="1">
        <f>DATE(2010,5,5) + TIME(18,45,20)</f>
        <v>40303.781481481485</v>
      </c>
      <c r="C138">
        <v>80</v>
      </c>
      <c r="D138">
        <v>79.934394835999996</v>
      </c>
      <c r="E138">
        <v>50</v>
      </c>
      <c r="F138">
        <v>14.998373985000001</v>
      </c>
      <c r="G138">
        <v>1342.4095459</v>
      </c>
      <c r="H138">
        <v>1339.9102783000001</v>
      </c>
      <c r="I138">
        <v>1321.5750731999999</v>
      </c>
      <c r="J138">
        <v>1317.4871826000001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4.8856130000000002</v>
      </c>
      <c r="B139" s="1">
        <f>DATE(2010,5,5) + TIME(21,15,16)</f>
        <v>40303.885601851849</v>
      </c>
      <c r="C139">
        <v>80</v>
      </c>
      <c r="D139">
        <v>79.935523986999996</v>
      </c>
      <c r="E139">
        <v>50</v>
      </c>
      <c r="F139">
        <v>14.998382568</v>
      </c>
      <c r="G139">
        <v>1342.3994141000001</v>
      </c>
      <c r="H139">
        <v>1339.8975829999999</v>
      </c>
      <c r="I139">
        <v>1321.5759277</v>
      </c>
      <c r="J139">
        <v>1317.4873047000001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4.9384079999999999</v>
      </c>
      <c r="B140" s="1">
        <f>DATE(2010,5,5) + TIME(22,31,18)</f>
        <v>40303.938402777778</v>
      </c>
      <c r="C140">
        <v>80</v>
      </c>
      <c r="D140">
        <v>79.936035156000003</v>
      </c>
      <c r="E140">
        <v>50</v>
      </c>
      <c r="F140">
        <v>14.998386383</v>
      </c>
      <c r="G140">
        <v>1342.3897704999999</v>
      </c>
      <c r="H140">
        <v>1339.8845214999999</v>
      </c>
      <c r="I140">
        <v>1321.5762939000001</v>
      </c>
      <c r="J140">
        <v>1317.4874268000001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4.9912039999999998</v>
      </c>
      <c r="B141" s="1">
        <f>DATE(2010,5,5) + TIME(23,47,19)</f>
        <v>40303.99119212963</v>
      </c>
      <c r="C141">
        <v>80</v>
      </c>
      <c r="D141">
        <v>79.936523437999995</v>
      </c>
      <c r="E141">
        <v>50</v>
      </c>
      <c r="F141">
        <v>14.998391151</v>
      </c>
      <c r="G141">
        <v>1342.3839111</v>
      </c>
      <c r="H141">
        <v>1339.8776855000001</v>
      </c>
      <c r="I141">
        <v>1321.5767822</v>
      </c>
      <c r="J141">
        <v>1317.4875488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5.096794</v>
      </c>
      <c r="B142" s="1">
        <f>DATE(2010,5,6) + TIME(2,19,23)</f>
        <v>40304.09679398148</v>
      </c>
      <c r="C142">
        <v>80</v>
      </c>
      <c r="D142">
        <v>79.937362671000002</v>
      </c>
      <c r="E142">
        <v>50</v>
      </c>
      <c r="F142">
        <v>14.998399733999999</v>
      </c>
      <c r="G142">
        <v>1342.3780518000001</v>
      </c>
      <c r="H142">
        <v>1339.8713379000001</v>
      </c>
      <c r="I142">
        <v>1321.5775146000001</v>
      </c>
      <c r="J142">
        <v>1317.487793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5.2024290000000004</v>
      </c>
      <c r="B143" s="1">
        <f>DATE(2010,5,6) + TIME(4,51,29)</f>
        <v>40304.202418981484</v>
      </c>
      <c r="C143">
        <v>80</v>
      </c>
      <c r="D143">
        <v>79.938064574999999</v>
      </c>
      <c r="E143">
        <v>50</v>
      </c>
      <c r="F143">
        <v>14.998407364</v>
      </c>
      <c r="G143">
        <v>1342.3677978999999</v>
      </c>
      <c r="H143">
        <v>1339.8585204999999</v>
      </c>
      <c r="I143">
        <v>1321.5782471</v>
      </c>
      <c r="J143">
        <v>1317.4879149999999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5.3083229999999997</v>
      </c>
      <c r="B144" s="1">
        <f>DATE(2010,5,6) + TIME(7,23,59)</f>
        <v>40304.308321759258</v>
      </c>
      <c r="C144">
        <v>80</v>
      </c>
      <c r="D144">
        <v>79.938674926999994</v>
      </c>
      <c r="E144">
        <v>50</v>
      </c>
      <c r="F144">
        <v>14.998414993000001</v>
      </c>
      <c r="G144">
        <v>1342.3572998</v>
      </c>
      <c r="H144">
        <v>1339.8457031</v>
      </c>
      <c r="I144">
        <v>1321.5788574000001</v>
      </c>
      <c r="J144">
        <v>1317.4881591999999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5.4146510000000001</v>
      </c>
      <c r="B145" s="1">
        <f>DATE(2010,5,6) + TIME(9,57,5)</f>
        <v>40304.414641203701</v>
      </c>
      <c r="C145">
        <v>80</v>
      </c>
      <c r="D145">
        <v>79.939201354999994</v>
      </c>
      <c r="E145">
        <v>50</v>
      </c>
      <c r="F145">
        <v>14.998422623</v>
      </c>
      <c r="G145">
        <v>1342.3468018000001</v>
      </c>
      <c r="H145">
        <v>1339.8328856999999</v>
      </c>
      <c r="I145">
        <v>1321.5795897999999</v>
      </c>
      <c r="J145">
        <v>1317.4882812000001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5.5215839999999998</v>
      </c>
      <c r="B146" s="1">
        <f>DATE(2010,5,6) + TIME(12,31,4)</f>
        <v>40304.521574074075</v>
      </c>
      <c r="C146">
        <v>80</v>
      </c>
      <c r="D146">
        <v>79.939674377000003</v>
      </c>
      <c r="E146">
        <v>50</v>
      </c>
      <c r="F146">
        <v>14.998430252</v>
      </c>
      <c r="G146">
        <v>1342.3361815999999</v>
      </c>
      <c r="H146">
        <v>1339.8201904</v>
      </c>
      <c r="I146">
        <v>1321.5802002</v>
      </c>
      <c r="J146">
        <v>1317.4885254000001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5.6292799999999996</v>
      </c>
      <c r="B147" s="1">
        <f>DATE(2010,5,6) + TIME(15,6,9)</f>
        <v>40304.629270833335</v>
      </c>
      <c r="C147">
        <v>80</v>
      </c>
      <c r="D147">
        <v>79.940086364999999</v>
      </c>
      <c r="E147">
        <v>50</v>
      </c>
      <c r="F147">
        <v>14.998438835</v>
      </c>
      <c r="G147">
        <v>1342.3256836</v>
      </c>
      <c r="H147">
        <v>1339.8076172000001</v>
      </c>
      <c r="I147">
        <v>1321.5809326000001</v>
      </c>
      <c r="J147">
        <v>1317.4886475000001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5.7378980000000004</v>
      </c>
      <c r="B148" s="1">
        <f>DATE(2010,5,6) + TIME(17,42,34)</f>
        <v>40304.737893518519</v>
      </c>
      <c r="C148">
        <v>80</v>
      </c>
      <c r="D148">
        <v>79.940452575999998</v>
      </c>
      <c r="E148">
        <v>50</v>
      </c>
      <c r="F148">
        <v>14.998445511</v>
      </c>
      <c r="G148">
        <v>1342.3151855000001</v>
      </c>
      <c r="H148">
        <v>1339.7950439000001</v>
      </c>
      <c r="I148">
        <v>1321.581543</v>
      </c>
      <c r="J148">
        <v>1317.4888916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5.8475960000000002</v>
      </c>
      <c r="B149" s="1">
        <f>DATE(2010,5,6) + TIME(20,20,32)</f>
        <v>40304.847592592596</v>
      </c>
      <c r="C149">
        <v>80</v>
      </c>
      <c r="D149">
        <v>79.94078064</v>
      </c>
      <c r="E149">
        <v>50</v>
      </c>
      <c r="F149">
        <v>14.998453140000001</v>
      </c>
      <c r="G149">
        <v>1342.3046875</v>
      </c>
      <c r="H149">
        <v>1339.7824707</v>
      </c>
      <c r="I149">
        <v>1321.5822754000001</v>
      </c>
      <c r="J149">
        <v>1317.4890137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5.9585400000000002</v>
      </c>
      <c r="B150" s="1">
        <f>DATE(2010,5,6) + TIME(23,0,17)</f>
        <v>40304.95853009259</v>
      </c>
      <c r="C150">
        <v>80</v>
      </c>
      <c r="D150">
        <v>79.941078185999999</v>
      </c>
      <c r="E150">
        <v>50</v>
      </c>
      <c r="F150">
        <v>14.998460769999999</v>
      </c>
      <c r="G150">
        <v>1342.2940673999999</v>
      </c>
      <c r="H150">
        <v>1339.7700195</v>
      </c>
      <c r="I150">
        <v>1321.5828856999999</v>
      </c>
      <c r="J150">
        <v>1317.4892577999999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6.0708979999999997</v>
      </c>
      <c r="B151" s="1">
        <f>DATE(2010,5,7) + TIME(1,42,5)</f>
        <v>40305.070891203701</v>
      </c>
      <c r="C151">
        <v>80</v>
      </c>
      <c r="D151">
        <v>79.941352843999994</v>
      </c>
      <c r="E151">
        <v>50</v>
      </c>
      <c r="F151">
        <v>14.998468399</v>
      </c>
      <c r="G151">
        <v>1342.2835693</v>
      </c>
      <c r="H151">
        <v>1339.7575684000001</v>
      </c>
      <c r="I151">
        <v>1321.5834961</v>
      </c>
      <c r="J151">
        <v>1317.4895019999999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6.1848470000000004</v>
      </c>
      <c r="B152" s="1">
        <f>DATE(2010,5,7) + TIME(4,26,10)</f>
        <v>40305.184837962966</v>
      </c>
      <c r="C152">
        <v>80</v>
      </c>
      <c r="D152">
        <v>79.941596985000004</v>
      </c>
      <c r="E152">
        <v>50</v>
      </c>
      <c r="F152">
        <v>14.998476028000001</v>
      </c>
      <c r="G152">
        <v>1342.2729492000001</v>
      </c>
      <c r="H152">
        <v>1339.7451172000001</v>
      </c>
      <c r="I152">
        <v>1321.5842285000001</v>
      </c>
      <c r="J152">
        <v>1317.489624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6.3005699999999996</v>
      </c>
      <c r="B153" s="1">
        <f>DATE(2010,5,7) + TIME(7,12,49)</f>
        <v>40305.300567129627</v>
      </c>
      <c r="C153">
        <v>80</v>
      </c>
      <c r="D153">
        <v>79.941818237000007</v>
      </c>
      <c r="E153">
        <v>50</v>
      </c>
      <c r="F153">
        <v>14.998483658</v>
      </c>
      <c r="G153">
        <v>1342.262207</v>
      </c>
      <c r="H153">
        <v>1339.7326660000001</v>
      </c>
      <c r="I153">
        <v>1321.5848389</v>
      </c>
      <c r="J153">
        <v>1317.4898682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6.4182870000000003</v>
      </c>
      <c r="B154" s="1">
        <f>DATE(2010,5,7) + TIME(10,2,19)</f>
        <v>40305.418275462966</v>
      </c>
      <c r="C154">
        <v>80</v>
      </c>
      <c r="D154">
        <v>79.942024231000005</v>
      </c>
      <c r="E154">
        <v>50</v>
      </c>
      <c r="F154">
        <v>14.998490334</v>
      </c>
      <c r="G154">
        <v>1342.2514647999999</v>
      </c>
      <c r="H154">
        <v>1339.7200928</v>
      </c>
      <c r="I154">
        <v>1321.5854492000001</v>
      </c>
      <c r="J154">
        <v>1317.4899902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6.5382100000000003</v>
      </c>
      <c r="B155" s="1">
        <f>DATE(2010,5,7) + TIME(12,55,1)</f>
        <v>40305.538206018522</v>
      </c>
      <c r="C155">
        <v>80</v>
      </c>
      <c r="D155">
        <v>79.942214965999995</v>
      </c>
      <c r="E155">
        <v>50</v>
      </c>
      <c r="F155">
        <v>14.998497963</v>
      </c>
      <c r="G155">
        <v>1342.2407227000001</v>
      </c>
      <c r="H155">
        <v>1339.7076416</v>
      </c>
      <c r="I155">
        <v>1321.5860596</v>
      </c>
      <c r="J155">
        <v>1317.4902344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6.6605400000000001</v>
      </c>
      <c r="B156" s="1">
        <f>DATE(2010,5,7) + TIME(15,51,10)</f>
        <v>40305.660532407404</v>
      </c>
      <c r="C156">
        <v>80</v>
      </c>
      <c r="D156">
        <v>79.942398071</v>
      </c>
      <c r="E156">
        <v>50</v>
      </c>
      <c r="F156">
        <v>14.998505592000001</v>
      </c>
      <c r="G156">
        <v>1342.2298584</v>
      </c>
      <c r="H156">
        <v>1339.6950684000001</v>
      </c>
      <c r="I156">
        <v>1321.5867920000001</v>
      </c>
      <c r="J156">
        <v>1317.4904785000001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6.7855210000000001</v>
      </c>
      <c r="B157" s="1">
        <f>DATE(2010,5,7) + TIME(18,51,8)</f>
        <v>40305.785509259258</v>
      </c>
      <c r="C157">
        <v>80</v>
      </c>
      <c r="D157">
        <v>79.942558289000004</v>
      </c>
      <c r="E157">
        <v>50</v>
      </c>
      <c r="F157">
        <v>14.998513222</v>
      </c>
      <c r="G157">
        <v>1342.2188721</v>
      </c>
      <c r="H157">
        <v>1339.6823730000001</v>
      </c>
      <c r="I157">
        <v>1321.5874022999999</v>
      </c>
      <c r="J157">
        <v>1317.4906006000001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6.9134149999999996</v>
      </c>
      <c r="B158" s="1">
        <f>DATE(2010,5,7) + TIME(21,55,19)</f>
        <v>40305.913414351853</v>
      </c>
      <c r="C158">
        <v>80</v>
      </c>
      <c r="D158">
        <v>79.942718506000006</v>
      </c>
      <c r="E158">
        <v>50</v>
      </c>
      <c r="F158">
        <v>14.998520851</v>
      </c>
      <c r="G158">
        <v>1342.2077637</v>
      </c>
      <c r="H158">
        <v>1339.6696777</v>
      </c>
      <c r="I158">
        <v>1321.5880127</v>
      </c>
      <c r="J158">
        <v>1317.4908447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7.0445099999999998</v>
      </c>
      <c r="B159" s="1">
        <f>DATE(2010,5,8) + TIME(1,4,5)</f>
        <v>40306.044502314813</v>
      </c>
      <c r="C159">
        <v>80</v>
      </c>
      <c r="D159">
        <v>79.942863463999998</v>
      </c>
      <c r="E159">
        <v>50</v>
      </c>
      <c r="F159">
        <v>14.998528480999999</v>
      </c>
      <c r="G159">
        <v>1342.1966553</v>
      </c>
      <c r="H159">
        <v>1339.6568603999999</v>
      </c>
      <c r="I159">
        <v>1321.5887451000001</v>
      </c>
      <c r="J159">
        <v>1317.4910889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7.1782579999999996</v>
      </c>
      <c r="B160" s="1">
        <f>DATE(2010,5,8) + TIME(4,16,41)</f>
        <v>40306.178252314814</v>
      </c>
      <c r="C160">
        <v>80</v>
      </c>
      <c r="D160">
        <v>79.943000792999996</v>
      </c>
      <c r="E160">
        <v>50</v>
      </c>
      <c r="F160">
        <v>14.99853611</v>
      </c>
      <c r="G160">
        <v>1342.1853027</v>
      </c>
      <c r="H160">
        <v>1339.6437988</v>
      </c>
      <c r="I160">
        <v>1321.5893555</v>
      </c>
      <c r="J160">
        <v>1317.4913329999999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7.3141920000000002</v>
      </c>
      <c r="B161" s="1">
        <f>DATE(2010,5,8) + TIME(7,32,26)</f>
        <v>40306.314189814817</v>
      </c>
      <c r="C161">
        <v>80</v>
      </c>
      <c r="D161">
        <v>79.943122864000003</v>
      </c>
      <c r="E161">
        <v>50</v>
      </c>
      <c r="F161">
        <v>14.998543739</v>
      </c>
      <c r="G161">
        <v>1342.1738281</v>
      </c>
      <c r="H161">
        <v>1339.6308594</v>
      </c>
      <c r="I161">
        <v>1321.5900879000001</v>
      </c>
      <c r="J161">
        <v>1317.4914550999999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7.4525600000000001</v>
      </c>
      <c r="B162" s="1">
        <f>DATE(2010,5,8) + TIME(10,51,41)</f>
        <v>40306.452557870369</v>
      </c>
      <c r="C162">
        <v>80</v>
      </c>
      <c r="D162">
        <v>79.943244934000006</v>
      </c>
      <c r="E162">
        <v>50</v>
      </c>
      <c r="F162">
        <v>14.998551368999999</v>
      </c>
      <c r="G162">
        <v>1342.1624756000001</v>
      </c>
      <c r="H162">
        <v>1339.6177978999999</v>
      </c>
      <c r="I162">
        <v>1321.5906981999999</v>
      </c>
      <c r="J162">
        <v>1317.4916992000001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7.5935800000000002</v>
      </c>
      <c r="B163" s="1">
        <f>DATE(2010,5,8) + TIME(14,14,45)</f>
        <v>40306.593576388892</v>
      </c>
      <c r="C163">
        <v>80</v>
      </c>
      <c r="D163">
        <v>79.943359375</v>
      </c>
      <c r="E163">
        <v>50</v>
      </c>
      <c r="F163">
        <v>14.998558998</v>
      </c>
      <c r="G163">
        <v>1342.151001</v>
      </c>
      <c r="H163">
        <v>1339.6048584</v>
      </c>
      <c r="I163">
        <v>1321.5914307</v>
      </c>
      <c r="J163">
        <v>1317.4919434000001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7.6653349999999998</v>
      </c>
      <c r="B164" s="1">
        <f>DATE(2010,5,8) + TIME(15,58,4)</f>
        <v>40306.665324074071</v>
      </c>
      <c r="C164">
        <v>80</v>
      </c>
      <c r="D164">
        <v>79.943397521999998</v>
      </c>
      <c r="E164">
        <v>50</v>
      </c>
      <c r="F164">
        <v>14.998562812999999</v>
      </c>
      <c r="G164">
        <v>1342.1400146000001</v>
      </c>
      <c r="H164">
        <v>1339.5919189000001</v>
      </c>
      <c r="I164">
        <v>1321.5917969</v>
      </c>
      <c r="J164">
        <v>1317.4920654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7.8088449999999998</v>
      </c>
      <c r="B165" s="1">
        <f>DATE(2010,5,8) + TIME(19,24,44)</f>
        <v>40306.808842592596</v>
      </c>
      <c r="C165">
        <v>80</v>
      </c>
      <c r="D165">
        <v>79.943519592000001</v>
      </c>
      <c r="E165">
        <v>50</v>
      </c>
      <c r="F165">
        <v>14.998570442</v>
      </c>
      <c r="G165">
        <v>1342.1333007999999</v>
      </c>
      <c r="H165">
        <v>1339.5849608999999</v>
      </c>
      <c r="I165">
        <v>1321.5924072</v>
      </c>
      <c r="J165">
        <v>1317.4923096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7.9523809999999999</v>
      </c>
      <c r="B166" s="1">
        <f>DATE(2010,5,8) + TIME(22,51,25)</f>
        <v>40306.952372685184</v>
      </c>
      <c r="C166">
        <v>80</v>
      </c>
      <c r="D166">
        <v>79.943611145000006</v>
      </c>
      <c r="E166">
        <v>50</v>
      </c>
      <c r="F166">
        <v>14.998578072000001</v>
      </c>
      <c r="G166">
        <v>1342.1220702999999</v>
      </c>
      <c r="H166">
        <v>1339.5721435999999</v>
      </c>
      <c r="I166">
        <v>1321.5931396000001</v>
      </c>
      <c r="J166">
        <v>1317.4925536999999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8.0962200000000006</v>
      </c>
      <c r="B167" s="1">
        <f>DATE(2010,5,9) + TIME(2,18,33)</f>
        <v>40307.096215277779</v>
      </c>
      <c r="C167">
        <v>80</v>
      </c>
      <c r="D167">
        <v>79.943702697999996</v>
      </c>
      <c r="E167">
        <v>50</v>
      </c>
      <c r="F167">
        <v>14.998585701</v>
      </c>
      <c r="G167">
        <v>1342.1107178</v>
      </c>
      <c r="H167">
        <v>1339.5594481999999</v>
      </c>
      <c r="I167">
        <v>1321.59375</v>
      </c>
      <c r="J167">
        <v>1317.4927978999999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8.2406109999999995</v>
      </c>
      <c r="B168" s="1">
        <f>DATE(2010,5,9) + TIME(5,46,28)</f>
        <v>40307.240601851852</v>
      </c>
      <c r="C168">
        <v>80</v>
      </c>
      <c r="D168">
        <v>79.943778992000006</v>
      </c>
      <c r="E168">
        <v>50</v>
      </c>
      <c r="F168">
        <v>14.998592377</v>
      </c>
      <c r="G168">
        <v>1342.0994873</v>
      </c>
      <c r="H168">
        <v>1339.5467529</v>
      </c>
      <c r="I168">
        <v>1321.5943603999999</v>
      </c>
      <c r="J168">
        <v>1317.4930420000001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8.3857780000000002</v>
      </c>
      <c r="B169" s="1">
        <f>DATE(2010,5,9) + TIME(9,15,31)</f>
        <v>40307.385775462964</v>
      </c>
      <c r="C169">
        <v>80</v>
      </c>
      <c r="D169">
        <v>79.943862914999997</v>
      </c>
      <c r="E169">
        <v>50</v>
      </c>
      <c r="F169">
        <v>14.998600006</v>
      </c>
      <c r="G169">
        <v>1342.0883789</v>
      </c>
      <c r="H169">
        <v>1339.5343018000001</v>
      </c>
      <c r="I169">
        <v>1321.5950928</v>
      </c>
      <c r="J169">
        <v>1317.4932861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8.5319420000000008</v>
      </c>
      <c r="B170" s="1">
        <f>DATE(2010,5,9) + TIME(12,45,59)</f>
        <v>40307.53193287037</v>
      </c>
      <c r="C170">
        <v>80</v>
      </c>
      <c r="D170">
        <v>79.943939209000007</v>
      </c>
      <c r="E170">
        <v>50</v>
      </c>
      <c r="F170">
        <v>14.998606682</v>
      </c>
      <c r="G170">
        <v>1342.0773925999999</v>
      </c>
      <c r="H170">
        <v>1339.5219727000001</v>
      </c>
      <c r="I170">
        <v>1321.5957031</v>
      </c>
      <c r="J170">
        <v>1317.4935303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8.6793239999999994</v>
      </c>
      <c r="B171" s="1">
        <f>DATE(2010,5,9) + TIME(16,18,13)</f>
        <v>40307.67931712963</v>
      </c>
      <c r="C171">
        <v>80</v>
      </c>
      <c r="D171">
        <v>79.944007873999993</v>
      </c>
      <c r="E171">
        <v>50</v>
      </c>
      <c r="F171">
        <v>14.998614311000001</v>
      </c>
      <c r="G171">
        <v>1342.0664062000001</v>
      </c>
      <c r="H171">
        <v>1339.5097656</v>
      </c>
      <c r="I171">
        <v>1321.5964355000001</v>
      </c>
      <c r="J171">
        <v>1317.4937743999999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8.8281510000000001</v>
      </c>
      <c r="B172" s="1">
        <f>DATE(2010,5,9) + TIME(19,52,32)</f>
        <v>40307.828148148146</v>
      </c>
      <c r="C172">
        <v>80</v>
      </c>
      <c r="D172">
        <v>79.944076538000004</v>
      </c>
      <c r="E172">
        <v>50</v>
      </c>
      <c r="F172">
        <v>14.998620987000001</v>
      </c>
      <c r="G172">
        <v>1342.0554199000001</v>
      </c>
      <c r="H172">
        <v>1339.4975586</v>
      </c>
      <c r="I172">
        <v>1321.5970459</v>
      </c>
      <c r="J172">
        <v>1317.4938964999999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8.9786549999999998</v>
      </c>
      <c r="B173" s="1">
        <f>DATE(2010,5,9) + TIME(23,29,15)</f>
        <v>40307.978645833333</v>
      </c>
      <c r="C173">
        <v>80</v>
      </c>
      <c r="D173">
        <v>79.944145203000005</v>
      </c>
      <c r="E173">
        <v>50</v>
      </c>
      <c r="F173">
        <v>14.998628616</v>
      </c>
      <c r="G173">
        <v>1342.0445557</v>
      </c>
      <c r="H173">
        <v>1339.4854736</v>
      </c>
      <c r="I173">
        <v>1321.5976562000001</v>
      </c>
      <c r="J173">
        <v>1317.4941406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9.1310760000000002</v>
      </c>
      <c r="B174" s="1">
        <f>DATE(2010,5,10) + TIME(3,8,44)</f>
        <v>40308.131064814814</v>
      </c>
      <c r="C174">
        <v>80</v>
      </c>
      <c r="D174">
        <v>79.944206238000007</v>
      </c>
      <c r="E174">
        <v>50</v>
      </c>
      <c r="F174">
        <v>14.998635291999999</v>
      </c>
      <c r="G174">
        <v>1342.0338135</v>
      </c>
      <c r="H174">
        <v>1339.4735106999999</v>
      </c>
      <c r="I174">
        <v>1321.5983887</v>
      </c>
      <c r="J174">
        <v>1317.4943848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9.2856649999999998</v>
      </c>
      <c r="B175" s="1">
        <f>DATE(2010,5,10) + TIME(6,51,21)</f>
        <v>40308.28565972222</v>
      </c>
      <c r="C175">
        <v>80</v>
      </c>
      <c r="D175">
        <v>79.944267272999994</v>
      </c>
      <c r="E175">
        <v>50</v>
      </c>
      <c r="F175">
        <v>14.998642921</v>
      </c>
      <c r="G175">
        <v>1342.0229492000001</v>
      </c>
      <c r="H175">
        <v>1339.4615478999999</v>
      </c>
      <c r="I175">
        <v>1321.598999</v>
      </c>
      <c r="J175">
        <v>1317.4946289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9.4427179999999993</v>
      </c>
      <c r="B176" s="1">
        <f>DATE(2010,5,10) + TIME(10,37,30)</f>
        <v>40308.442708333336</v>
      </c>
      <c r="C176">
        <v>80</v>
      </c>
      <c r="D176">
        <v>79.944328307999996</v>
      </c>
      <c r="E176">
        <v>50</v>
      </c>
      <c r="F176">
        <v>14.998649597</v>
      </c>
      <c r="G176">
        <v>1342.0120850000001</v>
      </c>
      <c r="H176">
        <v>1339.4495850000001</v>
      </c>
      <c r="I176">
        <v>1321.5997314000001</v>
      </c>
      <c r="J176">
        <v>1317.4948730000001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9.6025220000000004</v>
      </c>
      <c r="B177" s="1">
        <f>DATE(2010,5,10) + TIME(14,27,37)</f>
        <v>40308.602511574078</v>
      </c>
      <c r="C177">
        <v>80</v>
      </c>
      <c r="D177">
        <v>79.944381714000002</v>
      </c>
      <c r="E177">
        <v>50</v>
      </c>
      <c r="F177">
        <v>14.998656273</v>
      </c>
      <c r="G177">
        <v>1342.0012207</v>
      </c>
      <c r="H177">
        <v>1339.4376221</v>
      </c>
      <c r="I177">
        <v>1321.6003418</v>
      </c>
      <c r="J177">
        <v>1317.4952393000001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9.7653479999999995</v>
      </c>
      <c r="B178" s="1">
        <f>DATE(2010,5,10) + TIME(18,22,6)</f>
        <v>40308.765347222223</v>
      </c>
      <c r="C178">
        <v>80</v>
      </c>
      <c r="D178">
        <v>79.944442749000004</v>
      </c>
      <c r="E178">
        <v>50</v>
      </c>
      <c r="F178">
        <v>14.998663902000001</v>
      </c>
      <c r="G178">
        <v>1341.9903564000001</v>
      </c>
      <c r="H178">
        <v>1339.4256591999999</v>
      </c>
      <c r="I178">
        <v>1321.6010742000001</v>
      </c>
      <c r="J178">
        <v>1317.4954834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9.931521</v>
      </c>
      <c r="B179" s="1">
        <f>DATE(2010,5,10) + TIME(22,21,23)</f>
        <v>40308.931516203702</v>
      </c>
      <c r="C179">
        <v>80</v>
      </c>
      <c r="D179">
        <v>79.944496154999996</v>
      </c>
      <c r="E179">
        <v>50</v>
      </c>
      <c r="F179">
        <v>14.998670578</v>
      </c>
      <c r="G179">
        <v>1341.9793701000001</v>
      </c>
      <c r="H179">
        <v>1339.4135742000001</v>
      </c>
      <c r="I179">
        <v>1321.6016846</v>
      </c>
      <c r="J179">
        <v>1317.4957274999999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10.10139</v>
      </c>
      <c r="B180" s="1">
        <f>DATE(2010,5,11) + TIME(2,26,0)</f>
        <v>40309.101388888892</v>
      </c>
      <c r="C180">
        <v>80</v>
      </c>
      <c r="D180">
        <v>79.944549561000002</v>
      </c>
      <c r="E180">
        <v>50</v>
      </c>
      <c r="F180">
        <v>14.998678206999999</v>
      </c>
      <c r="G180">
        <v>1341.9683838000001</v>
      </c>
      <c r="H180">
        <v>1339.4016113</v>
      </c>
      <c r="I180">
        <v>1321.6024170000001</v>
      </c>
      <c r="J180">
        <v>1317.4959716999999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10.275342</v>
      </c>
      <c r="B181" s="1">
        <f>DATE(2010,5,11) + TIME(6,36,29)</f>
        <v>40309.275335648148</v>
      </c>
      <c r="C181">
        <v>80</v>
      </c>
      <c r="D181">
        <v>79.944602966000005</v>
      </c>
      <c r="E181">
        <v>50</v>
      </c>
      <c r="F181">
        <v>14.998684882999999</v>
      </c>
      <c r="G181">
        <v>1341.9572754000001</v>
      </c>
      <c r="H181">
        <v>1339.3894043</v>
      </c>
      <c r="I181">
        <v>1321.6031493999999</v>
      </c>
      <c r="J181">
        <v>1317.4962158000001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10.45143</v>
      </c>
      <c r="B182" s="1">
        <f>DATE(2010,5,11) + TIME(10,50,3)</f>
        <v>40309.451423611114</v>
      </c>
      <c r="C182">
        <v>80</v>
      </c>
      <c r="D182">
        <v>79.944656371999997</v>
      </c>
      <c r="E182">
        <v>50</v>
      </c>
      <c r="F182">
        <v>14.998692513</v>
      </c>
      <c r="G182">
        <v>1341.9460449000001</v>
      </c>
      <c r="H182">
        <v>1339.3771973</v>
      </c>
      <c r="I182">
        <v>1321.6038818</v>
      </c>
      <c r="J182">
        <v>1317.4964600000001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10.62978</v>
      </c>
      <c r="B183" s="1">
        <f>DATE(2010,5,11) + TIME(15,6,52)</f>
        <v>40309.62976851852</v>
      </c>
      <c r="C183">
        <v>80</v>
      </c>
      <c r="D183">
        <v>79.944702148000005</v>
      </c>
      <c r="E183">
        <v>50</v>
      </c>
      <c r="F183">
        <v>14.998699188</v>
      </c>
      <c r="G183">
        <v>1341.9349365</v>
      </c>
      <c r="H183">
        <v>1339.3651123</v>
      </c>
      <c r="I183">
        <v>1321.6046143000001</v>
      </c>
      <c r="J183">
        <v>1317.4968262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10.810703</v>
      </c>
      <c r="B184" s="1">
        <f>DATE(2010,5,11) + TIME(19,27,24)</f>
        <v>40309.810694444444</v>
      </c>
      <c r="C184">
        <v>80</v>
      </c>
      <c r="D184">
        <v>79.944755553999997</v>
      </c>
      <c r="E184">
        <v>50</v>
      </c>
      <c r="F184">
        <v>14.998706818</v>
      </c>
      <c r="G184">
        <v>1341.9238281</v>
      </c>
      <c r="H184">
        <v>1339.3529053</v>
      </c>
      <c r="I184">
        <v>1321.6052245999999</v>
      </c>
      <c r="J184">
        <v>1317.4970702999999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10.994533000000001</v>
      </c>
      <c r="B185" s="1">
        <f>DATE(2010,5,11) + TIME(23,52,7)</f>
        <v>40309.994525462964</v>
      </c>
      <c r="C185">
        <v>80</v>
      </c>
      <c r="D185">
        <v>79.944801330999994</v>
      </c>
      <c r="E185">
        <v>50</v>
      </c>
      <c r="F185">
        <v>14.998713493</v>
      </c>
      <c r="G185">
        <v>1341.9125977000001</v>
      </c>
      <c r="H185">
        <v>1339.3408202999999</v>
      </c>
      <c r="I185">
        <v>1321.605957</v>
      </c>
      <c r="J185">
        <v>1317.4973144999999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11.179103</v>
      </c>
      <c r="B186" s="1">
        <f>DATE(2010,5,12) + TIME(4,17,54)</f>
        <v>40310.179097222222</v>
      </c>
      <c r="C186">
        <v>80</v>
      </c>
      <c r="D186">
        <v>79.944847107000001</v>
      </c>
      <c r="E186">
        <v>50</v>
      </c>
      <c r="F186">
        <v>14.998721122999999</v>
      </c>
      <c r="G186">
        <v>1341.9014893000001</v>
      </c>
      <c r="H186">
        <v>1339.3287353999999</v>
      </c>
      <c r="I186">
        <v>1321.6068115</v>
      </c>
      <c r="J186">
        <v>1317.4976807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11.363863</v>
      </c>
      <c r="B187" s="1">
        <f>DATE(2010,5,12) + TIME(8,43,57)</f>
        <v>40310.363854166666</v>
      </c>
      <c r="C187">
        <v>80</v>
      </c>
      <c r="D187">
        <v>79.944892882999994</v>
      </c>
      <c r="E187">
        <v>50</v>
      </c>
      <c r="F187">
        <v>14.998727798000001</v>
      </c>
      <c r="G187">
        <v>1341.8903809000001</v>
      </c>
      <c r="H187">
        <v>1339.3167725000001</v>
      </c>
      <c r="I187">
        <v>1321.6075439000001</v>
      </c>
      <c r="J187">
        <v>1317.4979248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11.54913</v>
      </c>
      <c r="B188" s="1">
        <f>DATE(2010,5,12) + TIME(13,10,44)</f>
        <v>40310.549120370371</v>
      </c>
      <c r="C188">
        <v>80</v>
      </c>
      <c r="D188">
        <v>79.944938660000005</v>
      </c>
      <c r="E188">
        <v>50</v>
      </c>
      <c r="F188">
        <v>14.998735428</v>
      </c>
      <c r="G188">
        <v>1341.8795166</v>
      </c>
      <c r="H188">
        <v>1339.3050536999999</v>
      </c>
      <c r="I188">
        <v>1321.6082764</v>
      </c>
      <c r="J188">
        <v>1317.4982910000001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11.735200000000001</v>
      </c>
      <c r="B189" s="1">
        <f>DATE(2010,5,12) + TIME(17,38,41)</f>
        <v>40310.735196759262</v>
      </c>
      <c r="C189">
        <v>80</v>
      </c>
      <c r="D189">
        <v>79.944984435999999</v>
      </c>
      <c r="E189">
        <v>50</v>
      </c>
      <c r="F189">
        <v>14.998742104</v>
      </c>
      <c r="G189">
        <v>1341.8686522999999</v>
      </c>
      <c r="H189">
        <v>1339.293457</v>
      </c>
      <c r="I189">
        <v>1321.6088867000001</v>
      </c>
      <c r="J189">
        <v>1317.4985352000001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11.922364</v>
      </c>
      <c r="B190" s="1">
        <f>DATE(2010,5,12) + TIME(22,8,12)</f>
        <v>40310.922361111108</v>
      </c>
      <c r="C190">
        <v>80</v>
      </c>
      <c r="D190">
        <v>79.945022582999997</v>
      </c>
      <c r="E190">
        <v>50</v>
      </c>
      <c r="F190">
        <v>14.998748779</v>
      </c>
      <c r="G190">
        <v>1341.8580322</v>
      </c>
      <c r="H190">
        <v>1339.2819824000001</v>
      </c>
      <c r="I190">
        <v>1321.6096190999999</v>
      </c>
      <c r="J190">
        <v>1317.4989014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12.110919000000001</v>
      </c>
      <c r="B191" s="1">
        <f>DATE(2010,5,13) + TIME(2,39,43)</f>
        <v>40311.110914351855</v>
      </c>
      <c r="C191">
        <v>80</v>
      </c>
      <c r="D191">
        <v>79.945068359000004</v>
      </c>
      <c r="E191">
        <v>50</v>
      </c>
      <c r="F191">
        <v>14.998755455</v>
      </c>
      <c r="G191">
        <v>1341.8474120999999</v>
      </c>
      <c r="H191">
        <v>1339.2706298999999</v>
      </c>
      <c r="I191">
        <v>1321.6103516000001</v>
      </c>
      <c r="J191">
        <v>1317.4991454999999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12.301162</v>
      </c>
      <c r="B192" s="1">
        <f>DATE(2010,5,13) + TIME(7,13,40)</f>
        <v>40311.301157407404</v>
      </c>
      <c r="C192">
        <v>80</v>
      </c>
      <c r="D192">
        <v>79.945106506000002</v>
      </c>
      <c r="E192">
        <v>50</v>
      </c>
      <c r="F192">
        <v>14.998762130999999</v>
      </c>
      <c r="G192">
        <v>1341.8369141000001</v>
      </c>
      <c r="H192">
        <v>1339.2592772999999</v>
      </c>
      <c r="I192">
        <v>1321.6110839999999</v>
      </c>
      <c r="J192">
        <v>1317.4993896000001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12.493397999999999</v>
      </c>
      <c r="B193" s="1">
        <f>DATE(2010,5,13) + TIME(11,50,29)</f>
        <v>40311.493391203701</v>
      </c>
      <c r="C193">
        <v>80</v>
      </c>
      <c r="D193">
        <v>79.945144653</v>
      </c>
      <c r="E193">
        <v>50</v>
      </c>
      <c r="F193">
        <v>14.998768805999999</v>
      </c>
      <c r="G193">
        <v>1341.8264160000001</v>
      </c>
      <c r="H193">
        <v>1339.2480469</v>
      </c>
      <c r="I193">
        <v>1321.6119385</v>
      </c>
      <c r="J193">
        <v>1317.4997559000001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12.687944</v>
      </c>
      <c r="B194" s="1">
        <f>DATE(2010,5,13) + TIME(16,30,38)</f>
        <v>40311.687939814816</v>
      </c>
      <c r="C194">
        <v>80</v>
      </c>
      <c r="D194">
        <v>79.945190429999997</v>
      </c>
      <c r="E194">
        <v>50</v>
      </c>
      <c r="F194">
        <v>14.998775481999999</v>
      </c>
      <c r="G194">
        <v>1341.815918</v>
      </c>
      <c r="H194">
        <v>1339.2369385</v>
      </c>
      <c r="I194">
        <v>1321.6126709</v>
      </c>
      <c r="J194">
        <v>1317.5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12.885128</v>
      </c>
      <c r="B195" s="1">
        <f>DATE(2010,5,13) + TIME(21,14,35)</f>
        <v>40311.885127314818</v>
      </c>
      <c r="C195">
        <v>80</v>
      </c>
      <c r="D195">
        <v>79.945228576999995</v>
      </c>
      <c r="E195">
        <v>50</v>
      </c>
      <c r="F195">
        <v>14.998783112</v>
      </c>
      <c r="G195">
        <v>1341.8054199000001</v>
      </c>
      <c r="H195">
        <v>1339.2258300999999</v>
      </c>
      <c r="I195">
        <v>1321.6134033000001</v>
      </c>
      <c r="J195">
        <v>1317.5003661999999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13.085333</v>
      </c>
      <c r="B196" s="1">
        <f>DATE(2010,5,14) + TIME(2,2,52)</f>
        <v>40312.085324074076</v>
      </c>
      <c r="C196">
        <v>80</v>
      </c>
      <c r="D196">
        <v>79.945266724000007</v>
      </c>
      <c r="E196">
        <v>50</v>
      </c>
      <c r="F196">
        <v>14.998789787</v>
      </c>
      <c r="G196">
        <v>1341.7950439000001</v>
      </c>
      <c r="H196">
        <v>1339.2147216999999</v>
      </c>
      <c r="I196">
        <v>1321.6141356999999</v>
      </c>
      <c r="J196">
        <v>1317.5007324000001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13.288940999999999</v>
      </c>
      <c r="B197" s="1">
        <f>DATE(2010,5,14) + TIME(6,56,4)</f>
        <v>40312.288935185185</v>
      </c>
      <c r="C197">
        <v>80</v>
      </c>
      <c r="D197">
        <v>79.945304871000005</v>
      </c>
      <c r="E197">
        <v>50</v>
      </c>
      <c r="F197">
        <v>14.998796463</v>
      </c>
      <c r="G197">
        <v>1341.7845459</v>
      </c>
      <c r="H197">
        <v>1339.2036132999999</v>
      </c>
      <c r="I197">
        <v>1321.6148682</v>
      </c>
      <c r="J197">
        <v>1317.5009766000001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13.496302</v>
      </c>
      <c r="B198" s="1">
        <f>DATE(2010,5,14) + TIME(11,54,40)</f>
        <v>40312.496296296296</v>
      </c>
      <c r="C198">
        <v>80</v>
      </c>
      <c r="D198">
        <v>79.945350646999998</v>
      </c>
      <c r="E198">
        <v>50</v>
      </c>
      <c r="F198">
        <v>14.998803139</v>
      </c>
      <c r="G198">
        <v>1341.7740478999999</v>
      </c>
      <c r="H198">
        <v>1339.1925048999999</v>
      </c>
      <c r="I198">
        <v>1321.6156006000001</v>
      </c>
      <c r="J198">
        <v>1317.5013428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13.707838000000001</v>
      </c>
      <c r="B199" s="1">
        <f>DATE(2010,5,14) + TIME(16,59,17)</f>
        <v>40312.707835648151</v>
      </c>
      <c r="C199">
        <v>80</v>
      </c>
      <c r="D199">
        <v>79.945388793999996</v>
      </c>
      <c r="E199">
        <v>50</v>
      </c>
      <c r="F199">
        <v>14.998809813999999</v>
      </c>
      <c r="G199">
        <v>1341.7635498</v>
      </c>
      <c r="H199">
        <v>1339.1812743999999</v>
      </c>
      <c r="I199">
        <v>1321.6164550999999</v>
      </c>
      <c r="J199">
        <v>1317.5017089999999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13.924009</v>
      </c>
      <c r="B200" s="1">
        <f>DATE(2010,5,14) + TIME(22,10,34)</f>
        <v>40312.924004629633</v>
      </c>
      <c r="C200">
        <v>80</v>
      </c>
      <c r="D200">
        <v>79.945426940999994</v>
      </c>
      <c r="E200">
        <v>50</v>
      </c>
      <c r="F200">
        <v>14.998816489999999</v>
      </c>
      <c r="G200">
        <v>1341.7529297000001</v>
      </c>
      <c r="H200">
        <v>1339.1701660000001</v>
      </c>
      <c r="I200">
        <v>1321.6171875</v>
      </c>
      <c r="J200">
        <v>1317.5019531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14.144353000000001</v>
      </c>
      <c r="B201" s="1">
        <f>DATE(2010,5,15) + TIME(3,27,52)</f>
        <v>40313.14435185185</v>
      </c>
      <c r="C201">
        <v>80</v>
      </c>
      <c r="D201">
        <v>79.945465088000006</v>
      </c>
      <c r="E201">
        <v>50</v>
      </c>
      <c r="F201">
        <v>14.998823165999999</v>
      </c>
      <c r="G201">
        <v>1341.7423096</v>
      </c>
      <c r="H201">
        <v>1339.1588135</v>
      </c>
      <c r="I201">
        <v>1321.6180420000001</v>
      </c>
      <c r="J201">
        <v>1317.5023193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14.366624</v>
      </c>
      <c r="B202" s="1">
        <f>DATE(2010,5,15) + TIME(8,47,56)</f>
        <v>40313.366620370369</v>
      </c>
      <c r="C202">
        <v>80</v>
      </c>
      <c r="D202">
        <v>79.945503235000004</v>
      </c>
      <c r="E202">
        <v>50</v>
      </c>
      <c r="F202">
        <v>14.998830795</v>
      </c>
      <c r="G202">
        <v>1341.7315673999999</v>
      </c>
      <c r="H202">
        <v>1339.1475829999999</v>
      </c>
      <c r="I202">
        <v>1321.6188964999999</v>
      </c>
      <c r="J202">
        <v>1317.5026855000001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14.591182999999999</v>
      </c>
      <c r="B203" s="1">
        <f>DATE(2010,5,15) + TIME(14,11,18)</f>
        <v>40313.591180555559</v>
      </c>
      <c r="C203">
        <v>80</v>
      </c>
      <c r="D203">
        <v>79.945541382000002</v>
      </c>
      <c r="E203">
        <v>50</v>
      </c>
      <c r="F203">
        <v>14.998837471</v>
      </c>
      <c r="G203">
        <v>1341.7208252</v>
      </c>
      <c r="H203">
        <v>1339.1363524999999</v>
      </c>
      <c r="I203">
        <v>1321.619751</v>
      </c>
      <c r="J203">
        <v>1317.5030518000001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14.818379</v>
      </c>
      <c r="B204" s="1">
        <f>DATE(2010,5,15) + TIME(19,38,27)</f>
        <v>40313.818368055552</v>
      </c>
      <c r="C204">
        <v>80</v>
      </c>
      <c r="D204">
        <v>79.945579529</v>
      </c>
      <c r="E204">
        <v>50</v>
      </c>
      <c r="F204">
        <v>14.998844147</v>
      </c>
      <c r="G204">
        <v>1341.7102050999999</v>
      </c>
      <c r="H204">
        <v>1339.1252440999999</v>
      </c>
      <c r="I204">
        <v>1321.6204834</v>
      </c>
      <c r="J204">
        <v>1317.503418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15.046322</v>
      </c>
      <c r="B205" s="1">
        <f>DATE(2010,5,16) + TIME(1,6,42)</f>
        <v>40314.046319444446</v>
      </c>
      <c r="C205">
        <v>80</v>
      </c>
      <c r="D205">
        <v>79.945617675999998</v>
      </c>
      <c r="E205">
        <v>50</v>
      </c>
      <c r="F205">
        <v>14.998850822</v>
      </c>
      <c r="G205">
        <v>1341.6995850000001</v>
      </c>
      <c r="H205">
        <v>1339.1140137</v>
      </c>
      <c r="I205">
        <v>1321.6213379000001</v>
      </c>
      <c r="J205">
        <v>1317.5037841999999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15.274621</v>
      </c>
      <c r="B206" s="1">
        <f>DATE(2010,5,16) + TIME(6,35,27)</f>
        <v>40314.274618055555</v>
      </c>
      <c r="C206">
        <v>80</v>
      </c>
      <c r="D206">
        <v>79.945655822999996</v>
      </c>
      <c r="E206">
        <v>50</v>
      </c>
      <c r="F206">
        <v>14.998857498</v>
      </c>
      <c r="G206">
        <v>1341.6889647999999</v>
      </c>
      <c r="H206">
        <v>1339.1030272999999</v>
      </c>
      <c r="I206">
        <v>1321.6221923999999</v>
      </c>
      <c r="J206">
        <v>1317.5041504000001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15.503655999999999</v>
      </c>
      <c r="B207" s="1">
        <f>DATE(2010,5,16) + TIME(12,5,15)</f>
        <v>40314.503645833334</v>
      </c>
      <c r="C207">
        <v>80</v>
      </c>
      <c r="D207">
        <v>79.945693969999994</v>
      </c>
      <c r="E207">
        <v>50</v>
      </c>
      <c r="F207">
        <v>14.998864173999999</v>
      </c>
      <c r="G207">
        <v>1341.6785889</v>
      </c>
      <c r="H207">
        <v>1339.0921631000001</v>
      </c>
      <c r="I207">
        <v>1321.6230469</v>
      </c>
      <c r="J207">
        <v>1317.5045166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15.733798</v>
      </c>
      <c r="B208" s="1">
        <f>DATE(2010,5,16) + TIME(17,36,40)</f>
        <v>40314.733796296299</v>
      </c>
      <c r="C208">
        <v>80</v>
      </c>
      <c r="D208">
        <v>79.945724487000007</v>
      </c>
      <c r="E208">
        <v>50</v>
      </c>
      <c r="F208">
        <v>14.998870849999999</v>
      </c>
      <c r="G208">
        <v>1341.6682129000001</v>
      </c>
      <c r="H208">
        <v>1339.0814209</v>
      </c>
      <c r="I208">
        <v>1321.6239014</v>
      </c>
      <c r="J208">
        <v>1317.5048827999999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15.965417</v>
      </c>
      <c r="B209" s="1">
        <f>DATE(2010,5,16) + TIME(23,10,12)</f>
        <v>40314.965416666666</v>
      </c>
      <c r="C209">
        <v>80</v>
      </c>
      <c r="D209">
        <v>79.945762634000005</v>
      </c>
      <c r="E209">
        <v>50</v>
      </c>
      <c r="F209">
        <v>14.998877524999999</v>
      </c>
      <c r="G209">
        <v>1341.6580810999999</v>
      </c>
      <c r="H209">
        <v>1339.0708007999999</v>
      </c>
      <c r="I209">
        <v>1321.6247559000001</v>
      </c>
      <c r="J209">
        <v>1317.505249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16.198889999999999</v>
      </c>
      <c r="B210" s="1">
        <f>DATE(2010,5,17) + TIME(4,46,24)</f>
        <v>40315.198888888888</v>
      </c>
      <c r="C210">
        <v>80</v>
      </c>
      <c r="D210">
        <v>79.945800781000003</v>
      </c>
      <c r="E210">
        <v>50</v>
      </c>
      <c r="F210">
        <v>14.998884200999999</v>
      </c>
      <c r="G210">
        <v>1341.6478271000001</v>
      </c>
      <c r="H210">
        <v>1339.0603027</v>
      </c>
      <c r="I210">
        <v>1321.6256103999999</v>
      </c>
      <c r="J210">
        <v>1317.5056152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16.4346</v>
      </c>
      <c r="B211" s="1">
        <f>DATE(2010,5,17) + TIME(10,25,49)</f>
        <v>40315.434594907405</v>
      </c>
      <c r="C211">
        <v>80</v>
      </c>
      <c r="D211">
        <v>79.945831299000005</v>
      </c>
      <c r="E211">
        <v>50</v>
      </c>
      <c r="F211">
        <v>14.998890876999999</v>
      </c>
      <c r="G211">
        <v>1341.6376952999999</v>
      </c>
      <c r="H211">
        <v>1339.0498047000001</v>
      </c>
      <c r="I211">
        <v>1321.6263428</v>
      </c>
      <c r="J211">
        <v>1317.5059814000001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16.672943</v>
      </c>
      <c r="B212" s="1">
        <f>DATE(2010,5,17) + TIME(16,9,2)</f>
        <v>40315.672939814816</v>
      </c>
      <c r="C212">
        <v>80</v>
      </c>
      <c r="D212">
        <v>79.945869446000003</v>
      </c>
      <c r="E212">
        <v>50</v>
      </c>
      <c r="F212">
        <v>14.998897552000001</v>
      </c>
      <c r="G212">
        <v>1341.6276855000001</v>
      </c>
      <c r="H212">
        <v>1339.0394286999999</v>
      </c>
      <c r="I212">
        <v>1321.6271973</v>
      </c>
      <c r="J212">
        <v>1317.5063477000001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16.914328000000001</v>
      </c>
      <c r="B213" s="1">
        <f>DATE(2010,5,17) + TIME(21,56,37)</f>
        <v>40315.914317129631</v>
      </c>
      <c r="C213">
        <v>80</v>
      </c>
      <c r="D213">
        <v>79.945899963000002</v>
      </c>
      <c r="E213">
        <v>50</v>
      </c>
      <c r="F213">
        <v>14.998903275</v>
      </c>
      <c r="G213">
        <v>1341.6174315999999</v>
      </c>
      <c r="H213">
        <v>1339.0289307</v>
      </c>
      <c r="I213">
        <v>1321.6281738</v>
      </c>
      <c r="J213">
        <v>1317.5068358999999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17.159202000000001</v>
      </c>
      <c r="B214" s="1">
        <f>DATE(2010,5,18) + TIME(3,49,15)</f>
        <v>40316.159201388888</v>
      </c>
      <c r="C214">
        <v>80</v>
      </c>
      <c r="D214">
        <v>79.94593811</v>
      </c>
      <c r="E214">
        <v>50</v>
      </c>
      <c r="F214">
        <v>14.99890995</v>
      </c>
      <c r="G214">
        <v>1341.6070557</v>
      </c>
      <c r="H214">
        <v>1339.0183105000001</v>
      </c>
      <c r="I214">
        <v>1321.6290283000001</v>
      </c>
      <c r="J214">
        <v>1317.5072021000001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17.408106</v>
      </c>
      <c r="B215" s="1">
        <f>DATE(2010,5,18) + TIME(9,47,40)</f>
        <v>40316.408101851855</v>
      </c>
      <c r="C215">
        <v>80</v>
      </c>
      <c r="D215">
        <v>79.945968628000003</v>
      </c>
      <c r="E215">
        <v>50</v>
      </c>
      <c r="F215">
        <v>14.998916626</v>
      </c>
      <c r="G215">
        <v>1341.5968018000001</v>
      </c>
      <c r="H215">
        <v>1339.0076904</v>
      </c>
      <c r="I215">
        <v>1321.6298827999999</v>
      </c>
      <c r="J215">
        <v>1317.5075684000001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17.661442000000001</v>
      </c>
      <c r="B216" s="1">
        <f>DATE(2010,5,18) + TIME(15,52,28)</f>
        <v>40316.661435185182</v>
      </c>
      <c r="C216">
        <v>80</v>
      </c>
      <c r="D216">
        <v>79.946006775000001</v>
      </c>
      <c r="E216">
        <v>50</v>
      </c>
      <c r="F216">
        <v>14.998923302</v>
      </c>
      <c r="G216">
        <v>1341.5864257999999</v>
      </c>
      <c r="H216">
        <v>1338.9971923999999</v>
      </c>
      <c r="I216">
        <v>1321.6307373</v>
      </c>
      <c r="J216">
        <v>1317.5079346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17.919733000000001</v>
      </c>
      <c r="B217" s="1">
        <f>DATE(2010,5,18) + TIME(22,4,24)</f>
        <v>40316.919722222221</v>
      </c>
      <c r="C217">
        <v>80</v>
      </c>
      <c r="D217">
        <v>79.946037292</v>
      </c>
      <c r="E217">
        <v>50</v>
      </c>
      <c r="F217">
        <v>14.998929977</v>
      </c>
      <c r="G217">
        <v>1341.5759277</v>
      </c>
      <c r="H217">
        <v>1338.9865723</v>
      </c>
      <c r="I217">
        <v>1321.6315918</v>
      </c>
      <c r="J217">
        <v>1317.5084228999999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18.183547999999998</v>
      </c>
      <c r="B218" s="1">
        <f>DATE(2010,5,19) + TIME(4,24,18)</f>
        <v>40317.183541666665</v>
      </c>
      <c r="C218">
        <v>80</v>
      </c>
      <c r="D218">
        <v>79.946067810000002</v>
      </c>
      <c r="E218">
        <v>50</v>
      </c>
      <c r="F218">
        <v>14.998936652999999</v>
      </c>
      <c r="G218">
        <v>1341.5654297000001</v>
      </c>
      <c r="H218">
        <v>1338.9758300999999</v>
      </c>
      <c r="I218">
        <v>1321.6325684000001</v>
      </c>
      <c r="J218">
        <v>1317.5087891000001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18.453288000000001</v>
      </c>
      <c r="B219" s="1">
        <f>DATE(2010,5,19) + TIME(10,52,44)</f>
        <v>40317.453287037039</v>
      </c>
      <c r="C219">
        <v>80</v>
      </c>
      <c r="D219">
        <v>79.946105957</v>
      </c>
      <c r="E219">
        <v>50</v>
      </c>
      <c r="F219">
        <v>14.998943328999999</v>
      </c>
      <c r="G219">
        <v>1341.5549315999999</v>
      </c>
      <c r="H219">
        <v>1338.9650879000001</v>
      </c>
      <c r="I219">
        <v>1321.6334228999999</v>
      </c>
      <c r="J219">
        <v>1317.5092772999999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18.589030000000001</v>
      </c>
      <c r="B220" s="1">
        <f>DATE(2010,5,19) + TIME(14,8,12)</f>
        <v>40317.58902777778</v>
      </c>
      <c r="C220">
        <v>80</v>
      </c>
      <c r="D220">
        <v>79.946113585999996</v>
      </c>
      <c r="E220">
        <v>50</v>
      </c>
      <c r="F220">
        <v>14.998947144000001</v>
      </c>
      <c r="G220">
        <v>1341.5449219</v>
      </c>
      <c r="H220">
        <v>1338.9547118999999</v>
      </c>
      <c r="I220">
        <v>1321.6341553</v>
      </c>
      <c r="J220">
        <v>1317.5095214999999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18.724771</v>
      </c>
      <c r="B221" s="1">
        <f>DATE(2010,5,19) + TIME(17,23,40)</f>
        <v>40317.724768518521</v>
      </c>
      <c r="C221">
        <v>80</v>
      </c>
      <c r="D221">
        <v>79.946136475000003</v>
      </c>
      <c r="E221">
        <v>50</v>
      </c>
      <c r="F221">
        <v>14.998950958</v>
      </c>
      <c r="G221">
        <v>1341.5390625</v>
      </c>
      <c r="H221">
        <v>1338.9489745999999</v>
      </c>
      <c r="I221">
        <v>1321.6347656</v>
      </c>
      <c r="J221">
        <v>1317.5098877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18.860512</v>
      </c>
      <c r="B222" s="1">
        <f>DATE(2010,5,19) + TIME(20,39,8)</f>
        <v>40317.860509259262</v>
      </c>
      <c r="C222">
        <v>80</v>
      </c>
      <c r="D222">
        <v>79.946151732999994</v>
      </c>
      <c r="E222">
        <v>50</v>
      </c>
      <c r="F222">
        <v>14.998954772999999</v>
      </c>
      <c r="G222">
        <v>1341.5336914</v>
      </c>
      <c r="H222">
        <v>1338.9434814000001</v>
      </c>
      <c r="I222">
        <v>1321.6352539</v>
      </c>
      <c r="J222">
        <v>1317.5101318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18.996254</v>
      </c>
      <c r="B223" s="1">
        <f>DATE(2010,5,19) + TIME(23,54,36)</f>
        <v>40317.996249999997</v>
      </c>
      <c r="C223">
        <v>80</v>
      </c>
      <c r="D223">
        <v>79.946174622000001</v>
      </c>
      <c r="E223">
        <v>50</v>
      </c>
      <c r="F223">
        <v>14.998958588000001</v>
      </c>
      <c r="G223">
        <v>1341.5284423999999</v>
      </c>
      <c r="H223">
        <v>1338.9382324000001</v>
      </c>
      <c r="I223">
        <v>1321.6358643000001</v>
      </c>
      <c r="J223">
        <v>1317.510376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19.131995</v>
      </c>
      <c r="B224" s="1">
        <f>DATE(2010,5,20) + TIME(3,10,4)</f>
        <v>40318.131990740738</v>
      </c>
      <c r="C224">
        <v>80</v>
      </c>
      <c r="D224">
        <v>79.946189880000006</v>
      </c>
      <c r="E224">
        <v>50</v>
      </c>
      <c r="F224">
        <v>14.998961448999999</v>
      </c>
      <c r="G224">
        <v>1341.5231934000001</v>
      </c>
      <c r="H224">
        <v>1338.9329834</v>
      </c>
      <c r="I224">
        <v>1321.6363524999999</v>
      </c>
      <c r="J224">
        <v>1317.5106201000001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19.267735999999999</v>
      </c>
      <c r="B225" s="1">
        <f>DATE(2010,5,20) + TIME(6,25,32)</f>
        <v>40318.267731481479</v>
      </c>
      <c r="C225">
        <v>80</v>
      </c>
      <c r="D225">
        <v>79.946205139</v>
      </c>
      <c r="E225">
        <v>50</v>
      </c>
      <c r="F225">
        <v>14.998965263000001</v>
      </c>
      <c r="G225">
        <v>1341.5180664</v>
      </c>
      <c r="H225">
        <v>1338.9277344</v>
      </c>
      <c r="I225">
        <v>1321.6368408000001</v>
      </c>
      <c r="J225">
        <v>1317.5107422000001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19.539218999999999</v>
      </c>
      <c r="B226" s="1">
        <f>DATE(2010,5,20) + TIME(12,56,28)</f>
        <v>40318.539212962962</v>
      </c>
      <c r="C226">
        <v>80</v>
      </c>
      <c r="D226">
        <v>79.946250915999997</v>
      </c>
      <c r="E226">
        <v>50</v>
      </c>
      <c r="F226">
        <v>14.998970985</v>
      </c>
      <c r="G226">
        <v>1341.5125731999999</v>
      </c>
      <c r="H226">
        <v>1338.9223632999999</v>
      </c>
      <c r="I226">
        <v>1321.6374512</v>
      </c>
      <c r="J226">
        <v>1317.5111084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19.810739999999999</v>
      </c>
      <c r="B227" s="1">
        <f>DATE(2010,5,20) + TIME(19,27,27)</f>
        <v>40318.810729166667</v>
      </c>
      <c r="C227">
        <v>80</v>
      </c>
      <c r="D227">
        <v>79.946273804</v>
      </c>
      <c r="E227">
        <v>50</v>
      </c>
      <c r="F227">
        <v>14.998977661</v>
      </c>
      <c r="G227">
        <v>1341.5028076000001</v>
      </c>
      <c r="H227">
        <v>1338.9123535000001</v>
      </c>
      <c r="I227">
        <v>1321.6383057</v>
      </c>
      <c r="J227">
        <v>1317.5114745999999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20.083600000000001</v>
      </c>
      <c r="B228" s="1">
        <f>DATE(2010,5,21) + TIME(2,0,23)</f>
        <v>40319.083599537036</v>
      </c>
      <c r="C228">
        <v>80</v>
      </c>
      <c r="D228">
        <v>79.946304321</v>
      </c>
      <c r="E228">
        <v>50</v>
      </c>
      <c r="F228">
        <v>14.998983383000001</v>
      </c>
      <c r="G228">
        <v>1341.4927978999999</v>
      </c>
      <c r="H228">
        <v>1338.9023437999999</v>
      </c>
      <c r="I228">
        <v>1321.6391602000001</v>
      </c>
      <c r="J228">
        <v>1317.5119629000001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20.358270999999998</v>
      </c>
      <c r="B229" s="1">
        <f>DATE(2010,5,21) + TIME(8,35,54)</f>
        <v>40319.358263888891</v>
      </c>
      <c r="C229">
        <v>80</v>
      </c>
      <c r="D229">
        <v>79.946334839000002</v>
      </c>
      <c r="E229">
        <v>50</v>
      </c>
      <c r="F229">
        <v>14.998989105</v>
      </c>
      <c r="G229">
        <v>1341.4829102000001</v>
      </c>
      <c r="H229">
        <v>1338.8923339999999</v>
      </c>
      <c r="I229">
        <v>1321.6401367000001</v>
      </c>
      <c r="J229">
        <v>1317.5123291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20.635204999999999</v>
      </c>
      <c r="B230" s="1">
        <f>DATE(2010,5,21) + TIME(15,14,41)</f>
        <v>40319.635196759256</v>
      </c>
      <c r="C230">
        <v>80</v>
      </c>
      <c r="D230">
        <v>79.946372986</v>
      </c>
      <c r="E230">
        <v>50</v>
      </c>
      <c r="F230">
        <v>14.998995781</v>
      </c>
      <c r="G230">
        <v>1341.4731445</v>
      </c>
      <c r="H230">
        <v>1338.8824463000001</v>
      </c>
      <c r="I230">
        <v>1321.6411132999999</v>
      </c>
      <c r="J230">
        <v>1317.5128173999999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20.914867999999998</v>
      </c>
      <c r="B231" s="1">
        <f>DATE(2010,5,21) + TIME(21,57,24)</f>
        <v>40319.914861111109</v>
      </c>
      <c r="C231">
        <v>80</v>
      </c>
      <c r="D231">
        <v>79.946403502999999</v>
      </c>
      <c r="E231">
        <v>50</v>
      </c>
      <c r="F231">
        <v>14.999001503000001</v>
      </c>
      <c r="G231">
        <v>1341.4632568</v>
      </c>
      <c r="H231">
        <v>1338.8726807</v>
      </c>
      <c r="I231">
        <v>1321.6420897999999</v>
      </c>
      <c r="J231">
        <v>1317.5133057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21.197741000000001</v>
      </c>
      <c r="B232" s="1">
        <f>DATE(2010,5,22) + TIME(4,44,44)</f>
        <v>40320.197731481479</v>
      </c>
      <c r="C232">
        <v>80</v>
      </c>
      <c r="D232">
        <v>79.946434021000002</v>
      </c>
      <c r="E232">
        <v>50</v>
      </c>
      <c r="F232">
        <v>14.999008179</v>
      </c>
      <c r="G232">
        <v>1341.4534911999999</v>
      </c>
      <c r="H232">
        <v>1338.8629149999999</v>
      </c>
      <c r="I232">
        <v>1321.6430664</v>
      </c>
      <c r="J232">
        <v>1317.5137939000001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21.484324999999998</v>
      </c>
      <c r="B233" s="1">
        <f>DATE(2010,5,22) + TIME(11,37,25)</f>
        <v>40320.484317129631</v>
      </c>
      <c r="C233">
        <v>80</v>
      </c>
      <c r="D233">
        <v>79.946464539000004</v>
      </c>
      <c r="E233">
        <v>50</v>
      </c>
      <c r="F233">
        <v>14.999013901</v>
      </c>
      <c r="G233">
        <v>1341.4437256000001</v>
      </c>
      <c r="H233">
        <v>1338.8531493999999</v>
      </c>
      <c r="I233">
        <v>1321.644043</v>
      </c>
      <c r="J233">
        <v>1317.5141602000001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21.775175000000001</v>
      </c>
      <c r="B234" s="1">
        <f>DATE(2010,5,22) + TIME(18,36,15)</f>
        <v>40320.775173611109</v>
      </c>
      <c r="C234">
        <v>80</v>
      </c>
      <c r="D234">
        <v>79.946495056000003</v>
      </c>
      <c r="E234">
        <v>50</v>
      </c>
      <c r="F234">
        <v>14.999020575999999</v>
      </c>
      <c r="G234">
        <v>1341.4339600000001</v>
      </c>
      <c r="H234">
        <v>1338.8433838000001</v>
      </c>
      <c r="I234">
        <v>1321.6450195</v>
      </c>
      <c r="J234">
        <v>1317.5146483999999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22.070919</v>
      </c>
      <c r="B235" s="1">
        <f>DATE(2010,5,23) + TIME(1,42,7)</f>
        <v>40321.070914351854</v>
      </c>
      <c r="C235">
        <v>80</v>
      </c>
      <c r="D235">
        <v>79.946525574000006</v>
      </c>
      <c r="E235">
        <v>50</v>
      </c>
      <c r="F235">
        <v>14.999027251999999</v>
      </c>
      <c r="G235">
        <v>1341.4241943</v>
      </c>
      <c r="H235">
        <v>1338.8336182</v>
      </c>
      <c r="I235">
        <v>1321.6461182</v>
      </c>
      <c r="J235">
        <v>1317.5151367000001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22.372076</v>
      </c>
      <c r="B236" s="1">
        <f>DATE(2010,5,23) + TIME(8,55,47)</f>
        <v>40321.372071759259</v>
      </c>
      <c r="C236">
        <v>80</v>
      </c>
      <c r="D236">
        <v>79.946556091000005</v>
      </c>
      <c r="E236">
        <v>50</v>
      </c>
      <c r="F236">
        <v>14.999032974</v>
      </c>
      <c r="G236">
        <v>1341.4144286999999</v>
      </c>
      <c r="H236">
        <v>1338.8238524999999</v>
      </c>
      <c r="I236">
        <v>1321.6470947</v>
      </c>
      <c r="J236">
        <v>1317.515625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22.679292</v>
      </c>
      <c r="B237" s="1">
        <f>DATE(2010,5,23) + TIME(16,18,10)</f>
        <v>40321.679282407407</v>
      </c>
      <c r="C237">
        <v>80</v>
      </c>
      <c r="D237">
        <v>79.946594238000003</v>
      </c>
      <c r="E237">
        <v>50</v>
      </c>
      <c r="F237">
        <v>14.99903965</v>
      </c>
      <c r="G237">
        <v>1341.4045410000001</v>
      </c>
      <c r="H237">
        <v>1338.8140868999999</v>
      </c>
      <c r="I237">
        <v>1321.6481934000001</v>
      </c>
      <c r="J237">
        <v>1317.5162353999999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22.993271</v>
      </c>
      <c r="B238" s="1">
        <f>DATE(2010,5,23) + TIME(23,50,18)</f>
        <v>40321.993263888886</v>
      </c>
      <c r="C238">
        <v>80</v>
      </c>
      <c r="D238">
        <v>79.946624756000006</v>
      </c>
      <c r="E238">
        <v>50</v>
      </c>
      <c r="F238">
        <v>14.999046326</v>
      </c>
      <c r="G238">
        <v>1341.3946533000001</v>
      </c>
      <c r="H238">
        <v>1338.8041992000001</v>
      </c>
      <c r="I238">
        <v>1321.6492920000001</v>
      </c>
      <c r="J238">
        <v>1317.5167236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23.153313000000001</v>
      </c>
      <c r="B239" s="1">
        <f>DATE(2010,5,24) + TIME(3,40,46)</f>
        <v>40322.153310185182</v>
      </c>
      <c r="C239">
        <v>80</v>
      </c>
      <c r="D239">
        <v>79.946632385000001</v>
      </c>
      <c r="E239">
        <v>50</v>
      </c>
      <c r="F239">
        <v>14.99905014</v>
      </c>
      <c r="G239">
        <v>1341.3851318</v>
      </c>
      <c r="H239">
        <v>1338.7946777</v>
      </c>
      <c r="I239">
        <v>1321.6500243999999</v>
      </c>
      <c r="J239">
        <v>1317.5170897999999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23.313355000000001</v>
      </c>
      <c r="B240" s="1">
        <f>DATE(2010,5,24) + TIME(7,31,13)</f>
        <v>40322.313344907408</v>
      </c>
      <c r="C240">
        <v>80</v>
      </c>
      <c r="D240">
        <v>79.946647643999995</v>
      </c>
      <c r="E240">
        <v>50</v>
      </c>
      <c r="F240">
        <v>14.999053955000001</v>
      </c>
      <c r="G240">
        <v>1341.3796387</v>
      </c>
      <c r="H240">
        <v>1338.7893065999999</v>
      </c>
      <c r="I240">
        <v>1321.6507568</v>
      </c>
      <c r="J240">
        <v>1317.5174560999999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23.473396000000001</v>
      </c>
      <c r="B241" s="1">
        <f>DATE(2010,5,24) + TIME(11,21,41)</f>
        <v>40322.473391203705</v>
      </c>
      <c r="C241">
        <v>80</v>
      </c>
      <c r="D241">
        <v>79.946670531999999</v>
      </c>
      <c r="E241">
        <v>50</v>
      </c>
      <c r="F241">
        <v>14.99905777</v>
      </c>
      <c r="G241">
        <v>1341.3745117000001</v>
      </c>
      <c r="H241">
        <v>1338.7841797000001</v>
      </c>
      <c r="I241">
        <v>1321.6513672000001</v>
      </c>
      <c r="J241">
        <v>1317.5177002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23.633438000000002</v>
      </c>
      <c r="B242" s="1">
        <f>DATE(2010,5,24) + TIME(15,12,9)</f>
        <v>40322.633437500001</v>
      </c>
      <c r="C242">
        <v>80</v>
      </c>
      <c r="D242">
        <v>79.946685790999993</v>
      </c>
      <c r="E242">
        <v>50</v>
      </c>
      <c r="F242">
        <v>14.999061584</v>
      </c>
      <c r="G242">
        <v>1341.3695068</v>
      </c>
      <c r="H242">
        <v>1338.7792969</v>
      </c>
      <c r="I242">
        <v>1321.6519774999999</v>
      </c>
      <c r="J242">
        <v>1317.5180664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23.793479999999999</v>
      </c>
      <c r="B243" s="1">
        <f>DATE(2010,5,24) + TIME(19,2,36)</f>
        <v>40322.79347222222</v>
      </c>
      <c r="C243">
        <v>80</v>
      </c>
      <c r="D243">
        <v>79.946708678999997</v>
      </c>
      <c r="E243">
        <v>50</v>
      </c>
      <c r="F243">
        <v>14.999064445</v>
      </c>
      <c r="G243">
        <v>1341.3645019999999</v>
      </c>
      <c r="H243">
        <v>1338.7742920000001</v>
      </c>
      <c r="I243">
        <v>1321.6525879000001</v>
      </c>
      <c r="J243">
        <v>1317.5183105000001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23.953520999999999</v>
      </c>
      <c r="B244" s="1">
        <f>DATE(2010,5,24) + TIME(22,53,4)</f>
        <v>40322.953518518516</v>
      </c>
      <c r="C244">
        <v>80</v>
      </c>
      <c r="D244">
        <v>79.946723938000005</v>
      </c>
      <c r="E244">
        <v>50</v>
      </c>
      <c r="F244">
        <v>14.99906826</v>
      </c>
      <c r="G244">
        <v>1341.3594971</v>
      </c>
      <c r="H244">
        <v>1338.7694091999999</v>
      </c>
      <c r="I244">
        <v>1321.6530762</v>
      </c>
      <c r="J244">
        <v>1317.5185547000001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24.113562999999999</v>
      </c>
      <c r="B245" s="1">
        <f>DATE(2010,5,25) + TIME(2,43,31)</f>
        <v>40323.113553240742</v>
      </c>
      <c r="C245">
        <v>80</v>
      </c>
      <c r="D245">
        <v>79.946739196999999</v>
      </c>
      <c r="E245">
        <v>50</v>
      </c>
      <c r="F245">
        <v>14.999071121</v>
      </c>
      <c r="G245">
        <v>1341.3546143000001</v>
      </c>
      <c r="H245">
        <v>1338.7645264</v>
      </c>
      <c r="I245">
        <v>1321.6536865</v>
      </c>
      <c r="J245">
        <v>1317.5187988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24.273605</v>
      </c>
      <c r="B246" s="1">
        <f>DATE(2010,5,25) + TIME(6,33,59)</f>
        <v>40323.273599537039</v>
      </c>
      <c r="C246">
        <v>80</v>
      </c>
      <c r="D246">
        <v>79.946754455999994</v>
      </c>
      <c r="E246">
        <v>50</v>
      </c>
      <c r="F246">
        <v>14.999074936</v>
      </c>
      <c r="G246">
        <v>1341.3497314000001</v>
      </c>
      <c r="H246">
        <v>1338.7597656</v>
      </c>
      <c r="I246">
        <v>1321.6541748</v>
      </c>
      <c r="J246">
        <v>1317.519043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24.433646</v>
      </c>
      <c r="B247" s="1">
        <f>DATE(2010,5,25) + TIME(10,24,27)</f>
        <v>40323.433645833335</v>
      </c>
      <c r="C247">
        <v>80</v>
      </c>
      <c r="D247">
        <v>79.946769713999998</v>
      </c>
      <c r="E247">
        <v>50</v>
      </c>
      <c r="F247">
        <v>14.999077797</v>
      </c>
      <c r="G247">
        <v>1341.3448486</v>
      </c>
      <c r="H247">
        <v>1338.7550048999999</v>
      </c>
      <c r="I247">
        <v>1321.6547852000001</v>
      </c>
      <c r="J247">
        <v>1317.5194091999999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24.753730000000001</v>
      </c>
      <c r="B248" s="1">
        <f>DATE(2010,5,25) + TIME(18,5,22)</f>
        <v>40323.75372685185</v>
      </c>
      <c r="C248">
        <v>80</v>
      </c>
      <c r="D248">
        <v>79.946807860999996</v>
      </c>
      <c r="E248">
        <v>50</v>
      </c>
      <c r="F248">
        <v>14.999083518999999</v>
      </c>
      <c r="G248">
        <v>1341.3397216999999</v>
      </c>
      <c r="H248">
        <v>1338.7501221</v>
      </c>
      <c r="I248">
        <v>1321.6555175999999</v>
      </c>
      <c r="J248">
        <v>1317.5196533000001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25.074138999999999</v>
      </c>
      <c r="B249" s="1">
        <f>DATE(2010,5,26) + TIME(1,46,45)</f>
        <v>40324.074131944442</v>
      </c>
      <c r="C249">
        <v>80</v>
      </c>
      <c r="D249">
        <v>79.946838378999999</v>
      </c>
      <c r="E249">
        <v>50</v>
      </c>
      <c r="F249">
        <v>14.999089241</v>
      </c>
      <c r="G249">
        <v>1341.3305664</v>
      </c>
      <c r="H249">
        <v>1338.7409668</v>
      </c>
      <c r="I249">
        <v>1321.6564940999999</v>
      </c>
      <c r="J249">
        <v>1317.5201416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25.396875000000001</v>
      </c>
      <c r="B250" s="1">
        <f>DATE(2010,5,26) + TIME(9,31,30)</f>
        <v>40324.396874999999</v>
      </c>
      <c r="C250">
        <v>80</v>
      </c>
      <c r="D250">
        <v>79.946868895999998</v>
      </c>
      <c r="E250">
        <v>50</v>
      </c>
      <c r="F250">
        <v>14.999094962999999</v>
      </c>
      <c r="G250">
        <v>1341.3211670000001</v>
      </c>
      <c r="H250">
        <v>1338.7318115</v>
      </c>
      <c r="I250">
        <v>1321.6575928</v>
      </c>
      <c r="J250">
        <v>1317.5207519999999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25.722508999999999</v>
      </c>
      <c r="B251" s="1">
        <f>DATE(2010,5,26) + TIME(17,20,24)</f>
        <v>40324.722500000003</v>
      </c>
      <c r="C251">
        <v>80</v>
      </c>
      <c r="D251">
        <v>79.946899414000001</v>
      </c>
      <c r="E251">
        <v>50</v>
      </c>
      <c r="F251">
        <v>14.999101638999999</v>
      </c>
      <c r="G251">
        <v>1341.3118896000001</v>
      </c>
      <c r="H251">
        <v>1338.7226562000001</v>
      </c>
      <c r="I251">
        <v>1321.6586914</v>
      </c>
      <c r="J251">
        <v>1317.5212402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26.051611999999999</v>
      </c>
      <c r="B252" s="1">
        <f>DATE(2010,5,27) + TIME(1,14,19)</f>
        <v>40325.051608796297</v>
      </c>
      <c r="C252">
        <v>80</v>
      </c>
      <c r="D252">
        <v>79.946929932000003</v>
      </c>
      <c r="E252">
        <v>50</v>
      </c>
      <c r="F252">
        <v>14.999107361</v>
      </c>
      <c r="G252">
        <v>1341.3024902</v>
      </c>
      <c r="H252">
        <v>1338.713501</v>
      </c>
      <c r="I252">
        <v>1321.6599120999999</v>
      </c>
      <c r="J252">
        <v>1317.5218506000001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26.384771000000001</v>
      </c>
      <c r="B253" s="1">
        <f>DATE(2010,5,27) + TIME(9,14,4)</f>
        <v>40325.384768518517</v>
      </c>
      <c r="C253">
        <v>80</v>
      </c>
      <c r="D253">
        <v>79.946960449000002</v>
      </c>
      <c r="E253">
        <v>50</v>
      </c>
      <c r="F253">
        <v>14.999113082999999</v>
      </c>
      <c r="G253">
        <v>1341.2932129000001</v>
      </c>
      <c r="H253">
        <v>1338.7044678</v>
      </c>
      <c r="I253">
        <v>1321.6610106999999</v>
      </c>
      <c r="J253">
        <v>1317.5223389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26.722605000000001</v>
      </c>
      <c r="B254" s="1">
        <f>DATE(2010,5,27) + TIME(17,20,33)</f>
        <v>40325.722604166665</v>
      </c>
      <c r="C254">
        <v>80</v>
      </c>
      <c r="D254">
        <v>79.946990967000005</v>
      </c>
      <c r="E254">
        <v>50</v>
      </c>
      <c r="F254">
        <v>14.999119758999999</v>
      </c>
      <c r="G254">
        <v>1341.2839355000001</v>
      </c>
      <c r="H254">
        <v>1338.6953125</v>
      </c>
      <c r="I254">
        <v>1321.6622314000001</v>
      </c>
      <c r="J254">
        <v>1317.5229492000001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27.065842</v>
      </c>
      <c r="B255" s="1">
        <f>DATE(2010,5,28) + TIME(1,34,48)</f>
        <v>40326.065833333334</v>
      </c>
      <c r="C255">
        <v>80</v>
      </c>
      <c r="D255">
        <v>79.947021484000004</v>
      </c>
      <c r="E255">
        <v>50</v>
      </c>
      <c r="F255">
        <v>14.999125481</v>
      </c>
      <c r="G255">
        <v>1341.2745361</v>
      </c>
      <c r="H255">
        <v>1338.6862793</v>
      </c>
      <c r="I255">
        <v>1321.6634521000001</v>
      </c>
      <c r="J255">
        <v>1317.5235596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27.415184</v>
      </c>
      <c r="B256" s="1">
        <f>DATE(2010,5,28) + TIME(9,57,51)</f>
        <v>40326.415173611109</v>
      </c>
      <c r="C256">
        <v>80</v>
      </c>
      <c r="D256">
        <v>79.947059631000002</v>
      </c>
      <c r="E256">
        <v>50</v>
      </c>
      <c r="F256">
        <v>14.999132156</v>
      </c>
      <c r="G256">
        <v>1341.2652588000001</v>
      </c>
      <c r="H256">
        <v>1338.677124</v>
      </c>
      <c r="I256">
        <v>1321.6646728999999</v>
      </c>
      <c r="J256">
        <v>1317.5241699000001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27.771317</v>
      </c>
      <c r="B257" s="1">
        <f>DATE(2010,5,28) + TIME(18,30,41)</f>
        <v>40326.771307870367</v>
      </c>
      <c r="C257">
        <v>80</v>
      </c>
      <c r="D257">
        <v>79.947090149000005</v>
      </c>
      <c r="E257">
        <v>50</v>
      </c>
      <c r="F257">
        <v>14.999138832</v>
      </c>
      <c r="G257">
        <v>1341.2558594</v>
      </c>
      <c r="H257">
        <v>1338.6679687999999</v>
      </c>
      <c r="I257">
        <v>1321.6658935999999</v>
      </c>
      <c r="J257">
        <v>1317.5247803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28.135058000000001</v>
      </c>
      <c r="B258" s="1">
        <f>DATE(2010,5,29) + TIME(3,14,29)</f>
        <v>40327.135057870371</v>
      </c>
      <c r="C258">
        <v>80</v>
      </c>
      <c r="D258">
        <v>79.947120666999993</v>
      </c>
      <c r="E258">
        <v>50</v>
      </c>
      <c r="F258">
        <v>14.999144554000001</v>
      </c>
      <c r="G258">
        <v>1341.2463379000001</v>
      </c>
      <c r="H258">
        <v>1338.6588135</v>
      </c>
      <c r="I258">
        <v>1321.6671143000001</v>
      </c>
      <c r="J258">
        <v>1317.5253906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28.318235000000001</v>
      </c>
      <c r="B259" s="1">
        <f>DATE(2010,5,29) + TIME(7,38,15)</f>
        <v>40327.318229166667</v>
      </c>
      <c r="C259">
        <v>80</v>
      </c>
      <c r="D259">
        <v>79.947128296000002</v>
      </c>
      <c r="E259">
        <v>50</v>
      </c>
      <c r="F259">
        <v>14.999148369</v>
      </c>
      <c r="G259">
        <v>1341.2373047000001</v>
      </c>
      <c r="H259">
        <v>1338.6500243999999</v>
      </c>
      <c r="I259">
        <v>1321.6680908000001</v>
      </c>
      <c r="J259">
        <v>1317.5258789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28.501411000000001</v>
      </c>
      <c r="B260" s="1">
        <f>DATE(2010,5,29) + TIME(12,2,1)</f>
        <v>40327.501400462963</v>
      </c>
      <c r="C260">
        <v>80</v>
      </c>
      <c r="D260">
        <v>79.947151184000006</v>
      </c>
      <c r="E260">
        <v>50</v>
      </c>
      <c r="F260">
        <v>14.999152184</v>
      </c>
      <c r="G260">
        <v>1341.2320557</v>
      </c>
      <c r="H260">
        <v>1338.6450195</v>
      </c>
      <c r="I260">
        <v>1321.6689452999999</v>
      </c>
      <c r="J260">
        <v>1317.5262451000001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28.684587000000001</v>
      </c>
      <c r="B261" s="1">
        <f>DATE(2010,5,29) + TIME(16,25,48)</f>
        <v>40327.684583333335</v>
      </c>
      <c r="C261">
        <v>80</v>
      </c>
      <c r="D261">
        <v>79.947166443</v>
      </c>
      <c r="E261">
        <v>50</v>
      </c>
      <c r="F261">
        <v>14.999155998000001</v>
      </c>
      <c r="G261">
        <v>1341.2272949000001</v>
      </c>
      <c r="H261">
        <v>1338.6402588000001</v>
      </c>
      <c r="I261">
        <v>1321.6696777</v>
      </c>
      <c r="J261">
        <v>1317.5266113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28.867763</v>
      </c>
      <c r="B262" s="1">
        <f>DATE(2010,5,29) + TIME(20,49,34)</f>
        <v>40327.867754629631</v>
      </c>
      <c r="C262">
        <v>80</v>
      </c>
      <c r="D262">
        <v>79.947181701999995</v>
      </c>
      <c r="E262">
        <v>50</v>
      </c>
      <c r="F262">
        <v>14.999159813</v>
      </c>
      <c r="G262">
        <v>1341.2225341999999</v>
      </c>
      <c r="H262">
        <v>1338.6357422000001</v>
      </c>
      <c r="I262">
        <v>1321.6704102000001</v>
      </c>
      <c r="J262">
        <v>1317.5269774999999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29.050940000000001</v>
      </c>
      <c r="B263" s="1">
        <f>DATE(2010,5,30) + TIME(1,13,21)</f>
        <v>40328.050937499997</v>
      </c>
      <c r="C263">
        <v>80</v>
      </c>
      <c r="D263">
        <v>79.947196959999999</v>
      </c>
      <c r="E263">
        <v>50</v>
      </c>
      <c r="F263">
        <v>14.999163628</v>
      </c>
      <c r="G263">
        <v>1341.2177733999999</v>
      </c>
      <c r="H263">
        <v>1338.6311035000001</v>
      </c>
      <c r="I263">
        <v>1321.6710204999999</v>
      </c>
      <c r="J263">
        <v>1317.5272216999999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29.234116</v>
      </c>
      <c r="B264" s="1">
        <f>DATE(2010,5,30) + TIME(5,37,7)</f>
        <v>40328.2341087963</v>
      </c>
      <c r="C264">
        <v>80</v>
      </c>
      <c r="D264">
        <v>79.947219849000007</v>
      </c>
      <c r="E264">
        <v>50</v>
      </c>
      <c r="F264">
        <v>14.999166489</v>
      </c>
      <c r="G264">
        <v>1341.2131348</v>
      </c>
      <c r="H264">
        <v>1338.6265868999999</v>
      </c>
      <c r="I264">
        <v>1321.6717529</v>
      </c>
      <c r="J264">
        <v>1317.5275879000001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29.417292</v>
      </c>
      <c r="B265" s="1">
        <f>DATE(2010,5,30) + TIME(10,0,54)</f>
        <v>40328.417291666665</v>
      </c>
      <c r="C265">
        <v>80</v>
      </c>
      <c r="D265">
        <v>79.947235106999997</v>
      </c>
      <c r="E265">
        <v>50</v>
      </c>
      <c r="F265">
        <v>14.999170303</v>
      </c>
      <c r="G265">
        <v>1341.208374</v>
      </c>
      <c r="H265">
        <v>1338.6221923999999</v>
      </c>
      <c r="I265">
        <v>1321.6723632999999</v>
      </c>
      <c r="J265">
        <v>1317.5279541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29.783645</v>
      </c>
      <c r="B266" s="1">
        <f>DATE(2010,5,30) + TIME(18,48,26)</f>
        <v>40328.783634259256</v>
      </c>
      <c r="C266">
        <v>80</v>
      </c>
      <c r="D266">
        <v>79.947273253999995</v>
      </c>
      <c r="E266">
        <v>50</v>
      </c>
      <c r="F266">
        <v>14.999175072</v>
      </c>
      <c r="G266">
        <v>1341.2034911999999</v>
      </c>
      <c r="H266">
        <v>1338.6175536999999</v>
      </c>
      <c r="I266">
        <v>1321.6732178</v>
      </c>
      <c r="J266">
        <v>1317.5283202999999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30.150262000000001</v>
      </c>
      <c r="B267" s="1">
        <f>DATE(2010,5,31) + TIME(3,36,22)</f>
        <v>40329.150254629632</v>
      </c>
      <c r="C267">
        <v>80</v>
      </c>
      <c r="D267">
        <v>79.947303771999998</v>
      </c>
      <c r="E267">
        <v>50</v>
      </c>
      <c r="F267">
        <v>14.999180794000001</v>
      </c>
      <c r="G267">
        <v>1341.1947021000001</v>
      </c>
      <c r="H267">
        <v>1338.6090088000001</v>
      </c>
      <c r="I267">
        <v>1321.6743164</v>
      </c>
      <c r="J267">
        <v>1317.5289307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30.519313</v>
      </c>
      <c r="B268" s="1">
        <f>DATE(2010,5,31) + TIME(12,27,48)</f>
        <v>40329.519305555557</v>
      </c>
      <c r="C268">
        <v>80</v>
      </c>
      <c r="D268">
        <v>79.947334290000001</v>
      </c>
      <c r="E268">
        <v>50</v>
      </c>
      <c r="F268">
        <v>14.999186516</v>
      </c>
      <c r="G268">
        <v>1341.1856689000001</v>
      </c>
      <c r="H268">
        <v>1338.6003418</v>
      </c>
      <c r="I268">
        <v>1321.6756591999999</v>
      </c>
      <c r="J268">
        <v>1317.5295410000001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30.891487999999999</v>
      </c>
      <c r="B269" s="1">
        <f>DATE(2010,5,31) + TIME(21,23,44)</f>
        <v>40329.891481481478</v>
      </c>
      <c r="C269">
        <v>80</v>
      </c>
      <c r="D269">
        <v>79.947364807</v>
      </c>
      <c r="E269">
        <v>50</v>
      </c>
      <c r="F269">
        <v>14.999193192</v>
      </c>
      <c r="G269">
        <v>1341.1767577999999</v>
      </c>
      <c r="H269">
        <v>1338.5917969</v>
      </c>
      <c r="I269">
        <v>1321.6770019999999</v>
      </c>
      <c r="J269">
        <v>1317.5301514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31</v>
      </c>
      <c r="B270" s="1">
        <f>DATE(2010,6,1) + TIME(0,0,0)</f>
        <v>40330</v>
      </c>
      <c r="C270">
        <v>80</v>
      </c>
      <c r="D270">
        <v>79.947357178000004</v>
      </c>
      <c r="E270">
        <v>50</v>
      </c>
      <c r="F270">
        <v>14.999195099</v>
      </c>
      <c r="G270">
        <v>1341.1690673999999</v>
      </c>
      <c r="H270">
        <v>1338.5841064000001</v>
      </c>
      <c r="I270">
        <v>1321.6777344</v>
      </c>
      <c r="J270">
        <v>1317.5305175999999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31.375972999999998</v>
      </c>
      <c r="B271" s="1">
        <f>DATE(2010,6,1) + TIME(9,1,24)</f>
        <v>40330.375972222224</v>
      </c>
      <c r="C271">
        <v>80</v>
      </c>
      <c r="D271">
        <v>79.947402953999998</v>
      </c>
      <c r="E271">
        <v>50</v>
      </c>
      <c r="F271">
        <v>14.999200821000001</v>
      </c>
      <c r="G271">
        <v>1341.1649170000001</v>
      </c>
      <c r="H271">
        <v>1338.5804443</v>
      </c>
      <c r="I271">
        <v>1321.6788329999999</v>
      </c>
      <c r="J271">
        <v>1317.5311279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31.757963</v>
      </c>
      <c r="B272" s="1">
        <f>DATE(2010,6,1) + TIME(18,11,27)</f>
        <v>40330.757951388892</v>
      </c>
      <c r="C272">
        <v>80</v>
      </c>
      <c r="D272">
        <v>79.947441100999995</v>
      </c>
      <c r="E272">
        <v>50</v>
      </c>
      <c r="F272">
        <v>14.999207497</v>
      </c>
      <c r="G272">
        <v>1341.15625</v>
      </c>
      <c r="H272">
        <v>1338.5721435999999</v>
      </c>
      <c r="I272">
        <v>1321.6800536999999</v>
      </c>
      <c r="J272">
        <v>1317.5317382999999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32.145319000000001</v>
      </c>
      <c r="B273" s="1">
        <f>DATE(2010,6,2) + TIME(3,29,15)</f>
        <v>40331.145312499997</v>
      </c>
      <c r="C273">
        <v>80</v>
      </c>
      <c r="D273">
        <v>79.947471618999998</v>
      </c>
      <c r="E273">
        <v>50</v>
      </c>
      <c r="F273">
        <v>14.999213219</v>
      </c>
      <c r="G273">
        <v>1341.1473389</v>
      </c>
      <c r="H273">
        <v>1338.5635986</v>
      </c>
      <c r="I273">
        <v>1321.6813964999999</v>
      </c>
      <c r="J273">
        <v>1317.5323486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32.538975999999998</v>
      </c>
      <c r="B274" s="1">
        <f>DATE(2010,6,2) + TIME(12,56,7)</f>
        <v>40331.538969907408</v>
      </c>
      <c r="C274">
        <v>80</v>
      </c>
      <c r="D274">
        <v>79.947502135999997</v>
      </c>
      <c r="E274">
        <v>50</v>
      </c>
      <c r="F274">
        <v>14.999218941000001</v>
      </c>
      <c r="G274">
        <v>1341.1384277</v>
      </c>
      <c r="H274">
        <v>1338.5550536999999</v>
      </c>
      <c r="I274">
        <v>1321.6828613</v>
      </c>
      <c r="J274">
        <v>1317.5330810999999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32.939760999999997</v>
      </c>
      <c r="B275" s="1">
        <f>DATE(2010,6,2) + TIME(22,33,15)</f>
        <v>40331.939756944441</v>
      </c>
      <c r="C275">
        <v>80</v>
      </c>
      <c r="D275">
        <v>79.947532654</v>
      </c>
      <c r="E275">
        <v>50</v>
      </c>
      <c r="F275">
        <v>14.999225616</v>
      </c>
      <c r="G275">
        <v>1341.1293945</v>
      </c>
      <c r="H275">
        <v>1338.5465088000001</v>
      </c>
      <c r="I275">
        <v>1321.6843262</v>
      </c>
      <c r="J275">
        <v>1317.5338135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33.348511999999999</v>
      </c>
      <c r="B276" s="1">
        <f>DATE(2010,6,3) + TIME(8,21,51)</f>
        <v>40332.348506944443</v>
      </c>
      <c r="C276">
        <v>80</v>
      </c>
      <c r="D276">
        <v>79.947570800999998</v>
      </c>
      <c r="E276">
        <v>50</v>
      </c>
      <c r="F276">
        <v>14.999232292</v>
      </c>
      <c r="G276">
        <v>1341.1203613</v>
      </c>
      <c r="H276">
        <v>1338.5379639</v>
      </c>
      <c r="I276">
        <v>1321.6857910000001</v>
      </c>
      <c r="J276">
        <v>1317.5345459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33.556389000000003</v>
      </c>
      <c r="B277" s="1">
        <f>DATE(2010,6,3) + TIME(13,21,12)</f>
        <v>40332.556388888886</v>
      </c>
      <c r="C277">
        <v>80</v>
      </c>
      <c r="D277">
        <v>79.947578429999993</v>
      </c>
      <c r="E277">
        <v>50</v>
      </c>
      <c r="F277">
        <v>14.999236107</v>
      </c>
      <c r="G277">
        <v>1341.1116943</v>
      </c>
      <c r="H277">
        <v>1338.5296631000001</v>
      </c>
      <c r="I277">
        <v>1321.6868896000001</v>
      </c>
      <c r="J277">
        <v>1317.5351562000001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33.764265999999999</v>
      </c>
      <c r="B278" s="1">
        <f>DATE(2010,6,3) + TIME(18,20,32)</f>
        <v>40332.76425925926</v>
      </c>
      <c r="C278">
        <v>80</v>
      </c>
      <c r="D278">
        <v>79.947593689000001</v>
      </c>
      <c r="E278">
        <v>50</v>
      </c>
      <c r="F278">
        <v>14.999239921999999</v>
      </c>
      <c r="G278">
        <v>1341.1066894999999</v>
      </c>
      <c r="H278">
        <v>1338.5249022999999</v>
      </c>
      <c r="I278">
        <v>1321.6878661999999</v>
      </c>
      <c r="J278">
        <v>1317.5355225000001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33.972143000000003</v>
      </c>
      <c r="B279" s="1">
        <f>DATE(2010,6,3) + TIME(23,19,53)</f>
        <v>40332.972141203703</v>
      </c>
      <c r="C279">
        <v>80</v>
      </c>
      <c r="D279">
        <v>79.947608947999996</v>
      </c>
      <c r="E279">
        <v>50</v>
      </c>
      <c r="F279">
        <v>14.999243736</v>
      </c>
      <c r="G279">
        <v>1341.1020507999999</v>
      </c>
      <c r="H279">
        <v>1338.5205077999999</v>
      </c>
      <c r="I279">
        <v>1321.6887207</v>
      </c>
      <c r="J279">
        <v>1317.5360106999999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34.180019999999999</v>
      </c>
      <c r="B280" s="1">
        <f>DATE(2010,6,4) + TIME(4,19,13)</f>
        <v>40333.180011574077</v>
      </c>
      <c r="C280">
        <v>80</v>
      </c>
      <c r="D280">
        <v>79.947631835999999</v>
      </c>
      <c r="E280">
        <v>50</v>
      </c>
      <c r="F280">
        <v>14.999246597000001</v>
      </c>
      <c r="G280">
        <v>1341.0974120999999</v>
      </c>
      <c r="H280">
        <v>1338.5161132999999</v>
      </c>
      <c r="I280">
        <v>1321.6894531</v>
      </c>
      <c r="J280">
        <v>1317.5363769999999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34.387895999999998</v>
      </c>
      <c r="B281" s="1">
        <f>DATE(2010,6,4) + TIME(9,18,34)</f>
        <v>40333.38789351852</v>
      </c>
      <c r="C281">
        <v>80</v>
      </c>
      <c r="D281">
        <v>79.947647094999994</v>
      </c>
      <c r="E281">
        <v>50</v>
      </c>
      <c r="F281">
        <v>14.999250412</v>
      </c>
      <c r="G281">
        <v>1341.0927733999999</v>
      </c>
      <c r="H281">
        <v>1338.5118408000001</v>
      </c>
      <c r="I281">
        <v>1321.6903076000001</v>
      </c>
      <c r="J281">
        <v>1317.5367432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34.595773000000001</v>
      </c>
      <c r="B282" s="1">
        <f>DATE(2010,6,4) + TIME(14,17,54)</f>
        <v>40333.595763888887</v>
      </c>
      <c r="C282">
        <v>80</v>
      </c>
      <c r="D282">
        <v>79.947662354000002</v>
      </c>
      <c r="E282">
        <v>50</v>
      </c>
      <c r="F282">
        <v>14.999254227</v>
      </c>
      <c r="G282">
        <v>1341.0882568</v>
      </c>
      <c r="H282">
        <v>1338.5075684000001</v>
      </c>
      <c r="I282">
        <v>1321.6910399999999</v>
      </c>
      <c r="J282">
        <v>1317.5371094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34.803649999999998</v>
      </c>
      <c r="B283" s="1">
        <f>DATE(2010,6,4) + TIME(19,17,15)</f>
        <v>40333.80364583333</v>
      </c>
      <c r="C283">
        <v>80</v>
      </c>
      <c r="D283">
        <v>79.947677612000007</v>
      </c>
      <c r="E283">
        <v>50</v>
      </c>
      <c r="F283">
        <v>14.999257088</v>
      </c>
      <c r="G283">
        <v>1341.0838623</v>
      </c>
      <c r="H283">
        <v>1338.5032959</v>
      </c>
      <c r="I283">
        <v>1321.6917725000001</v>
      </c>
      <c r="J283">
        <v>1317.5374756000001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35.011527000000001</v>
      </c>
      <c r="B284" s="1">
        <f>DATE(2010,6,5) + TIME(0,16,35)</f>
        <v>40334.011516203704</v>
      </c>
      <c r="C284">
        <v>80</v>
      </c>
      <c r="D284">
        <v>79.947700499999996</v>
      </c>
      <c r="E284">
        <v>50</v>
      </c>
      <c r="F284">
        <v>14.999260902</v>
      </c>
      <c r="G284">
        <v>1341.0793457</v>
      </c>
      <c r="H284">
        <v>1338.4990233999999</v>
      </c>
      <c r="I284">
        <v>1321.6926269999999</v>
      </c>
      <c r="J284">
        <v>1317.5378418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35.219403999999997</v>
      </c>
      <c r="B285" s="1">
        <f>DATE(2010,6,5) + TIME(5,15,56)</f>
        <v>40334.219398148147</v>
      </c>
      <c r="C285">
        <v>80</v>
      </c>
      <c r="D285">
        <v>79.947715759000005</v>
      </c>
      <c r="E285">
        <v>50</v>
      </c>
      <c r="F285">
        <v>14.999263763</v>
      </c>
      <c r="G285">
        <v>1341.0749512</v>
      </c>
      <c r="H285">
        <v>1338.4948730000001</v>
      </c>
      <c r="I285">
        <v>1321.6933594</v>
      </c>
      <c r="J285">
        <v>1317.5382079999999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35.635157</v>
      </c>
      <c r="B286" s="1">
        <f>DATE(2010,6,5) + TIME(15,14,37)</f>
        <v>40334.635150462964</v>
      </c>
      <c r="C286">
        <v>80</v>
      </c>
      <c r="D286">
        <v>79.947753906000003</v>
      </c>
      <c r="E286">
        <v>50</v>
      </c>
      <c r="F286">
        <v>14.999269484999999</v>
      </c>
      <c r="G286">
        <v>1341.0701904</v>
      </c>
      <c r="H286">
        <v>1338.4904785000001</v>
      </c>
      <c r="I286">
        <v>1321.6943358999999</v>
      </c>
      <c r="J286">
        <v>1317.5386963000001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36.051234000000001</v>
      </c>
      <c r="B287" s="1">
        <f>DATE(2010,6,6) + TIME(1,13,46)</f>
        <v>40335.051226851851</v>
      </c>
      <c r="C287">
        <v>80</v>
      </c>
      <c r="D287">
        <v>79.947784424000005</v>
      </c>
      <c r="E287">
        <v>50</v>
      </c>
      <c r="F287">
        <v>14.999274253999999</v>
      </c>
      <c r="G287">
        <v>1341.0617675999999</v>
      </c>
      <c r="H287">
        <v>1338.4825439000001</v>
      </c>
      <c r="I287">
        <v>1321.6956786999999</v>
      </c>
      <c r="J287">
        <v>1317.5394286999999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36.470678999999997</v>
      </c>
      <c r="B288" s="1">
        <f>DATE(2010,6,6) + TIME(11,17,46)</f>
        <v>40335.470671296294</v>
      </c>
      <c r="C288">
        <v>80</v>
      </c>
      <c r="D288">
        <v>79.947814941000004</v>
      </c>
      <c r="E288">
        <v>50</v>
      </c>
      <c r="F288">
        <v>14.999279976</v>
      </c>
      <c r="G288">
        <v>1341.0531006000001</v>
      </c>
      <c r="H288">
        <v>1338.4744873</v>
      </c>
      <c r="I288">
        <v>1321.6972656</v>
      </c>
      <c r="J288">
        <v>1317.5401611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36.894291000000003</v>
      </c>
      <c r="B289" s="1">
        <f>DATE(2010,6,6) + TIME(21,27,46)</f>
        <v>40335.894282407404</v>
      </c>
      <c r="C289">
        <v>80</v>
      </c>
      <c r="D289">
        <v>79.947845459000007</v>
      </c>
      <c r="E289">
        <v>50</v>
      </c>
      <c r="F289">
        <v>14.999286652</v>
      </c>
      <c r="G289">
        <v>1341.0445557</v>
      </c>
      <c r="H289">
        <v>1338.4664307</v>
      </c>
      <c r="I289">
        <v>1321.6987305</v>
      </c>
      <c r="J289">
        <v>1317.5410156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37.322879</v>
      </c>
      <c r="B290" s="1">
        <f>DATE(2010,6,7) + TIME(7,44,56)</f>
        <v>40336.322870370372</v>
      </c>
      <c r="C290">
        <v>80</v>
      </c>
      <c r="D290">
        <v>79.947883606000005</v>
      </c>
      <c r="E290">
        <v>50</v>
      </c>
      <c r="F290">
        <v>14.999292373999999</v>
      </c>
      <c r="G290">
        <v>1341.0358887</v>
      </c>
      <c r="H290">
        <v>1338.458374</v>
      </c>
      <c r="I290">
        <v>1321.7003173999999</v>
      </c>
      <c r="J290">
        <v>1317.5417480000001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37.757272</v>
      </c>
      <c r="B291" s="1">
        <f>DATE(2010,6,7) + TIME(18,10,28)</f>
        <v>40336.757268518515</v>
      </c>
      <c r="C291">
        <v>80</v>
      </c>
      <c r="D291">
        <v>79.947914123999993</v>
      </c>
      <c r="E291">
        <v>50</v>
      </c>
      <c r="F291">
        <v>14.999299048999999</v>
      </c>
      <c r="G291">
        <v>1341.0273437999999</v>
      </c>
      <c r="H291">
        <v>1338.4501952999999</v>
      </c>
      <c r="I291">
        <v>1321.7020264</v>
      </c>
      <c r="J291">
        <v>1317.5426024999999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38.198354999999999</v>
      </c>
      <c r="B292" s="1">
        <f>DATE(2010,6,8) + TIME(4,45,37)</f>
        <v>40337.198344907411</v>
      </c>
      <c r="C292">
        <v>80</v>
      </c>
      <c r="D292">
        <v>79.947952271000005</v>
      </c>
      <c r="E292">
        <v>50</v>
      </c>
      <c r="F292">
        <v>14.999304771</v>
      </c>
      <c r="G292">
        <v>1341.0186768000001</v>
      </c>
      <c r="H292">
        <v>1338.4421387</v>
      </c>
      <c r="I292">
        <v>1321.7036132999999</v>
      </c>
      <c r="J292">
        <v>1317.5433350000001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38.647232000000002</v>
      </c>
      <c r="B293" s="1">
        <f>DATE(2010,6,8) + TIME(15,32,0)</f>
        <v>40337.647222222222</v>
      </c>
      <c r="C293">
        <v>80</v>
      </c>
      <c r="D293">
        <v>79.947982788000004</v>
      </c>
      <c r="E293">
        <v>50</v>
      </c>
      <c r="F293">
        <v>14.999311447</v>
      </c>
      <c r="G293">
        <v>1341.0100098</v>
      </c>
      <c r="H293">
        <v>1338.434082</v>
      </c>
      <c r="I293">
        <v>1321.7053223</v>
      </c>
      <c r="J293">
        <v>1317.5441894999999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39.104804000000001</v>
      </c>
      <c r="B294" s="1">
        <f>DATE(2010,6,9) + TIME(2,30,55)</f>
        <v>40338.104803240742</v>
      </c>
      <c r="C294">
        <v>80</v>
      </c>
      <c r="D294">
        <v>79.948020935000002</v>
      </c>
      <c r="E294">
        <v>50</v>
      </c>
      <c r="F294">
        <v>14.999317168999999</v>
      </c>
      <c r="G294">
        <v>1341.0012207</v>
      </c>
      <c r="H294">
        <v>1338.4259033000001</v>
      </c>
      <c r="I294">
        <v>1321.7070312000001</v>
      </c>
      <c r="J294">
        <v>1317.5450439000001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39.338473</v>
      </c>
      <c r="B295" s="1">
        <f>DATE(2010,6,9) + TIME(8,7,24)</f>
        <v>40338.338472222225</v>
      </c>
      <c r="C295">
        <v>80</v>
      </c>
      <c r="D295">
        <v>79.948028563999998</v>
      </c>
      <c r="E295">
        <v>50</v>
      </c>
      <c r="F295">
        <v>14.999321938</v>
      </c>
      <c r="G295">
        <v>1340.9930420000001</v>
      </c>
      <c r="H295">
        <v>1338.4180908000001</v>
      </c>
      <c r="I295">
        <v>1321.708374</v>
      </c>
      <c r="J295">
        <v>1317.5457764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39.571846000000001</v>
      </c>
      <c r="B296" s="1">
        <f>DATE(2010,6,9) + TIME(13,43,27)</f>
        <v>40338.571840277778</v>
      </c>
      <c r="C296">
        <v>80</v>
      </c>
      <c r="D296">
        <v>79.948043823000006</v>
      </c>
      <c r="E296">
        <v>50</v>
      </c>
      <c r="F296">
        <v>14.999325752000001</v>
      </c>
      <c r="G296">
        <v>1340.9881591999999</v>
      </c>
      <c r="H296">
        <v>1338.4135742000001</v>
      </c>
      <c r="I296">
        <v>1321.7094727000001</v>
      </c>
      <c r="J296">
        <v>1317.5463867000001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39.805098000000001</v>
      </c>
      <c r="B297" s="1">
        <f>DATE(2010,6,9) + TIME(19,19,20)</f>
        <v>40338.805092592593</v>
      </c>
      <c r="C297">
        <v>80</v>
      </c>
      <c r="D297">
        <v>79.948066710999996</v>
      </c>
      <c r="E297">
        <v>50</v>
      </c>
      <c r="F297">
        <v>14.999329567</v>
      </c>
      <c r="G297">
        <v>1340.9835204999999</v>
      </c>
      <c r="H297">
        <v>1338.4094238</v>
      </c>
      <c r="I297">
        <v>1321.7104492000001</v>
      </c>
      <c r="J297">
        <v>1317.5467529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40.038330999999999</v>
      </c>
      <c r="B298" s="1">
        <f>DATE(2010,6,10) + TIME(0,55,11)</f>
        <v>40339.038321759261</v>
      </c>
      <c r="C298">
        <v>80</v>
      </c>
      <c r="D298">
        <v>79.948081970000004</v>
      </c>
      <c r="E298">
        <v>50</v>
      </c>
      <c r="F298">
        <v>14.999333382</v>
      </c>
      <c r="G298">
        <v>1340.979126</v>
      </c>
      <c r="H298">
        <v>1338.4052733999999</v>
      </c>
      <c r="I298">
        <v>1321.7114257999999</v>
      </c>
      <c r="J298">
        <v>1317.5472411999999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40.271563999999998</v>
      </c>
      <c r="B299" s="1">
        <f>DATE(2010,6,10) + TIME(6,31,3)</f>
        <v>40339.271562499998</v>
      </c>
      <c r="C299">
        <v>80</v>
      </c>
      <c r="D299">
        <v>79.948097228999998</v>
      </c>
      <c r="E299">
        <v>50</v>
      </c>
      <c r="F299">
        <v>14.999336243</v>
      </c>
      <c r="G299">
        <v>1340.9747314000001</v>
      </c>
      <c r="H299">
        <v>1338.4011230000001</v>
      </c>
      <c r="I299">
        <v>1321.7122803</v>
      </c>
      <c r="J299">
        <v>1317.5477295000001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40.504795999999999</v>
      </c>
      <c r="B300" s="1">
        <f>DATE(2010,6,10) + TIME(12,6,54)</f>
        <v>40339.504791666666</v>
      </c>
      <c r="C300">
        <v>80</v>
      </c>
      <c r="D300">
        <v>79.948120117000002</v>
      </c>
      <c r="E300">
        <v>50</v>
      </c>
      <c r="F300">
        <v>14.999340057</v>
      </c>
      <c r="G300">
        <v>1340.9703368999999</v>
      </c>
      <c r="H300">
        <v>1338.3970947</v>
      </c>
      <c r="I300">
        <v>1321.7131348</v>
      </c>
      <c r="J300">
        <v>1317.5480957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40.738028999999997</v>
      </c>
      <c r="B301" s="1">
        <f>DATE(2010,6,10) + TIME(17,42,45)</f>
        <v>40339.738020833334</v>
      </c>
      <c r="C301">
        <v>80</v>
      </c>
      <c r="D301">
        <v>79.948135375999996</v>
      </c>
      <c r="E301">
        <v>50</v>
      </c>
      <c r="F301">
        <v>14.999343872000001</v>
      </c>
      <c r="G301">
        <v>1340.9659423999999</v>
      </c>
      <c r="H301">
        <v>1338.3930664</v>
      </c>
      <c r="I301">
        <v>1321.7141113</v>
      </c>
      <c r="J301">
        <v>1317.5485839999999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40.971262000000003</v>
      </c>
      <c r="B302" s="1">
        <f>DATE(2010,6,10) + TIME(23,18,37)</f>
        <v>40339.971261574072</v>
      </c>
      <c r="C302">
        <v>80</v>
      </c>
      <c r="D302">
        <v>79.948150635000005</v>
      </c>
      <c r="E302">
        <v>50</v>
      </c>
      <c r="F302">
        <v>14.999346732999999</v>
      </c>
      <c r="G302">
        <v>1340.9616699000001</v>
      </c>
      <c r="H302">
        <v>1338.3890381000001</v>
      </c>
      <c r="I302">
        <v>1321.7149658000001</v>
      </c>
      <c r="J302">
        <v>1317.5490723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41.204495000000001</v>
      </c>
      <c r="B303" s="1">
        <f>DATE(2010,6,11) + TIME(4,54,28)</f>
        <v>40340.20449074074</v>
      </c>
      <c r="C303">
        <v>80</v>
      </c>
      <c r="D303">
        <v>79.948165893999999</v>
      </c>
      <c r="E303">
        <v>50</v>
      </c>
      <c r="F303">
        <v>14.999349594</v>
      </c>
      <c r="G303">
        <v>1340.9573975000001</v>
      </c>
      <c r="H303">
        <v>1338.3851318</v>
      </c>
      <c r="I303">
        <v>1321.7158202999999</v>
      </c>
      <c r="J303">
        <v>1317.5494385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41.670960999999998</v>
      </c>
      <c r="B304" s="1">
        <f>DATE(2010,6,11) + TIME(16,6,11)</f>
        <v>40340.670960648145</v>
      </c>
      <c r="C304">
        <v>80</v>
      </c>
      <c r="D304">
        <v>79.948211670000006</v>
      </c>
      <c r="E304">
        <v>50</v>
      </c>
      <c r="F304">
        <v>14.999355316000001</v>
      </c>
      <c r="G304">
        <v>1340.9527588000001</v>
      </c>
      <c r="H304">
        <v>1338.3809814000001</v>
      </c>
      <c r="I304">
        <v>1321.7169189000001</v>
      </c>
      <c r="J304">
        <v>1317.5500488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42.138128999999999</v>
      </c>
      <c r="B305" s="1">
        <f>DATE(2010,6,12) + TIME(3,18,54)</f>
        <v>40341.138124999998</v>
      </c>
      <c r="C305">
        <v>80</v>
      </c>
      <c r="D305">
        <v>79.948242187999995</v>
      </c>
      <c r="E305">
        <v>50</v>
      </c>
      <c r="F305">
        <v>14.999361038</v>
      </c>
      <c r="G305">
        <v>1340.9445800999999</v>
      </c>
      <c r="H305">
        <v>1338.3734131000001</v>
      </c>
      <c r="I305">
        <v>1321.7186279</v>
      </c>
      <c r="J305">
        <v>1317.5509033000001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42.609133</v>
      </c>
      <c r="B306" s="1">
        <f>DATE(2010,6,12) + TIME(14,37,9)</f>
        <v>40341.609131944446</v>
      </c>
      <c r="C306">
        <v>80</v>
      </c>
      <c r="D306">
        <v>79.948280334000003</v>
      </c>
      <c r="E306">
        <v>50</v>
      </c>
      <c r="F306">
        <v>14.999366759999999</v>
      </c>
      <c r="G306">
        <v>1340.9362793</v>
      </c>
      <c r="H306">
        <v>1338.3657227000001</v>
      </c>
      <c r="I306">
        <v>1321.7204589999999</v>
      </c>
      <c r="J306">
        <v>1317.5517577999999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43.084885</v>
      </c>
      <c r="B307" s="1">
        <f>DATE(2010,6,13) + TIME(2,2,14)</f>
        <v>40342.08488425926</v>
      </c>
      <c r="C307">
        <v>80</v>
      </c>
      <c r="D307">
        <v>79.948310852000006</v>
      </c>
      <c r="E307">
        <v>50</v>
      </c>
      <c r="F307">
        <v>14.999372482</v>
      </c>
      <c r="G307">
        <v>1340.9279785000001</v>
      </c>
      <c r="H307">
        <v>1338.3580322</v>
      </c>
      <c r="I307">
        <v>1321.7222899999999</v>
      </c>
      <c r="J307">
        <v>1317.5527344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43.566302</v>
      </c>
      <c r="B308" s="1">
        <f>DATE(2010,6,13) + TIME(13,35,28)</f>
        <v>40342.566296296296</v>
      </c>
      <c r="C308">
        <v>80</v>
      </c>
      <c r="D308">
        <v>79.948348999000004</v>
      </c>
      <c r="E308">
        <v>50</v>
      </c>
      <c r="F308">
        <v>14.999379158</v>
      </c>
      <c r="G308">
        <v>1340.9195557</v>
      </c>
      <c r="H308">
        <v>1338.3503418</v>
      </c>
      <c r="I308">
        <v>1321.7241211</v>
      </c>
      <c r="J308">
        <v>1317.5535889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44.054363000000002</v>
      </c>
      <c r="B309" s="1">
        <f>DATE(2010,6,14) + TIME(1,18,16)</f>
        <v>40343.054351851853</v>
      </c>
      <c r="C309">
        <v>80</v>
      </c>
      <c r="D309">
        <v>79.948379517000006</v>
      </c>
      <c r="E309">
        <v>50</v>
      </c>
      <c r="F309">
        <v>14.999385834</v>
      </c>
      <c r="G309">
        <v>1340.9112548999999</v>
      </c>
      <c r="H309">
        <v>1338.3426514</v>
      </c>
      <c r="I309">
        <v>1321.7260742000001</v>
      </c>
      <c r="J309">
        <v>1317.5545654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44.550097000000001</v>
      </c>
      <c r="B310" s="1">
        <f>DATE(2010,6,14) + TIME(13,12,8)</f>
        <v>40343.550092592595</v>
      </c>
      <c r="C310">
        <v>80</v>
      </c>
      <c r="D310">
        <v>79.948417664000004</v>
      </c>
      <c r="E310">
        <v>50</v>
      </c>
      <c r="F310">
        <v>14.999391556000001</v>
      </c>
      <c r="G310">
        <v>1340.902832</v>
      </c>
      <c r="H310">
        <v>1338.3349608999999</v>
      </c>
      <c r="I310">
        <v>1321.7280272999999</v>
      </c>
      <c r="J310">
        <v>1317.5555420000001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45.054740000000002</v>
      </c>
      <c r="B311" s="1">
        <f>DATE(2010,6,15) + TIME(1,18,49)</f>
        <v>40344.0547337963</v>
      </c>
      <c r="C311">
        <v>80</v>
      </c>
      <c r="D311">
        <v>79.948455811000002</v>
      </c>
      <c r="E311">
        <v>50</v>
      </c>
      <c r="F311">
        <v>14.999398232000001</v>
      </c>
      <c r="G311">
        <v>1340.8944091999999</v>
      </c>
      <c r="H311">
        <v>1338.3271483999999</v>
      </c>
      <c r="I311">
        <v>1321.7299805</v>
      </c>
      <c r="J311">
        <v>1317.5565185999999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45.569445999999999</v>
      </c>
      <c r="B312" s="1">
        <f>DATE(2010,6,15) + TIME(13,40,0)</f>
        <v>40344.569444444445</v>
      </c>
      <c r="C312">
        <v>80</v>
      </c>
      <c r="D312">
        <v>79.948493958</v>
      </c>
      <c r="E312">
        <v>50</v>
      </c>
      <c r="F312">
        <v>14.999404907000001</v>
      </c>
      <c r="G312">
        <v>1340.8858643000001</v>
      </c>
      <c r="H312">
        <v>1338.3194579999999</v>
      </c>
      <c r="I312">
        <v>1321.7319336</v>
      </c>
      <c r="J312">
        <v>1317.5576172000001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45.827565999999997</v>
      </c>
      <c r="B313" s="1">
        <f>DATE(2010,6,15) + TIME(19,51,41)</f>
        <v>40344.827557870369</v>
      </c>
      <c r="C313">
        <v>80</v>
      </c>
      <c r="D313">
        <v>79.948501586999996</v>
      </c>
      <c r="E313">
        <v>50</v>
      </c>
      <c r="F313">
        <v>14.999409676000001</v>
      </c>
      <c r="G313">
        <v>1340.8779297000001</v>
      </c>
      <c r="H313">
        <v>1338.3120117000001</v>
      </c>
      <c r="I313">
        <v>1321.7336425999999</v>
      </c>
      <c r="J313">
        <v>1317.5584716999999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46.085686000000003</v>
      </c>
      <c r="B314" s="1">
        <f>DATE(2010,6,16) + TIME(2,3,23)</f>
        <v>40345.085682870369</v>
      </c>
      <c r="C314">
        <v>80</v>
      </c>
      <c r="D314">
        <v>79.948516846000004</v>
      </c>
      <c r="E314">
        <v>50</v>
      </c>
      <c r="F314">
        <v>14.99941349</v>
      </c>
      <c r="G314">
        <v>1340.8731689000001</v>
      </c>
      <c r="H314">
        <v>1338.3077393000001</v>
      </c>
      <c r="I314">
        <v>1321.7349853999999</v>
      </c>
      <c r="J314">
        <v>1317.559082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46.343806000000001</v>
      </c>
      <c r="B315" s="1">
        <f>DATE(2010,6,16) + TIME(8,15,4)</f>
        <v>40345.3437962963</v>
      </c>
      <c r="C315">
        <v>80</v>
      </c>
      <c r="D315">
        <v>79.948539733999993</v>
      </c>
      <c r="E315">
        <v>50</v>
      </c>
      <c r="F315">
        <v>14.999417305</v>
      </c>
      <c r="G315">
        <v>1340.8687743999999</v>
      </c>
      <c r="H315">
        <v>1338.3037108999999</v>
      </c>
      <c r="I315">
        <v>1321.7360839999999</v>
      </c>
      <c r="J315">
        <v>1317.5596923999999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46.601925999999999</v>
      </c>
      <c r="B316" s="1">
        <f>DATE(2010,6,16) + TIME(14,26,46)</f>
        <v>40345.601921296293</v>
      </c>
      <c r="C316">
        <v>80</v>
      </c>
      <c r="D316">
        <v>79.948554993000002</v>
      </c>
      <c r="E316">
        <v>50</v>
      </c>
      <c r="F316">
        <v>14.999421119999999</v>
      </c>
      <c r="G316">
        <v>1340.8645019999999</v>
      </c>
      <c r="H316">
        <v>1338.2998047000001</v>
      </c>
      <c r="I316">
        <v>1321.7371826000001</v>
      </c>
      <c r="J316">
        <v>1317.5601807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46.860045999999997</v>
      </c>
      <c r="B317" s="1">
        <f>DATE(2010,6,16) + TIME(20,38,27)</f>
        <v>40345.860034722224</v>
      </c>
      <c r="C317">
        <v>80</v>
      </c>
      <c r="D317">
        <v>79.948577881000006</v>
      </c>
      <c r="E317">
        <v>50</v>
      </c>
      <c r="F317">
        <v>14.999423981</v>
      </c>
      <c r="G317">
        <v>1340.8602295000001</v>
      </c>
      <c r="H317">
        <v>1338.2958983999999</v>
      </c>
      <c r="I317">
        <v>1321.7381591999999</v>
      </c>
      <c r="J317">
        <v>1317.5606689000001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47.118166000000002</v>
      </c>
      <c r="B318" s="1">
        <f>DATE(2010,6,17) + TIME(2,50,9)</f>
        <v>40346.118159722224</v>
      </c>
      <c r="C318">
        <v>80</v>
      </c>
      <c r="D318">
        <v>79.94859314</v>
      </c>
      <c r="E318">
        <v>50</v>
      </c>
      <c r="F318">
        <v>14.999427795000001</v>
      </c>
      <c r="G318">
        <v>1340.8560791</v>
      </c>
      <c r="H318">
        <v>1338.2921143000001</v>
      </c>
      <c r="I318">
        <v>1321.7392577999999</v>
      </c>
      <c r="J318">
        <v>1317.5611572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47.634405999999998</v>
      </c>
      <c r="B319" s="1">
        <f>DATE(2010,6,17) + TIME(15,13,32)</f>
        <v>40346.634398148148</v>
      </c>
      <c r="C319">
        <v>80</v>
      </c>
      <c r="D319">
        <v>79.948638915999993</v>
      </c>
      <c r="E319">
        <v>50</v>
      </c>
      <c r="F319">
        <v>14.999433517</v>
      </c>
      <c r="G319">
        <v>1340.8515625</v>
      </c>
      <c r="H319">
        <v>1338.2880858999999</v>
      </c>
      <c r="I319">
        <v>1321.7404785000001</v>
      </c>
      <c r="J319">
        <v>1317.5617675999999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48.150739000000002</v>
      </c>
      <c r="B320" s="1">
        <f>DATE(2010,6,18) + TIME(3,37,3)</f>
        <v>40347.150729166664</v>
      </c>
      <c r="C320">
        <v>80</v>
      </c>
      <c r="D320">
        <v>79.948677063000005</v>
      </c>
      <c r="E320">
        <v>50</v>
      </c>
      <c r="F320">
        <v>14.999439239999999</v>
      </c>
      <c r="G320">
        <v>1340.8436279</v>
      </c>
      <c r="H320">
        <v>1338.2807617000001</v>
      </c>
      <c r="I320">
        <v>1321.7424315999999</v>
      </c>
      <c r="J320">
        <v>1317.5628661999999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48.670822999999999</v>
      </c>
      <c r="B321" s="1">
        <f>DATE(2010,6,18) + TIME(16,5,59)</f>
        <v>40347.67082175926</v>
      </c>
      <c r="C321">
        <v>80</v>
      </c>
      <c r="D321">
        <v>79.948707580999994</v>
      </c>
      <c r="E321">
        <v>50</v>
      </c>
      <c r="F321">
        <v>14.999444962</v>
      </c>
      <c r="G321">
        <v>1340.8354492000001</v>
      </c>
      <c r="H321">
        <v>1338.2734375</v>
      </c>
      <c r="I321">
        <v>1321.7445068</v>
      </c>
      <c r="J321">
        <v>1317.5638428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49.195690999999997</v>
      </c>
      <c r="B322" s="1">
        <f>DATE(2010,6,19) + TIME(4,41,47)</f>
        <v>40348.19568287037</v>
      </c>
      <c r="C322">
        <v>80</v>
      </c>
      <c r="D322">
        <v>79.948745728000006</v>
      </c>
      <c r="E322">
        <v>50</v>
      </c>
      <c r="F322">
        <v>14.999451637</v>
      </c>
      <c r="G322">
        <v>1340.8272704999999</v>
      </c>
      <c r="H322">
        <v>1338.2661132999999</v>
      </c>
      <c r="I322">
        <v>1321.7467041</v>
      </c>
      <c r="J322">
        <v>1317.5649414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49.726365999999999</v>
      </c>
      <c r="B323" s="1">
        <f>DATE(2010,6,19) + TIME(17,25,58)</f>
        <v>40348.726365740738</v>
      </c>
      <c r="C323">
        <v>80</v>
      </c>
      <c r="D323">
        <v>79.948783875000004</v>
      </c>
      <c r="E323">
        <v>50</v>
      </c>
      <c r="F323">
        <v>14.999458313</v>
      </c>
      <c r="G323">
        <v>1340.8192139</v>
      </c>
      <c r="H323">
        <v>1338.2586670000001</v>
      </c>
      <c r="I323">
        <v>1321.7489014</v>
      </c>
      <c r="J323">
        <v>1317.5660399999999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50.263911</v>
      </c>
      <c r="B324" s="1">
        <f>DATE(2010,6,20) + TIME(6,20,1)</f>
        <v>40349.26390046296</v>
      </c>
      <c r="C324">
        <v>80</v>
      </c>
      <c r="D324">
        <v>79.948822020999998</v>
      </c>
      <c r="E324">
        <v>50</v>
      </c>
      <c r="F324">
        <v>14.999464989</v>
      </c>
      <c r="G324">
        <v>1340.8110352000001</v>
      </c>
      <c r="H324">
        <v>1338.2513428</v>
      </c>
      <c r="I324">
        <v>1321.7510986</v>
      </c>
      <c r="J324">
        <v>1317.5671387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50.809455</v>
      </c>
      <c r="B325" s="1">
        <f>DATE(2010,6,20) + TIME(19,25,36)</f>
        <v>40349.809444444443</v>
      </c>
      <c r="C325">
        <v>80</v>
      </c>
      <c r="D325">
        <v>79.948860167999996</v>
      </c>
      <c r="E325">
        <v>50</v>
      </c>
      <c r="F325">
        <v>14.999471664</v>
      </c>
      <c r="G325">
        <v>1340.8028564000001</v>
      </c>
      <c r="H325">
        <v>1338.2438964999999</v>
      </c>
      <c r="I325">
        <v>1321.753418</v>
      </c>
      <c r="J325">
        <v>1317.5683594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51.364216999999996</v>
      </c>
      <c r="B326" s="1">
        <f>DATE(2010,6,21) + TIME(8,44,28)</f>
        <v>40350.364212962966</v>
      </c>
      <c r="C326">
        <v>80</v>
      </c>
      <c r="D326">
        <v>79.948890685999999</v>
      </c>
      <c r="E326">
        <v>50</v>
      </c>
      <c r="F326">
        <v>14.99947834</v>
      </c>
      <c r="G326">
        <v>1340.7945557</v>
      </c>
      <c r="H326">
        <v>1338.2365723</v>
      </c>
      <c r="I326">
        <v>1321.7557373</v>
      </c>
      <c r="J326">
        <v>1317.5694579999999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51.928440999999999</v>
      </c>
      <c r="B327" s="1">
        <f>DATE(2010,6,21) + TIME(22,16,57)</f>
        <v>40350.928437499999</v>
      </c>
      <c r="C327">
        <v>80</v>
      </c>
      <c r="D327">
        <v>79.948936462000006</v>
      </c>
      <c r="E327">
        <v>50</v>
      </c>
      <c r="F327">
        <v>14.999485016</v>
      </c>
      <c r="G327">
        <v>1340.7863769999999</v>
      </c>
      <c r="H327">
        <v>1338.229126</v>
      </c>
      <c r="I327">
        <v>1321.7580565999999</v>
      </c>
      <c r="J327">
        <v>1317.5706786999999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52.212789000000001</v>
      </c>
      <c r="B328" s="1">
        <f>DATE(2010,6,22) + TIME(5,6,24)</f>
        <v>40351.212777777779</v>
      </c>
      <c r="C328">
        <v>80</v>
      </c>
      <c r="D328">
        <v>79.948944092000005</v>
      </c>
      <c r="E328">
        <v>50</v>
      </c>
      <c r="F328">
        <v>14.999489784</v>
      </c>
      <c r="G328">
        <v>1340.7785644999999</v>
      </c>
      <c r="H328">
        <v>1338.2220459</v>
      </c>
      <c r="I328">
        <v>1321.7601318</v>
      </c>
      <c r="J328">
        <v>1317.5716553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52.497135999999998</v>
      </c>
      <c r="B329" s="1">
        <f>DATE(2010,6,22) + TIME(11,55,52)</f>
        <v>40351.497129629628</v>
      </c>
      <c r="C329">
        <v>80</v>
      </c>
      <c r="D329">
        <v>79.948966979999994</v>
      </c>
      <c r="E329">
        <v>50</v>
      </c>
      <c r="F329">
        <v>14.999493598999999</v>
      </c>
      <c r="G329">
        <v>1340.7739257999999</v>
      </c>
      <c r="H329">
        <v>1338.2178954999999</v>
      </c>
      <c r="I329">
        <v>1321.7615966999999</v>
      </c>
      <c r="J329">
        <v>1317.5723877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52.781483999999999</v>
      </c>
      <c r="B330" s="1">
        <f>DATE(2010,6,22) + TIME(18,45,20)</f>
        <v>40351.781481481485</v>
      </c>
      <c r="C330">
        <v>80</v>
      </c>
      <c r="D330">
        <v>79.948982239000003</v>
      </c>
      <c r="E330">
        <v>50</v>
      </c>
      <c r="F330">
        <v>14.999498366999999</v>
      </c>
      <c r="G330">
        <v>1340.7696533000001</v>
      </c>
      <c r="H330">
        <v>1338.2139893000001</v>
      </c>
      <c r="I330">
        <v>1321.7629394999999</v>
      </c>
      <c r="J330">
        <v>1317.5731201000001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53.065831000000003</v>
      </c>
      <c r="B331" s="1">
        <f>DATE(2010,6,23) + TIME(1,34,47)</f>
        <v>40352.065821759257</v>
      </c>
      <c r="C331">
        <v>80</v>
      </c>
      <c r="D331">
        <v>79.949005127000007</v>
      </c>
      <c r="E331">
        <v>50</v>
      </c>
      <c r="F331">
        <v>14.999502182000001</v>
      </c>
      <c r="G331">
        <v>1340.7655029</v>
      </c>
      <c r="H331">
        <v>1338.2103271000001</v>
      </c>
      <c r="I331">
        <v>1321.7641602000001</v>
      </c>
      <c r="J331">
        <v>1317.5737305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53.350178999999997</v>
      </c>
      <c r="B332" s="1">
        <f>DATE(2010,6,23) + TIME(8,24,15)</f>
        <v>40352.350173611114</v>
      </c>
      <c r="C332">
        <v>80</v>
      </c>
      <c r="D332">
        <v>79.949020386000001</v>
      </c>
      <c r="E332">
        <v>50</v>
      </c>
      <c r="F332">
        <v>14.999505997</v>
      </c>
      <c r="G332">
        <v>1340.7613524999999</v>
      </c>
      <c r="H332">
        <v>1338.206543</v>
      </c>
      <c r="I332">
        <v>1321.7653809000001</v>
      </c>
      <c r="J332">
        <v>1317.5743408000001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53.634526999999999</v>
      </c>
      <c r="B333" s="1">
        <f>DATE(2010,6,23) + TIME(15,13,43)</f>
        <v>40352.634525462963</v>
      </c>
      <c r="C333">
        <v>80</v>
      </c>
      <c r="D333">
        <v>79.949043274000005</v>
      </c>
      <c r="E333">
        <v>50</v>
      </c>
      <c r="F333">
        <v>14.999509810999999</v>
      </c>
      <c r="G333">
        <v>1340.7572021000001</v>
      </c>
      <c r="H333">
        <v>1338.2028809000001</v>
      </c>
      <c r="I333">
        <v>1321.7666016000001</v>
      </c>
      <c r="J333">
        <v>1317.5749512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53.918874000000002</v>
      </c>
      <c r="B334" s="1">
        <f>DATE(2010,6,23) + TIME(22,3,10)</f>
        <v>40352.918865740743</v>
      </c>
      <c r="C334">
        <v>80</v>
      </c>
      <c r="D334">
        <v>79.949058532999999</v>
      </c>
      <c r="E334">
        <v>50</v>
      </c>
      <c r="F334">
        <v>14.999513626000001</v>
      </c>
      <c r="G334">
        <v>1340.7531738</v>
      </c>
      <c r="H334">
        <v>1338.1992187999999</v>
      </c>
      <c r="I334">
        <v>1321.7678223</v>
      </c>
      <c r="J334">
        <v>1317.5755615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54.203221999999997</v>
      </c>
      <c r="B335" s="1">
        <f>DATE(2010,6,24) + TIME(4,52,38)</f>
        <v>40353.203217592592</v>
      </c>
      <c r="C335">
        <v>80</v>
      </c>
      <c r="D335">
        <v>79.949081421000002</v>
      </c>
      <c r="E335">
        <v>50</v>
      </c>
      <c r="F335">
        <v>14.999517441</v>
      </c>
      <c r="G335">
        <v>1340.7491454999999</v>
      </c>
      <c r="H335">
        <v>1338.1955565999999</v>
      </c>
      <c r="I335">
        <v>1321.769043</v>
      </c>
      <c r="J335">
        <v>1317.5761719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54.771917000000002</v>
      </c>
      <c r="B336" s="1">
        <f>DATE(2010,6,24) + TIME(18,31,33)</f>
        <v>40353.771909722222</v>
      </c>
      <c r="C336">
        <v>80</v>
      </c>
      <c r="D336">
        <v>79.949127196999996</v>
      </c>
      <c r="E336">
        <v>50</v>
      </c>
      <c r="F336">
        <v>14.999522209</v>
      </c>
      <c r="G336">
        <v>1340.744751</v>
      </c>
      <c r="H336">
        <v>1338.1916504000001</v>
      </c>
      <c r="I336">
        <v>1321.7705077999999</v>
      </c>
      <c r="J336">
        <v>1317.5769043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55.341920999999999</v>
      </c>
      <c r="B337" s="1">
        <f>DATE(2010,6,25) + TIME(8,12,21)</f>
        <v>40354.341909722221</v>
      </c>
      <c r="C337">
        <v>80</v>
      </c>
      <c r="D337">
        <v>79.949165343999994</v>
      </c>
      <c r="E337">
        <v>50</v>
      </c>
      <c r="F337">
        <v>14.999528885</v>
      </c>
      <c r="G337">
        <v>1340.7370605000001</v>
      </c>
      <c r="H337">
        <v>1338.1846923999999</v>
      </c>
      <c r="I337">
        <v>1321.7728271000001</v>
      </c>
      <c r="J337">
        <v>1317.5780029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55.917282</v>
      </c>
      <c r="B338" s="1">
        <f>DATE(2010,6,25) + TIME(22,0,53)</f>
        <v>40354.917280092595</v>
      </c>
      <c r="C338">
        <v>80</v>
      </c>
      <c r="D338">
        <v>79.949203491000006</v>
      </c>
      <c r="E338">
        <v>50</v>
      </c>
      <c r="F338">
        <v>14.999535561</v>
      </c>
      <c r="G338">
        <v>1340.729126</v>
      </c>
      <c r="H338">
        <v>1338.1777344</v>
      </c>
      <c r="I338">
        <v>1321.7753906</v>
      </c>
      <c r="J338">
        <v>1317.5793457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56.499178999999998</v>
      </c>
      <c r="B339" s="1">
        <f>DATE(2010,6,26) + TIME(11,58,49)</f>
        <v>40355.499178240738</v>
      </c>
      <c r="C339">
        <v>80</v>
      </c>
      <c r="D339">
        <v>79.949241638000004</v>
      </c>
      <c r="E339">
        <v>50</v>
      </c>
      <c r="F339">
        <v>14.999543190000001</v>
      </c>
      <c r="G339">
        <v>1340.7211914</v>
      </c>
      <c r="H339">
        <v>1338.1706543</v>
      </c>
      <c r="I339">
        <v>1321.7779541</v>
      </c>
      <c r="J339">
        <v>1317.5805664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57.088802999999999</v>
      </c>
      <c r="B340" s="1">
        <f>DATE(2010,6,27) + TIME(2,7,52)</f>
        <v>40356.088796296295</v>
      </c>
      <c r="C340">
        <v>80</v>
      </c>
      <c r="D340">
        <v>79.949279785000002</v>
      </c>
      <c r="E340">
        <v>50</v>
      </c>
      <c r="F340">
        <v>14.999549866000001</v>
      </c>
      <c r="G340">
        <v>1340.7132568</v>
      </c>
      <c r="H340">
        <v>1338.1635742000001</v>
      </c>
      <c r="I340">
        <v>1321.7806396000001</v>
      </c>
      <c r="J340">
        <v>1317.5819091999999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57.687404000000001</v>
      </c>
      <c r="B341" s="1">
        <f>DATE(2010,6,27) + TIME(16,29,51)</f>
        <v>40356.687395833331</v>
      </c>
      <c r="C341">
        <v>80</v>
      </c>
      <c r="D341">
        <v>79.949325561999999</v>
      </c>
      <c r="E341">
        <v>50</v>
      </c>
      <c r="F341">
        <v>14.999557494999999</v>
      </c>
      <c r="G341">
        <v>1340.7053223</v>
      </c>
      <c r="H341">
        <v>1338.1563721</v>
      </c>
      <c r="I341">
        <v>1321.7833252</v>
      </c>
      <c r="J341">
        <v>1317.5832519999999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58.296317000000002</v>
      </c>
      <c r="B342" s="1">
        <f>DATE(2010,6,28) + TIME(7,6,41)</f>
        <v>40357.296307870369</v>
      </c>
      <c r="C342">
        <v>80</v>
      </c>
      <c r="D342">
        <v>79.949363708000007</v>
      </c>
      <c r="E342">
        <v>50</v>
      </c>
      <c r="F342">
        <v>14.999566078000001</v>
      </c>
      <c r="G342">
        <v>1340.6972656</v>
      </c>
      <c r="H342">
        <v>1338.1492920000001</v>
      </c>
      <c r="I342">
        <v>1321.7860106999999</v>
      </c>
      <c r="J342">
        <v>1317.5845947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58.915303999999999</v>
      </c>
      <c r="B343" s="1">
        <f>DATE(2010,6,28) + TIME(21,58,2)</f>
        <v>40357.915300925924</v>
      </c>
      <c r="C343">
        <v>80</v>
      </c>
      <c r="D343">
        <v>79.949401855000005</v>
      </c>
      <c r="E343">
        <v>50</v>
      </c>
      <c r="F343">
        <v>14.999573708</v>
      </c>
      <c r="G343">
        <v>1340.6890868999999</v>
      </c>
      <c r="H343">
        <v>1338.1420897999999</v>
      </c>
      <c r="I343">
        <v>1321.7888184000001</v>
      </c>
      <c r="J343">
        <v>1317.5860596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59.227060999999999</v>
      </c>
      <c r="B344" s="1">
        <f>DATE(2010,6,29) + TIME(5,26,58)</f>
        <v>40358.227060185185</v>
      </c>
      <c r="C344">
        <v>80</v>
      </c>
      <c r="D344">
        <v>79.949417113999999</v>
      </c>
      <c r="E344">
        <v>50</v>
      </c>
      <c r="F344">
        <v>14.999580383</v>
      </c>
      <c r="G344">
        <v>1340.6815185999999</v>
      </c>
      <c r="H344">
        <v>1338.1352539</v>
      </c>
      <c r="I344">
        <v>1321.7912598</v>
      </c>
      <c r="J344">
        <v>1317.5872803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59.538818999999997</v>
      </c>
      <c r="B345" s="1">
        <f>DATE(2010,6,29) + TIME(12,55,53)</f>
        <v>40358.538807870369</v>
      </c>
      <c r="C345">
        <v>80</v>
      </c>
      <c r="D345">
        <v>79.949432372999993</v>
      </c>
      <c r="E345">
        <v>50</v>
      </c>
      <c r="F345">
        <v>14.999585152</v>
      </c>
      <c r="G345">
        <v>1340.6770019999999</v>
      </c>
      <c r="H345">
        <v>1338.1312256000001</v>
      </c>
      <c r="I345">
        <v>1321.7929687999999</v>
      </c>
      <c r="J345">
        <v>1317.5881348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59.850575999999997</v>
      </c>
      <c r="B346" s="1">
        <f>DATE(2010,6,29) + TIME(20,24,49)</f>
        <v>40358.85056712963</v>
      </c>
      <c r="C346">
        <v>80</v>
      </c>
      <c r="D346">
        <v>79.949455260999997</v>
      </c>
      <c r="E346">
        <v>50</v>
      </c>
      <c r="F346">
        <v>14.999590874000001</v>
      </c>
      <c r="G346">
        <v>1340.6728516000001</v>
      </c>
      <c r="H346">
        <v>1338.1275635</v>
      </c>
      <c r="I346">
        <v>1321.7945557</v>
      </c>
      <c r="J346">
        <v>1317.5889893000001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60.162332999999997</v>
      </c>
      <c r="B347" s="1">
        <f>DATE(2010,6,30) + TIME(3,53,45)</f>
        <v>40359.162326388891</v>
      </c>
      <c r="C347">
        <v>80</v>
      </c>
      <c r="D347">
        <v>79.949478149000001</v>
      </c>
      <c r="E347">
        <v>50</v>
      </c>
      <c r="F347">
        <v>14.999595641999999</v>
      </c>
      <c r="G347">
        <v>1340.6688231999999</v>
      </c>
      <c r="H347">
        <v>1338.1239014</v>
      </c>
      <c r="I347">
        <v>1321.7960204999999</v>
      </c>
      <c r="J347">
        <v>1317.5897216999999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60.474091000000001</v>
      </c>
      <c r="B348" s="1">
        <f>DATE(2010,6,30) + TIME(11,22,41)</f>
        <v>40359.474085648151</v>
      </c>
      <c r="C348">
        <v>80</v>
      </c>
      <c r="D348">
        <v>79.949501037999994</v>
      </c>
      <c r="E348">
        <v>50</v>
      </c>
      <c r="F348">
        <v>14.999601364</v>
      </c>
      <c r="G348">
        <v>1340.6646728999999</v>
      </c>
      <c r="H348">
        <v>1338.1203613</v>
      </c>
      <c r="I348">
        <v>1321.7974853999999</v>
      </c>
      <c r="J348">
        <v>1317.5904541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61</v>
      </c>
      <c r="B349" s="1">
        <f>DATE(2010,7,1) + TIME(0,0,0)</f>
        <v>40360</v>
      </c>
      <c r="C349">
        <v>80</v>
      </c>
      <c r="D349">
        <v>79.949539185000006</v>
      </c>
      <c r="E349">
        <v>50</v>
      </c>
      <c r="F349">
        <v>14.999608994000001</v>
      </c>
      <c r="G349">
        <v>1340.6604004000001</v>
      </c>
      <c r="H349">
        <v>1338.1165771000001</v>
      </c>
      <c r="I349">
        <v>1321.7990723</v>
      </c>
      <c r="J349">
        <v>1317.5911865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61.623514999999998</v>
      </c>
      <c r="B350" s="1">
        <f>DATE(2010,7,1) + TIME(14,57,51)</f>
        <v>40360.623506944445</v>
      </c>
      <c r="C350">
        <v>80</v>
      </c>
      <c r="D350">
        <v>79.949584960999999</v>
      </c>
      <c r="E350">
        <v>50</v>
      </c>
      <c r="F350">
        <v>14.999617577</v>
      </c>
      <c r="G350">
        <v>1340.6538086</v>
      </c>
      <c r="H350">
        <v>1338.1107178</v>
      </c>
      <c r="I350">
        <v>1321.8015137</v>
      </c>
      <c r="J350">
        <v>1317.5924072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62.248874999999998</v>
      </c>
      <c r="B351" s="1">
        <f>DATE(2010,7,2) + TIME(5,58,22)</f>
        <v>40361.248865740738</v>
      </c>
      <c r="C351">
        <v>80</v>
      </c>
      <c r="D351">
        <v>79.949623107999997</v>
      </c>
      <c r="E351">
        <v>50</v>
      </c>
      <c r="F351">
        <v>14.999627113000001</v>
      </c>
      <c r="G351">
        <v>1340.6461182</v>
      </c>
      <c r="H351">
        <v>1338.1038818</v>
      </c>
      <c r="I351">
        <v>1321.8044434000001</v>
      </c>
      <c r="J351">
        <v>1317.5938721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62.879609000000002</v>
      </c>
      <c r="B352" s="1">
        <f>DATE(2010,7,2) + TIME(21,6,38)</f>
        <v>40361.879606481481</v>
      </c>
      <c r="C352">
        <v>80</v>
      </c>
      <c r="D352">
        <v>79.949661254999995</v>
      </c>
      <c r="E352">
        <v>50</v>
      </c>
      <c r="F352">
        <v>14.999638557000001</v>
      </c>
      <c r="G352">
        <v>1340.6383057</v>
      </c>
      <c r="H352">
        <v>1338.0969238</v>
      </c>
      <c r="I352">
        <v>1321.8074951000001</v>
      </c>
      <c r="J352">
        <v>1317.5953368999999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63.517048000000003</v>
      </c>
      <c r="B353" s="1">
        <f>DATE(2010,7,3) + TIME(12,24,32)</f>
        <v>40362.51703703704</v>
      </c>
      <c r="C353">
        <v>80</v>
      </c>
      <c r="D353">
        <v>79.949707031000003</v>
      </c>
      <c r="E353">
        <v>50</v>
      </c>
      <c r="F353">
        <v>14.999651909000001</v>
      </c>
      <c r="G353">
        <v>1340.6304932</v>
      </c>
      <c r="H353">
        <v>1338.0900879000001</v>
      </c>
      <c r="I353">
        <v>1321.8105469</v>
      </c>
      <c r="J353">
        <v>1317.5969238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64.162554999999998</v>
      </c>
      <c r="B354" s="1">
        <f>DATE(2010,7,4) + TIME(3,54,4)</f>
        <v>40363.162546296298</v>
      </c>
      <c r="C354">
        <v>80</v>
      </c>
      <c r="D354">
        <v>79.949745178000001</v>
      </c>
      <c r="E354">
        <v>50</v>
      </c>
      <c r="F354">
        <v>14.99966526</v>
      </c>
      <c r="G354">
        <v>1340.6225586</v>
      </c>
      <c r="H354">
        <v>1338.0831298999999</v>
      </c>
      <c r="I354">
        <v>1321.8135986</v>
      </c>
      <c r="J354">
        <v>1317.5985106999999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64.817560999999998</v>
      </c>
      <c r="B355" s="1">
        <f>DATE(2010,7,4) + TIME(19,37,17)</f>
        <v>40363.817557870374</v>
      </c>
      <c r="C355">
        <v>80</v>
      </c>
      <c r="D355">
        <v>79.949790954999997</v>
      </c>
      <c r="E355">
        <v>50</v>
      </c>
      <c r="F355">
        <v>14.999681473000001</v>
      </c>
      <c r="G355">
        <v>1340.6147461</v>
      </c>
      <c r="H355">
        <v>1338.0762939000001</v>
      </c>
      <c r="I355">
        <v>1321.8168945</v>
      </c>
      <c r="J355">
        <v>1317.6000977000001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65.480994999999993</v>
      </c>
      <c r="B356" s="1">
        <f>DATE(2010,7,5) + TIME(11,32,37)</f>
        <v>40364.480983796297</v>
      </c>
      <c r="C356">
        <v>80</v>
      </c>
      <c r="D356">
        <v>79.949829101999995</v>
      </c>
      <c r="E356">
        <v>50</v>
      </c>
      <c r="F356">
        <v>14.999698639</v>
      </c>
      <c r="G356">
        <v>1340.6068115</v>
      </c>
      <c r="H356">
        <v>1338.0692139</v>
      </c>
      <c r="I356">
        <v>1321.8200684000001</v>
      </c>
      <c r="J356">
        <v>1317.6016846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66.151307000000003</v>
      </c>
      <c r="B357" s="1">
        <f>DATE(2010,7,6) + TIME(3,37,52)</f>
        <v>40365.151296296295</v>
      </c>
      <c r="C357">
        <v>80</v>
      </c>
      <c r="D357">
        <v>79.949874878000003</v>
      </c>
      <c r="E357">
        <v>50</v>
      </c>
      <c r="F357">
        <v>14.999718666</v>
      </c>
      <c r="G357">
        <v>1340.5988769999999</v>
      </c>
      <c r="H357">
        <v>1338.0622559000001</v>
      </c>
      <c r="I357">
        <v>1321.8234863</v>
      </c>
      <c r="J357">
        <v>1317.6033935999999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66.827850999999995</v>
      </c>
      <c r="B358" s="1">
        <f>DATE(2010,7,6) + TIME(19,52,6)</f>
        <v>40365.827847222223</v>
      </c>
      <c r="C358">
        <v>80</v>
      </c>
      <c r="D358">
        <v>79.949920653999996</v>
      </c>
      <c r="E358">
        <v>50</v>
      </c>
      <c r="F358">
        <v>14.999741554</v>
      </c>
      <c r="G358">
        <v>1340.5909423999999</v>
      </c>
      <c r="H358">
        <v>1338.0552978999999</v>
      </c>
      <c r="I358">
        <v>1321.8269043</v>
      </c>
      <c r="J358">
        <v>1317.6049805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67.504682000000003</v>
      </c>
      <c r="B359" s="1">
        <f>DATE(2010,7,7) + TIME(12,6,44)</f>
        <v>40366.504675925928</v>
      </c>
      <c r="C359">
        <v>80</v>
      </c>
      <c r="D359">
        <v>79.949966431000007</v>
      </c>
      <c r="E359">
        <v>50</v>
      </c>
      <c r="F359">
        <v>14.999768256999999</v>
      </c>
      <c r="G359">
        <v>1340.5828856999999</v>
      </c>
      <c r="H359">
        <v>1338.0483397999999</v>
      </c>
      <c r="I359">
        <v>1321.8303223</v>
      </c>
      <c r="J359">
        <v>1317.6068115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68.182382000000004</v>
      </c>
      <c r="B360" s="1">
        <f>DATE(2010,7,8) + TIME(4,22,37)</f>
        <v>40367.182372685187</v>
      </c>
      <c r="C360">
        <v>80</v>
      </c>
      <c r="D360">
        <v>79.950004578000005</v>
      </c>
      <c r="E360">
        <v>50</v>
      </c>
      <c r="F360">
        <v>14.999797821</v>
      </c>
      <c r="G360">
        <v>1340.5750731999999</v>
      </c>
      <c r="H360">
        <v>1338.0413818</v>
      </c>
      <c r="I360">
        <v>1321.8338623</v>
      </c>
      <c r="J360">
        <v>1317.6085204999999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68.862491000000006</v>
      </c>
      <c r="B361" s="1">
        <f>DATE(2010,7,8) + TIME(20,41,59)</f>
        <v>40367.862488425926</v>
      </c>
      <c r="C361">
        <v>80</v>
      </c>
      <c r="D361">
        <v>79.950050353999998</v>
      </c>
      <c r="E361">
        <v>50</v>
      </c>
      <c r="F361">
        <v>14.999832153</v>
      </c>
      <c r="G361">
        <v>1340.5672606999999</v>
      </c>
      <c r="H361">
        <v>1338.0345459</v>
      </c>
      <c r="I361">
        <v>1321.8374022999999</v>
      </c>
      <c r="J361">
        <v>1317.6102295000001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69.546504999999996</v>
      </c>
      <c r="B362" s="1">
        <f>DATE(2010,7,9) + TIME(13,6,57)</f>
        <v>40368.546493055554</v>
      </c>
      <c r="C362">
        <v>80</v>
      </c>
      <c r="D362">
        <v>79.950096130000006</v>
      </c>
      <c r="E362">
        <v>50</v>
      </c>
      <c r="F362">
        <v>14.999873161</v>
      </c>
      <c r="G362">
        <v>1340.5594481999999</v>
      </c>
      <c r="H362">
        <v>1338.0277100000001</v>
      </c>
      <c r="I362">
        <v>1321.8409423999999</v>
      </c>
      <c r="J362">
        <v>1317.6120605000001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70.235665999999995</v>
      </c>
      <c r="B363" s="1">
        <f>DATE(2010,7,10) + TIME(5,39,21)</f>
        <v>40369.235659722224</v>
      </c>
      <c r="C363">
        <v>80</v>
      </c>
      <c r="D363">
        <v>79.950134277000004</v>
      </c>
      <c r="E363">
        <v>50</v>
      </c>
      <c r="F363">
        <v>14.999919890999999</v>
      </c>
      <c r="G363">
        <v>1340.5516356999999</v>
      </c>
      <c r="H363">
        <v>1338.020874</v>
      </c>
      <c r="I363">
        <v>1321.8446045000001</v>
      </c>
      <c r="J363">
        <v>1317.6138916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70.930605999999997</v>
      </c>
      <c r="B364" s="1">
        <f>DATE(2010,7,10) + TIME(22,20,4)</f>
        <v>40369.930601851855</v>
      </c>
      <c r="C364">
        <v>80</v>
      </c>
      <c r="D364">
        <v>79.950180054</v>
      </c>
      <c r="E364">
        <v>50</v>
      </c>
      <c r="F364">
        <v>14.999975204</v>
      </c>
      <c r="G364">
        <v>1340.5438231999999</v>
      </c>
      <c r="H364">
        <v>1338.0141602000001</v>
      </c>
      <c r="I364">
        <v>1321.8482666</v>
      </c>
      <c r="J364">
        <v>1317.6157227000001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71.632823999999999</v>
      </c>
      <c r="B365" s="1">
        <f>DATE(2010,7,11) + TIME(15,11,15)</f>
        <v>40370.6328125</v>
      </c>
      <c r="C365">
        <v>80</v>
      </c>
      <c r="D365">
        <v>79.950225829999994</v>
      </c>
      <c r="E365">
        <v>50</v>
      </c>
      <c r="F365">
        <v>15.000041008</v>
      </c>
      <c r="G365">
        <v>1340.5361327999999</v>
      </c>
      <c r="H365">
        <v>1338.0073242000001</v>
      </c>
      <c r="I365">
        <v>1321.8520507999999</v>
      </c>
      <c r="J365">
        <v>1317.6175536999999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72.34151</v>
      </c>
      <c r="B366" s="1">
        <f>DATE(2010,7,12) + TIME(8,11,46)</f>
        <v>40371.341504629629</v>
      </c>
      <c r="C366">
        <v>80</v>
      </c>
      <c r="D366">
        <v>79.950271606000001</v>
      </c>
      <c r="E366">
        <v>50</v>
      </c>
      <c r="F366">
        <v>15.000118256</v>
      </c>
      <c r="G366">
        <v>1340.5283202999999</v>
      </c>
      <c r="H366">
        <v>1338.0004882999999</v>
      </c>
      <c r="I366">
        <v>1321.855957</v>
      </c>
      <c r="J366">
        <v>1317.6193848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73.055757</v>
      </c>
      <c r="B367" s="1">
        <f>DATE(2010,7,13) + TIME(1,20,17)</f>
        <v>40372.055752314816</v>
      </c>
      <c r="C367">
        <v>80</v>
      </c>
      <c r="D367">
        <v>79.950317382999998</v>
      </c>
      <c r="E367">
        <v>50</v>
      </c>
      <c r="F367">
        <v>15.000209807999999</v>
      </c>
      <c r="G367">
        <v>1340.5205077999999</v>
      </c>
      <c r="H367">
        <v>1337.9937743999999</v>
      </c>
      <c r="I367">
        <v>1321.8598632999999</v>
      </c>
      <c r="J367">
        <v>1317.6213379000001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73.774517000000003</v>
      </c>
      <c r="B368" s="1">
        <f>DATE(2010,7,13) + TIME(18,35,18)</f>
        <v>40372.774513888886</v>
      </c>
      <c r="C368">
        <v>80</v>
      </c>
      <c r="D368">
        <v>79.950363159000005</v>
      </c>
      <c r="E368">
        <v>50</v>
      </c>
      <c r="F368">
        <v>15.000318526999999</v>
      </c>
      <c r="G368">
        <v>1340.5126952999999</v>
      </c>
      <c r="H368">
        <v>1337.9869385</v>
      </c>
      <c r="I368">
        <v>1321.8638916</v>
      </c>
      <c r="J368">
        <v>1317.6234131000001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74.135075999999998</v>
      </c>
      <c r="B369" s="1">
        <f>DATE(2010,7,14) + TIME(3,14,30)</f>
        <v>40373.135069444441</v>
      </c>
      <c r="C369">
        <v>80</v>
      </c>
      <c r="D369">
        <v>79.950378418</v>
      </c>
      <c r="E369">
        <v>50</v>
      </c>
      <c r="F369">
        <v>15.000404358000001</v>
      </c>
      <c r="G369">
        <v>1340.5056152</v>
      </c>
      <c r="H369">
        <v>1337.9807129000001</v>
      </c>
      <c r="I369">
        <v>1321.8676757999999</v>
      </c>
      <c r="J369">
        <v>1317.6252440999999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74.495633999999995</v>
      </c>
      <c r="B370" s="1">
        <f>DATE(2010,7,14) + TIME(11,53,42)</f>
        <v>40373.495625000003</v>
      </c>
      <c r="C370">
        <v>80</v>
      </c>
      <c r="D370">
        <v>79.950401306000003</v>
      </c>
      <c r="E370">
        <v>50</v>
      </c>
      <c r="F370">
        <v>15.000490189000001</v>
      </c>
      <c r="G370">
        <v>1340.5012207</v>
      </c>
      <c r="H370">
        <v>1337.9769286999999</v>
      </c>
      <c r="I370">
        <v>1321.8701172000001</v>
      </c>
      <c r="J370">
        <v>1317.6264647999999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74.856191999999993</v>
      </c>
      <c r="B371" s="1">
        <f>DATE(2010,7,14) + TIME(20,32,55)</f>
        <v>40373.856192129628</v>
      </c>
      <c r="C371">
        <v>80</v>
      </c>
      <c r="D371">
        <v>79.950424193999993</v>
      </c>
      <c r="E371">
        <v>50</v>
      </c>
      <c r="F371">
        <v>15.000580788000001</v>
      </c>
      <c r="G371">
        <v>1340.4973144999999</v>
      </c>
      <c r="H371">
        <v>1337.9735106999999</v>
      </c>
      <c r="I371">
        <v>1321.8721923999999</v>
      </c>
      <c r="J371">
        <v>1317.6274414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75.216751000000002</v>
      </c>
      <c r="B372" s="1">
        <f>DATE(2010,7,15) + TIME(5,12,7)</f>
        <v>40374.216747685183</v>
      </c>
      <c r="C372">
        <v>80</v>
      </c>
      <c r="D372">
        <v>79.950447083</v>
      </c>
      <c r="E372">
        <v>50</v>
      </c>
      <c r="F372">
        <v>15.000675201</v>
      </c>
      <c r="G372">
        <v>1340.4934082</v>
      </c>
      <c r="H372">
        <v>1337.9700928</v>
      </c>
      <c r="I372">
        <v>1321.8743896000001</v>
      </c>
      <c r="J372">
        <v>1317.6285399999999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75.577309</v>
      </c>
      <c r="B373" s="1">
        <f>DATE(2010,7,15) + TIME(13,51,19)</f>
        <v>40374.577303240738</v>
      </c>
      <c r="C373">
        <v>80</v>
      </c>
      <c r="D373">
        <v>79.950469971000004</v>
      </c>
      <c r="E373">
        <v>50</v>
      </c>
      <c r="F373">
        <v>15.000776290999999</v>
      </c>
      <c r="G373">
        <v>1340.4895019999999</v>
      </c>
      <c r="H373">
        <v>1337.9667969</v>
      </c>
      <c r="I373">
        <v>1321.8764647999999</v>
      </c>
      <c r="J373">
        <v>1317.6295166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75.937866999999997</v>
      </c>
      <c r="B374" s="1">
        <f>DATE(2010,7,15) + TIME(22,30,31)</f>
        <v>40374.937858796293</v>
      </c>
      <c r="C374">
        <v>80</v>
      </c>
      <c r="D374">
        <v>79.950492858999993</v>
      </c>
      <c r="E374">
        <v>50</v>
      </c>
      <c r="F374">
        <v>15.000885009999999</v>
      </c>
      <c r="G374">
        <v>1340.4857178</v>
      </c>
      <c r="H374">
        <v>1337.9633789</v>
      </c>
      <c r="I374">
        <v>1321.8785399999999</v>
      </c>
      <c r="J374">
        <v>1317.6306152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76.298426000000006</v>
      </c>
      <c r="B375" s="1">
        <f>DATE(2010,7,16) + TIME(7,9,43)</f>
        <v>40375.298414351855</v>
      </c>
      <c r="C375">
        <v>80</v>
      </c>
      <c r="D375">
        <v>79.950515746999997</v>
      </c>
      <c r="E375">
        <v>50</v>
      </c>
      <c r="F375">
        <v>15.001003265</v>
      </c>
      <c r="G375">
        <v>1340.4819336</v>
      </c>
      <c r="H375">
        <v>1337.9600829999999</v>
      </c>
      <c r="I375">
        <v>1321.8807373</v>
      </c>
      <c r="J375">
        <v>1317.6315918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76.658984000000004</v>
      </c>
      <c r="B376" s="1">
        <f>DATE(2010,7,16) + TIME(15,48,56)</f>
        <v>40375.65898148148</v>
      </c>
      <c r="C376">
        <v>80</v>
      </c>
      <c r="D376">
        <v>79.950538635000001</v>
      </c>
      <c r="E376">
        <v>50</v>
      </c>
      <c r="F376">
        <v>15.001130104</v>
      </c>
      <c r="G376">
        <v>1340.4781493999999</v>
      </c>
      <c r="H376">
        <v>1337.9567870999999</v>
      </c>
      <c r="I376">
        <v>1321.8829346</v>
      </c>
      <c r="J376">
        <v>1317.6326904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77.019542000000001</v>
      </c>
      <c r="B377" s="1">
        <f>DATE(2010,7,17) + TIME(0,28,8)</f>
        <v>40376.019537037035</v>
      </c>
      <c r="C377">
        <v>80</v>
      </c>
      <c r="D377">
        <v>79.950561523000005</v>
      </c>
      <c r="E377">
        <v>50</v>
      </c>
      <c r="F377">
        <v>15.001268387</v>
      </c>
      <c r="G377">
        <v>1340.4743652</v>
      </c>
      <c r="H377">
        <v>1337.9534911999999</v>
      </c>
      <c r="I377">
        <v>1321.8850098</v>
      </c>
      <c r="J377">
        <v>1317.6336670000001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77.740658999999994</v>
      </c>
      <c r="B378" s="1">
        <f>DATE(2010,7,17) + TIME(17,46,32)</f>
        <v>40376.740648148145</v>
      </c>
      <c r="C378">
        <v>80</v>
      </c>
      <c r="D378">
        <v>79.950614928999997</v>
      </c>
      <c r="E378">
        <v>50</v>
      </c>
      <c r="F378">
        <v>15.001495361</v>
      </c>
      <c r="G378">
        <v>1340.4702147999999</v>
      </c>
      <c r="H378">
        <v>1337.9499512</v>
      </c>
      <c r="I378">
        <v>1321.8874512</v>
      </c>
      <c r="J378">
        <v>1317.6348877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78.463256999999999</v>
      </c>
      <c r="B379" s="1">
        <f>DATE(2010,7,18) + TIME(11,7,5)</f>
        <v>40377.463252314818</v>
      </c>
      <c r="C379">
        <v>80</v>
      </c>
      <c r="D379">
        <v>79.950660705999994</v>
      </c>
      <c r="E379">
        <v>50</v>
      </c>
      <c r="F379">
        <v>15.001796722</v>
      </c>
      <c r="G379">
        <v>1340.4631348</v>
      </c>
      <c r="H379">
        <v>1337.9437256000001</v>
      </c>
      <c r="I379">
        <v>1321.8916016000001</v>
      </c>
      <c r="J379">
        <v>1317.6369629000001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79.194779999999994</v>
      </c>
      <c r="B380" s="1">
        <f>DATE(2010,7,19) + TIME(4,40,29)</f>
        <v>40378.194780092592</v>
      </c>
      <c r="C380">
        <v>80</v>
      </c>
      <c r="D380">
        <v>79.950706482000001</v>
      </c>
      <c r="E380">
        <v>50</v>
      </c>
      <c r="F380">
        <v>15.002170563</v>
      </c>
      <c r="G380">
        <v>1340.4558105000001</v>
      </c>
      <c r="H380">
        <v>1337.9373779</v>
      </c>
      <c r="I380">
        <v>1321.8961182</v>
      </c>
      <c r="J380">
        <v>1317.6391602000001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79.936769999999996</v>
      </c>
      <c r="B381" s="1">
        <f>DATE(2010,7,19) + TIME(22,28,56)</f>
        <v>40378.936759259261</v>
      </c>
      <c r="C381">
        <v>80</v>
      </c>
      <c r="D381">
        <v>79.950752257999994</v>
      </c>
      <c r="E381">
        <v>50</v>
      </c>
      <c r="F381">
        <v>15.002622604000001</v>
      </c>
      <c r="G381">
        <v>1340.4483643000001</v>
      </c>
      <c r="H381">
        <v>1337.9310303</v>
      </c>
      <c r="I381">
        <v>1321.9007568</v>
      </c>
      <c r="J381">
        <v>1317.6413574000001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80.690837999999999</v>
      </c>
      <c r="B382" s="1">
        <f>DATE(2010,7,20) + TIME(16,34,48)</f>
        <v>40379.690833333334</v>
      </c>
      <c r="C382">
        <v>80</v>
      </c>
      <c r="D382">
        <v>79.950798035000005</v>
      </c>
      <c r="E382">
        <v>50</v>
      </c>
      <c r="F382">
        <v>15.003165245</v>
      </c>
      <c r="G382">
        <v>1340.440918</v>
      </c>
      <c r="H382">
        <v>1337.9245605000001</v>
      </c>
      <c r="I382">
        <v>1321.9053954999999</v>
      </c>
      <c r="J382">
        <v>1317.6436768000001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81.449380000000005</v>
      </c>
      <c r="B383" s="1">
        <f>DATE(2010,7,21) + TIME(10,47,6)</f>
        <v>40380.449374999997</v>
      </c>
      <c r="C383">
        <v>80</v>
      </c>
      <c r="D383">
        <v>79.950843810999999</v>
      </c>
      <c r="E383">
        <v>50</v>
      </c>
      <c r="F383">
        <v>15.003810883</v>
      </c>
      <c r="G383">
        <v>1340.4333495999999</v>
      </c>
      <c r="H383">
        <v>1337.9179687999999</v>
      </c>
      <c r="I383">
        <v>1321.9102783000001</v>
      </c>
      <c r="J383">
        <v>1317.6461182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81.829414</v>
      </c>
      <c r="B384" s="1">
        <f>DATE(2010,7,21) + TIME(19,54,21)</f>
        <v>40380.829409722224</v>
      </c>
      <c r="C384">
        <v>80</v>
      </c>
      <c r="D384">
        <v>79.950859070000007</v>
      </c>
      <c r="E384">
        <v>50</v>
      </c>
      <c r="F384">
        <v>15.004318237</v>
      </c>
      <c r="G384">
        <v>1340.4263916</v>
      </c>
      <c r="H384">
        <v>1337.9119873</v>
      </c>
      <c r="I384">
        <v>1321.9149170000001</v>
      </c>
      <c r="J384">
        <v>1317.6483154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82.209446999999997</v>
      </c>
      <c r="B385" s="1">
        <f>DATE(2010,7,22) + TIME(5,1,36)</f>
        <v>40381.209444444445</v>
      </c>
      <c r="C385">
        <v>80</v>
      </c>
      <c r="D385">
        <v>79.950881957999997</v>
      </c>
      <c r="E385">
        <v>50</v>
      </c>
      <c r="F385">
        <v>15.004828453</v>
      </c>
      <c r="G385">
        <v>1340.4222411999999</v>
      </c>
      <c r="H385">
        <v>1337.9083252</v>
      </c>
      <c r="I385">
        <v>1321.9178466999999</v>
      </c>
      <c r="J385">
        <v>1317.6497803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82.589481000000006</v>
      </c>
      <c r="B386" s="1">
        <f>DATE(2010,7,22) + TIME(14,8,51)</f>
        <v>40381.589479166665</v>
      </c>
      <c r="C386">
        <v>80</v>
      </c>
      <c r="D386">
        <v>79.950904846</v>
      </c>
      <c r="E386">
        <v>50</v>
      </c>
      <c r="F386">
        <v>15.005355835</v>
      </c>
      <c r="G386">
        <v>1340.4183350000001</v>
      </c>
      <c r="H386">
        <v>1337.9049072</v>
      </c>
      <c r="I386">
        <v>1321.9204102000001</v>
      </c>
      <c r="J386">
        <v>1317.651001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82.969514000000004</v>
      </c>
      <c r="B387" s="1">
        <f>DATE(2010,7,22) + TIME(23,16,6)</f>
        <v>40381.969513888886</v>
      </c>
      <c r="C387">
        <v>80</v>
      </c>
      <c r="D387">
        <v>79.950927734000004</v>
      </c>
      <c r="E387">
        <v>50</v>
      </c>
      <c r="F387">
        <v>15.005909920000001</v>
      </c>
      <c r="G387">
        <v>1340.4145507999999</v>
      </c>
      <c r="H387">
        <v>1337.9017334</v>
      </c>
      <c r="I387">
        <v>1321.9229736</v>
      </c>
      <c r="J387">
        <v>1317.6522216999999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83.349547999999999</v>
      </c>
      <c r="B388" s="1">
        <f>DATE(2010,7,23) + TIME(8,23,20)</f>
        <v>40382.349537037036</v>
      </c>
      <c r="C388">
        <v>80</v>
      </c>
      <c r="D388">
        <v>79.950958252000007</v>
      </c>
      <c r="E388">
        <v>50</v>
      </c>
      <c r="F388">
        <v>15.006497382999999</v>
      </c>
      <c r="G388">
        <v>1340.4108887</v>
      </c>
      <c r="H388">
        <v>1337.8984375</v>
      </c>
      <c r="I388">
        <v>1321.9255370999999</v>
      </c>
      <c r="J388">
        <v>1317.6535644999999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83.729580999999996</v>
      </c>
      <c r="B389" s="1">
        <f>DATE(2010,7,23) + TIME(17,30,35)</f>
        <v>40382.729571759257</v>
      </c>
      <c r="C389">
        <v>80</v>
      </c>
      <c r="D389">
        <v>79.950981139999996</v>
      </c>
      <c r="E389">
        <v>50</v>
      </c>
      <c r="F389">
        <v>15.007127762</v>
      </c>
      <c r="G389">
        <v>1340.4071045000001</v>
      </c>
      <c r="H389">
        <v>1337.8952637</v>
      </c>
      <c r="I389">
        <v>1321.9282227000001</v>
      </c>
      <c r="J389">
        <v>1317.6547852000001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84.109615000000005</v>
      </c>
      <c r="B390" s="1">
        <f>DATE(2010,7,24) + TIME(2,37,50)</f>
        <v>40383.109606481485</v>
      </c>
      <c r="C390">
        <v>80</v>
      </c>
      <c r="D390">
        <v>79.951004028</v>
      </c>
      <c r="E390">
        <v>50</v>
      </c>
      <c r="F390">
        <v>15.007803917</v>
      </c>
      <c r="G390">
        <v>1340.4034423999999</v>
      </c>
      <c r="H390">
        <v>1337.8919678</v>
      </c>
      <c r="I390">
        <v>1321.9307861</v>
      </c>
      <c r="J390">
        <v>1317.6560059000001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84.489648000000003</v>
      </c>
      <c r="B391" s="1">
        <f>DATE(2010,7,24) + TIME(11,45,5)</f>
        <v>40383.489641203705</v>
      </c>
      <c r="C391">
        <v>80</v>
      </c>
      <c r="D391">
        <v>79.951026916999993</v>
      </c>
      <c r="E391">
        <v>50</v>
      </c>
      <c r="F391">
        <v>15.008532524</v>
      </c>
      <c r="G391">
        <v>1340.3997803</v>
      </c>
      <c r="H391">
        <v>1337.8887939000001</v>
      </c>
      <c r="I391">
        <v>1321.9334716999999</v>
      </c>
      <c r="J391">
        <v>1317.6573486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84.869681999999997</v>
      </c>
      <c r="B392" s="1">
        <f>DATE(2010,7,24) + TIME(20,52,20)</f>
        <v>40383.869675925926</v>
      </c>
      <c r="C392">
        <v>80</v>
      </c>
      <c r="D392">
        <v>79.951049804999997</v>
      </c>
      <c r="E392">
        <v>50</v>
      </c>
      <c r="F392">
        <v>15.009318351999999</v>
      </c>
      <c r="G392">
        <v>1340.3961182</v>
      </c>
      <c r="H392">
        <v>1337.8856201000001</v>
      </c>
      <c r="I392">
        <v>1321.9361572</v>
      </c>
      <c r="J392">
        <v>1317.6586914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85.249714999999995</v>
      </c>
      <c r="B393" s="1">
        <f>DATE(2010,7,25) + TIME(5,59,35)</f>
        <v>40384.249710648146</v>
      </c>
      <c r="C393">
        <v>80</v>
      </c>
      <c r="D393">
        <v>79.951072693</v>
      </c>
      <c r="E393">
        <v>50</v>
      </c>
      <c r="F393">
        <v>15.010166168</v>
      </c>
      <c r="G393">
        <v>1340.3924560999999</v>
      </c>
      <c r="H393">
        <v>1337.8824463000001</v>
      </c>
      <c r="I393">
        <v>1321.9388428</v>
      </c>
      <c r="J393">
        <v>1317.6600341999999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86.009782000000001</v>
      </c>
      <c r="B394" s="1">
        <f>DATE(2010,7,26) + TIME(0,14,5)</f>
        <v>40385.009780092594</v>
      </c>
      <c r="C394">
        <v>80</v>
      </c>
      <c r="D394">
        <v>79.951126099000007</v>
      </c>
      <c r="E394">
        <v>50</v>
      </c>
      <c r="F394">
        <v>15.011544228</v>
      </c>
      <c r="G394">
        <v>1340.3884277</v>
      </c>
      <c r="H394">
        <v>1337.8790283000001</v>
      </c>
      <c r="I394">
        <v>1321.9417725000001</v>
      </c>
      <c r="J394">
        <v>1317.6613769999999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86.772551000000007</v>
      </c>
      <c r="B395" s="1">
        <f>DATE(2010,7,26) + TIME(18,32,28)</f>
        <v>40385.772546296299</v>
      </c>
      <c r="C395">
        <v>80</v>
      </c>
      <c r="D395">
        <v>79.951179503999995</v>
      </c>
      <c r="E395">
        <v>50</v>
      </c>
      <c r="F395">
        <v>15.013367653</v>
      </c>
      <c r="G395">
        <v>1340.3815918</v>
      </c>
      <c r="H395">
        <v>1337.8730469</v>
      </c>
      <c r="I395">
        <v>1321.9470214999999</v>
      </c>
      <c r="J395">
        <v>1317.6639404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87.547173999999998</v>
      </c>
      <c r="B396" s="1">
        <f>DATE(2010,7,27) + TIME(13,7,55)</f>
        <v>40386.547164351854</v>
      </c>
      <c r="C396">
        <v>80</v>
      </c>
      <c r="D396">
        <v>79.951225281000006</v>
      </c>
      <c r="E396">
        <v>50</v>
      </c>
      <c r="F396">
        <v>15.015613556</v>
      </c>
      <c r="G396">
        <v>1340.3743896000001</v>
      </c>
      <c r="H396">
        <v>1337.8669434000001</v>
      </c>
      <c r="I396">
        <v>1321.9526367000001</v>
      </c>
      <c r="J396">
        <v>1317.6667480000001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88.335448999999997</v>
      </c>
      <c r="B397" s="1">
        <f>DATE(2010,7,28) + TIME(8,3,2)</f>
        <v>40387.335439814815</v>
      </c>
      <c r="C397">
        <v>80</v>
      </c>
      <c r="D397">
        <v>79.951278686999999</v>
      </c>
      <c r="E397">
        <v>50</v>
      </c>
      <c r="F397">
        <v>15.018309593</v>
      </c>
      <c r="G397">
        <v>1340.3671875</v>
      </c>
      <c r="H397">
        <v>1337.8607178</v>
      </c>
      <c r="I397">
        <v>1321.9584961</v>
      </c>
      <c r="J397">
        <v>1317.6695557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88.732440999999994</v>
      </c>
      <c r="B398" s="1">
        <f>DATE(2010,7,28) + TIME(17,34,42)</f>
        <v>40387.732430555552</v>
      </c>
      <c r="C398">
        <v>80</v>
      </c>
      <c r="D398">
        <v>79.951293945000003</v>
      </c>
      <c r="E398">
        <v>50</v>
      </c>
      <c r="F398">
        <v>15.020445823999999</v>
      </c>
      <c r="G398">
        <v>1340.3604736</v>
      </c>
      <c r="H398">
        <v>1337.8548584</v>
      </c>
      <c r="I398">
        <v>1321.9642334</v>
      </c>
      <c r="J398">
        <v>1317.6723632999999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89.129433000000006</v>
      </c>
      <c r="B399" s="1">
        <f>DATE(2010,7,29) + TIME(3,6,23)</f>
        <v>40388.129432870373</v>
      </c>
      <c r="C399">
        <v>80</v>
      </c>
      <c r="D399">
        <v>79.951316833000007</v>
      </c>
      <c r="E399">
        <v>50</v>
      </c>
      <c r="F399">
        <v>15.022579193</v>
      </c>
      <c r="G399">
        <v>1340.3563231999999</v>
      </c>
      <c r="H399">
        <v>1337.8513184000001</v>
      </c>
      <c r="I399">
        <v>1321.9676514</v>
      </c>
      <c r="J399">
        <v>1317.6740723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89.526426000000001</v>
      </c>
      <c r="B400" s="1">
        <f>DATE(2010,7,29) + TIME(12,38,3)</f>
        <v>40388.526423611111</v>
      </c>
      <c r="C400">
        <v>80</v>
      </c>
      <c r="D400">
        <v>79.951339722</v>
      </c>
      <c r="E400">
        <v>50</v>
      </c>
      <c r="F400">
        <v>15.024767876</v>
      </c>
      <c r="G400">
        <v>1340.3525391000001</v>
      </c>
      <c r="H400">
        <v>1337.8480225000001</v>
      </c>
      <c r="I400">
        <v>1321.9708252</v>
      </c>
      <c r="J400">
        <v>1317.6756591999999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89.923417999999998</v>
      </c>
      <c r="B401" s="1">
        <f>DATE(2010,7,29) + TIME(22,9,43)</f>
        <v>40388.923414351855</v>
      </c>
      <c r="C401">
        <v>80</v>
      </c>
      <c r="D401">
        <v>79.951362610000004</v>
      </c>
      <c r="E401">
        <v>50</v>
      </c>
      <c r="F401">
        <v>15.027051926</v>
      </c>
      <c r="G401">
        <v>1340.3488769999999</v>
      </c>
      <c r="H401">
        <v>1337.8448486</v>
      </c>
      <c r="I401">
        <v>1321.973999</v>
      </c>
      <c r="J401">
        <v>1317.677124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90.320411000000007</v>
      </c>
      <c r="B402" s="1">
        <f>DATE(2010,7,30) + TIME(7,41,23)</f>
        <v>40389.320405092592</v>
      </c>
      <c r="C402">
        <v>80</v>
      </c>
      <c r="D402">
        <v>79.951385497999993</v>
      </c>
      <c r="E402">
        <v>50</v>
      </c>
      <c r="F402">
        <v>15.029465675000001</v>
      </c>
      <c r="G402">
        <v>1340.3452147999999</v>
      </c>
      <c r="H402">
        <v>1337.8416748</v>
      </c>
      <c r="I402">
        <v>1321.9771728999999</v>
      </c>
      <c r="J402">
        <v>1317.6787108999999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90.717403000000004</v>
      </c>
      <c r="B403" s="1">
        <f>DATE(2010,7,30) + TIME(17,13,3)</f>
        <v>40389.717395833337</v>
      </c>
      <c r="C403">
        <v>80</v>
      </c>
      <c r="D403">
        <v>79.951416015999996</v>
      </c>
      <c r="E403">
        <v>50</v>
      </c>
      <c r="F403">
        <v>15.03203392</v>
      </c>
      <c r="G403">
        <v>1340.3415527</v>
      </c>
      <c r="H403">
        <v>1337.838501</v>
      </c>
      <c r="I403">
        <v>1321.9803466999999</v>
      </c>
      <c r="J403">
        <v>1317.6802978999999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91.114395000000002</v>
      </c>
      <c r="B404" s="1">
        <f>DATE(2010,7,31) + TIME(2,44,43)</f>
        <v>40390.114386574074</v>
      </c>
      <c r="C404">
        <v>80</v>
      </c>
      <c r="D404">
        <v>79.951438904</v>
      </c>
      <c r="E404">
        <v>50</v>
      </c>
      <c r="F404">
        <v>15.034777641</v>
      </c>
      <c r="G404">
        <v>1340.3378906</v>
      </c>
      <c r="H404">
        <v>1337.8353271000001</v>
      </c>
      <c r="I404">
        <v>1321.9836425999999</v>
      </c>
      <c r="J404">
        <v>1317.6818848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91.511387999999997</v>
      </c>
      <c r="B405" s="1">
        <f>DATE(2010,7,31) + TIME(12,16,23)</f>
        <v>40390.511377314811</v>
      </c>
      <c r="C405">
        <v>80</v>
      </c>
      <c r="D405">
        <v>79.951461792000003</v>
      </c>
      <c r="E405">
        <v>50</v>
      </c>
      <c r="F405">
        <v>15.037716866</v>
      </c>
      <c r="G405">
        <v>1340.3343506000001</v>
      </c>
      <c r="H405">
        <v>1337.8321533000001</v>
      </c>
      <c r="I405">
        <v>1321.9869385</v>
      </c>
      <c r="J405">
        <v>1317.6835937999999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92</v>
      </c>
      <c r="B406" s="1">
        <f>DATE(2010,8,1) + TIME(0,0,0)</f>
        <v>40391</v>
      </c>
      <c r="C406">
        <v>80</v>
      </c>
      <c r="D406">
        <v>79.951492310000006</v>
      </c>
      <c r="E406">
        <v>50</v>
      </c>
      <c r="F406">
        <v>15.041314125</v>
      </c>
      <c r="G406">
        <v>1340.3305664</v>
      </c>
      <c r="H406">
        <v>1337.8289795000001</v>
      </c>
      <c r="I406">
        <v>1321.9902344</v>
      </c>
      <c r="J406">
        <v>1317.6851807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92.396991999999997</v>
      </c>
      <c r="B407" s="1">
        <f>DATE(2010,8,1) + TIME(9,31,40)</f>
        <v>40391.396990740737</v>
      </c>
      <c r="C407">
        <v>80</v>
      </c>
      <c r="D407">
        <v>79.951515197999996</v>
      </c>
      <c r="E407">
        <v>50</v>
      </c>
      <c r="F407">
        <v>15.044848441999999</v>
      </c>
      <c r="G407">
        <v>1340.3264160000001</v>
      </c>
      <c r="H407">
        <v>1337.8253173999999</v>
      </c>
      <c r="I407">
        <v>1321.9942627</v>
      </c>
      <c r="J407">
        <v>1317.6872559000001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93.182534000000004</v>
      </c>
      <c r="B408" s="1">
        <f>DATE(2010,8,2) + TIME(4,22,50)</f>
        <v>40392.182523148149</v>
      </c>
      <c r="C408">
        <v>80</v>
      </c>
      <c r="D408">
        <v>79.951576232999997</v>
      </c>
      <c r="E408">
        <v>50</v>
      </c>
      <c r="F408">
        <v>15.050416946</v>
      </c>
      <c r="G408">
        <v>1340.3223877</v>
      </c>
      <c r="H408">
        <v>1337.8218993999999</v>
      </c>
      <c r="I408">
        <v>1321.9978027</v>
      </c>
      <c r="J408">
        <v>1317.6890868999999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93.973973000000001</v>
      </c>
      <c r="B409" s="1">
        <f>DATE(2010,8,2) + TIME(23,22,31)</f>
        <v>40392.973969907405</v>
      </c>
      <c r="C409">
        <v>80</v>
      </c>
      <c r="D409">
        <v>79.951622009000005</v>
      </c>
      <c r="E409">
        <v>50</v>
      </c>
      <c r="F409">
        <v>15.057682991</v>
      </c>
      <c r="G409">
        <v>1340.3156738</v>
      </c>
      <c r="H409">
        <v>1337.8160399999999</v>
      </c>
      <c r="I409">
        <v>1322.0043945</v>
      </c>
      <c r="J409">
        <v>1317.6923827999999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94.777726999999999</v>
      </c>
      <c r="B410" s="1">
        <f>DATE(2010,8,3) + TIME(18,39,55)</f>
        <v>40393.777719907404</v>
      </c>
      <c r="C410">
        <v>80</v>
      </c>
      <c r="D410">
        <v>79.951675414999997</v>
      </c>
      <c r="E410">
        <v>50</v>
      </c>
      <c r="F410">
        <v>15.066516876</v>
      </c>
      <c r="G410">
        <v>1340.3087158000001</v>
      </c>
      <c r="H410">
        <v>1337.8100586</v>
      </c>
      <c r="I410">
        <v>1322.0113524999999</v>
      </c>
      <c r="J410">
        <v>1317.6959228999999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95.185945000000004</v>
      </c>
      <c r="B411" s="1">
        <f>DATE(2010,8,4) + TIME(4,27,45)</f>
        <v>40394.185937499999</v>
      </c>
      <c r="C411">
        <v>80</v>
      </c>
      <c r="D411">
        <v>79.951690674000005</v>
      </c>
      <c r="E411">
        <v>50</v>
      </c>
      <c r="F411">
        <v>15.073574066000001</v>
      </c>
      <c r="G411">
        <v>1340.3022461</v>
      </c>
      <c r="H411">
        <v>1337.8044434000001</v>
      </c>
      <c r="I411">
        <v>1322.0184326000001</v>
      </c>
      <c r="J411">
        <v>1317.6993408000001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95.589718000000005</v>
      </c>
      <c r="B412" s="1">
        <f>DATE(2010,8,4) + TIME(14,9,11)</f>
        <v>40394.58971064815</v>
      </c>
      <c r="C412">
        <v>80</v>
      </c>
      <c r="D412">
        <v>79.951713561999995</v>
      </c>
      <c r="E412">
        <v>50</v>
      </c>
      <c r="F412">
        <v>15.080526352</v>
      </c>
      <c r="G412">
        <v>1340.2982178</v>
      </c>
      <c r="H412">
        <v>1337.8010254000001</v>
      </c>
      <c r="I412">
        <v>1322.0225829999999</v>
      </c>
      <c r="J412">
        <v>1317.7015381000001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95.993491000000006</v>
      </c>
      <c r="B413" s="1">
        <f>DATE(2010,8,4) + TIME(23,50,37)</f>
        <v>40394.993483796294</v>
      </c>
      <c r="C413">
        <v>80</v>
      </c>
      <c r="D413">
        <v>79.951744079999997</v>
      </c>
      <c r="E413">
        <v>50</v>
      </c>
      <c r="F413">
        <v>15.087604523</v>
      </c>
      <c r="G413">
        <v>1340.2945557</v>
      </c>
      <c r="H413">
        <v>1337.7978516000001</v>
      </c>
      <c r="I413">
        <v>1322.0263672000001</v>
      </c>
      <c r="J413">
        <v>1317.7034911999999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96.397264000000007</v>
      </c>
      <c r="B414" s="1">
        <f>DATE(2010,8,5) + TIME(9,32,3)</f>
        <v>40395.397256944445</v>
      </c>
      <c r="C414">
        <v>80</v>
      </c>
      <c r="D414">
        <v>79.951766968000001</v>
      </c>
      <c r="E414">
        <v>50</v>
      </c>
      <c r="F414">
        <v>15.094944</v>
      </c>
      <c r="G414">
        <v>1340.2910156</v>
      </c>
      <c r="H414">
        <v>1337.7946777</v>
      </c>
      <c r="I414">
        <v>1322.0301514</v>
      </c>
      <c r="J414">
        <v>1317.7054443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96.801036999999994</v>
      </c>
      <c r="B415" s="1">
        <f>DATE(2010,8,5) + TIME(19,13,29)</f>
        <v>40395.801030092596</v>
      </c>
      <c r="C415">
        <v>80</v>
      </c>
      <c r="D415">
        <v>79.951789856000005</v>
      </c>
      <c r="E415">
        <v>50</v>
      </c>
      <c r="F415">
        <v>15.102644919999999</v>
      </c>
      <c r="G415">
        <v>1340.2873535000001</v>
      </c>
      <c r="H415">
        <v>1337.791626</v>
      </c>
      <c r="I415">
        <v>1322.0339355000001</v>
      </c>
      <c r="J415">
        <v>1317.7075195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97.204809999999995</v>
      </c>
      <c r="B416" s="1">
        <f>DATE(2010,8,6) + TIME(4,54,55)</f>
        <v>40396.20480324074</v>
      </c>
      <c r="C416">
        <v>80</v>
      </c>
      <c r="D416">
        <v>79.951812743999994</v>
      </c>
      <c r="E416">
        <v>50</v>
      </c>
      <c r="F416">
        <v>15.110783576999999</v>
      </c>
      <c r="G416">
        <v>1340.2839355000001</v>
      </c>
      <c r="H416">
        <v>1337.7885742000001</v>
      </c>
      <c r="I416">
        <v>1322.0378418</v>
      </c>
      <c r="J416">
        <v>1317.7095947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97.608582999999996</v>
      </c>
      <c r="B417" s="1">
        <f>DATE(2010,8,6) + TIME(14,36,21)</f>
        <v>40396.608576388891</v>
      </c>
      <c r="C417">
        <v>80</v>
      </c>
      <c r="D417">
        <v>79.951843261999997</v>
      </c>
      <c r="E417">
        <v>50</v>
      </c>
      <c r="F417">
        <v>15.119422912999999</v>
      </c>
      <c r="G417">
        <v>1340.2803954999999</v>
      </c>
      <c r="H417">
        <v>1337.7855225000001</v>
      </c>
      <c r="I417">
        <v>1322.0417480000001</v>
      </c>
      <c r="J417">
        <v>1317.7116699000001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98.012355999999997</v>
      </c>
      <c r="B418" s="1">
        <f>DATE(2010,8,7) + TIME(0,17,47)</f>
        <v>40397.012349537035</v>
      </c>
      <c r="C418">
        <v>80</v>
      </c>
      <c r="D418">
        <v>79.951866150000001</v>
      </c>
      <c r="E418">
        <v>50</v>
      </c>
      <c r="F418">
        <v>15.128617287000001</v>
      </c>
      <c r="G418">
        <v>1340.2768555</v>
      </c>
      <c r="H418">
        <v>1337.7824707</v>
      </c>
      <c r="I418">
        <v>1322.0456543</v>
      </c>
      <c r="J418">
        <v>1317.7137451000001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98.416128999999998</v>
      </c>
      <c r="B419" s="1">
        <f>DATE(2010,8,7) + TIME(9,59,13)</f>
        <v>40397.416122685187</v>
      </c>
      <c r="C419">
        <v>80</v>
      </c>
      <c r="D419">
        <v>79.951889038000004</v>
      </c>
      <c r="E419">
        <v>50</v>
      </c>
      <c r="F419">
        <v>15.13841629</v>
      </c>
      <c r="G419">
        <v>1340.2734375</v>
      </c>
      <c r="H419">
        <v>1337.7794189000001</v>
      </c>
      <c r="I419">
        <v>1322.0496826000001</v>
      </c>
      <c r="J419">
        <v>1317.7159423999999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98.819901999999999</v>
      </c>
      <c r="B420" s="1">
        <f>DATE(2010,8,7) + TIME(19,40,39)</f>
        <v>40397.819895833331</v>
      </c>
      <c r="C420">
        <v>80</v>
      </c>
      <c r="D420">
        <v>79.951919556000007</v>
      </c>
      <c r="E420">
        <v>50</v>
      </c>
      <c r="F420">
        <v>15.148866653000001</v>
      </c>
      <c r="G420">
        <v>1340.2698975000001</v>
      </c>
      <c r="H420">
        <v>1337.7763672000001</v>
      </c>
      <c r="I420">
        <v>1322.0537108999999</v>
      </c>
      <c r="J420">
        <v>1317.7181396000001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99.223675</v>
      </c>
      <c r="B421" s="1">
        <f>DATE(2010,8,8) + TIME(5,22,5)</f>
        <v>40398.223668981482</v>
      </c>
      <c r="C421">
        <v>80</v>
      </c>
      <c r="D421">
        <v>79.951942443999997</v>
      </c>
      <c r="E421">
        <v>50</v>
      </c>
      <c r="F421">
        <v>15.160013199</v>
      </c>
      <c r="G421">
        <v>1340.2664795000001</v>
      </c>
      <c r="H421">
        <v>1337.7733154</v>
      </c>
      <c r="I421">
        <v>1322.0578613</v>
      </c>
      <c r="J421">
        <v>1317.7203368999999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100.031221</v>
      </c>
      <c r="B422" s="1">
        <f>DATE(2010,8,9) + TIME(0,44,57)</f>
        <v>40399.031215277777</v>
      </c>
      <c r="C422">
        <v>80</v>
      </c>
      <c r="D422">
        <v>79.951995850000003</v>
      </c>
      <c r="E422">
        <v>50</v>
      </c>
      <c r="F422">
        <v>15.177662849000001</v>
      </c>
      <c r="G422">
        <v>1340.2625731999999</v>
      </c>
      <c r="H422">
        <v>1337.7700195</v>
      </c>
      <c r="I422">
        <v>1322.0617675999999</v>
      </c>
      <c r="J422">
        <v>1317.7229004000001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100.840326</v>
      </c>
      <c r="B423" s="1">
        <f>DATE(2010,8,9) + TIME(20,10,4)</f>
        <v>40399.840324074074</v>
      </c>
      <c r="C423">
        <v>80</v>
      </c>
      <c r="D423">
        <v>79.952049255000006</v>
      </c>
      <c r="E423">
        <v>50</v>
      </c>
      <c r="F423">
        <v>15.200831413</v>
      </c>
      <c r="G423">
        <v>1340.2561035000001</v>
      </c>
      <c r="H423">
        <v>1337.7644043</v>
      </c>
      <c r="I423">
        <v>1322.0700684000001</v>
      </c>
      <c r="J423">
        <v>1317.7272949000001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101.664636</v>
      </c>
      <c r="B424" s="1">
        <f>DATE(2010,8,10) + TIME(15,57,4)</f>
        <v>40400.664629629631</v>
      </c>
      <c r="C424">
        <v>80</v>
      </c>
      <c r="D424">
        <v>79.952102660999998</v>
      </c>
      <c r="E424">
        <v>50</v>
      </c>
      <c r="F424">
        <v>15.228859901</v>
      </c>
      <c r="G424">
        <v>1340.2492675999999</v>
      </c>
      <c r="H424">
        <v>1337.7584228999999</v>
      </c>
      <c r="I424">
        <v>1322.0786132999999</v>
      </c>
      <c r="J424">
        <v>1317.7321777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102.084661</v>
      </c>
      <c r="B425" s="1">
        <f>DATE(2010,8,11) + TIME(2,1,54)</f>
        <v>40401.084652777776</v>
      </c>
      <c r="C425">
        <v>80</v>
      </c>
      <c r="D425">
        <v>79.952117920000006</v>
      </c>
      <c r="E425">
        <v>50</v>
      </c>
      <c r="F425">
        <v>15.251243591</v>
      </c>
      <c r="G425">
        <v>1340.2430420000001</v>
      </c>
      <c r="H425">
        <v>1337.7529297000001</v>
      </c>
      <c r="I425">
        <v>1322.0878906</v>
      </c>
      <c r="J425">
        <v>1317.7370605000001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102.885488</v>
      </c>
      <c r="B426" s="1">
        <f>DATE(2010,8,11) + TIME(21,15,6)</f>
        <v>40401.88548611111</v>
      </c>
      <c r="C426">
        <v>80</v>
      </c>
      <c r="D426">
        <v>79.952178954999994</v>
      </c>
      <c r="E426">
        <v>50</v>
      </c>
      <c r="F426">
        <v>15.282904625</v>
      </c>
      <c r="G426">
        <v>1340.2385254000001</v>
      </c>
      <c r="H426">
        <v>1337.7491454999999</v>
      </c>
      <c r="I426">
        <v>1322.0922852000001</v>
      </c>
      <c r="J426">
        <v>1317.7402344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103.30228200000001</v>
      </c>
      <c r="B427" s="1">
        <f>DATE(2010,8,12) + TIME(7,15,17)</f>
        <v>40402.30228009259</v>
      </c>
      <c r="C427">
        <v>80</v>
      </c>
      <c r="D427">
        <v>79.952194214000002</v>
      </c>
      <c r="E427">
        <v>50</v>
      </c>
      <c r="F427">
        <v>15.308914185000001</v>
      </c>
      <c r="G427">
        <v>1340.2326660000001</v>
      </c>
      <c r="H427">
        <v>1337.7438964999999</v>
      </c>
      <c r="I427">
        <v>1322.1014404</v>
      </c>
      <c r="J427">
        <v>1317.7451172000001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104.096566</v>
      </c>
      <c r="B428" s="1">
        <f>DATE(2010,8,13) + TIME(2,19,3)</f>
        <v>40403.096562500003</v>
      </c>
      <c r="C428">
        <v>80</v>
      </c>
      <c r="D428">
        <v>79.952247619999994</v>
      </c>
      <c r="E428">
        <v>50</v>
      </c>
      <c r="F428">
        <v>15.346005440000001</v>
      </c>
      <c r="G428">
        <v>1340.2283935999999</v>
      </c>
      <c r="H428">
        <v>1337.7402344</v>
      </c>
      <c r="I428">
        <v>1322.1058350000001</v>
      </c>
      <c r="J428">
        <v>1317.7486572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104.92726</v>
      </c>
      <c r="B429" s="1">
        <f>DATE(2010,8,13) + TIME(22,15,15)</f>
        <v>40403.927256944444</v>
      </c>
      <c r="C429">
        <v>80</v>
      </c>
      <c r="D429">
        <v>79.952301024999997</v>
      </c>
      <c r="E429">
        <v>50</v>
      </c>
      <c r="F429">
        <v>15.391318321</v>
      </c>
      <c r="G429">
        <v>1340.2219238</v>
      </c>
      <c r="H429">
        <v>1337.7346190999999</v>
      </c>
      <c r="I429">
        <v>1322.1147461</v>
      </c>
      <c r="J429">
        <v>1317.7541504000001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105.763023</v>
      </c>
      <c r="B430" s="1">
        <f>DATE(2010,8,14) + TIME(18,18,45)</f>
        <v>40404.763020833336</v>
      </c>
      <c r="C430">
        <v>80</v>
      </c>
      <c r="D430">
        <v>79.952354431000003</v>
      </c>
      <c r="E430">
        <v>50</v>
      </c>
      <c r="F430">
        <v>15.444482803</v>
      </c>
      <c r="G430">
        <v>1340.2150879000001</v>
      </c>
      <c r="H430">
        <v>1337.7286377</v>
      </c>
      <c r="I430">
        <v>1322.1243896000001</v>
      </c>
      <c r="J430">
        <v>1317.760376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106.183269</v>
      </c>
      <c r="B431" s="1">
        <f>DATE(2010,8,15) + TIME(4,23,54)</f>
        <v>40405.183263888888</v>
      </c>
      <c r="C431">
        <v>80</v>
      </c>
      <c r="D431">
        <v>79.952377318999993</v>
      </c>
      <c r="E431">
        <v>50</v>
      </c>
      <c r="F431">
        <v>15.485983849</v>
      </c>
      <c r="G431">
        <v>1340.2088623</v>
      </c>
      <c r="H431">
        <v>1337.7231445</v>
      </c>
      <c r="I431">
        <v>1322.1352539</v>
      </c>
      <c r="J431">
        <v>1317.7664795000001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107.004436</v>
      </c>
      <c r="B432" s="1">
        <f>DATE(2010,8,16) + TIME(0,6,23)</f>
        <v>40406.004432870373</v>
      </c>
      <c r="C432">
        <v>80</v>
      </c>
      <c r="D432">
        <v>79.952430724999999</v>
      </c>
      <c r="E432">
        <v>50</v>
      </c>
      <c r="F432">
        <v>15.544589043</v>
      </c>
      <c r="G432">
        <v>1340.2045897999999</v>
      </c>
      <c r="H432">
        <v>1337.7193603999999</v>
      </c>
      <c r="I432">
        <v>1322.1392822</v>
      </c>
      <c r="J432">
        <v>1317.7707519999999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107.41864099999999</v>
      </c>
      <c r="B433" s="1">
        <f>DATE(2010,8,16) + TIME(10,2,50)</f>
        <v>40406.418634259258</v>
      </c>
      <c r="C433">
        <v>80</v>
      </c>
      <c r="D433">
        <v>79.952453613000003</v>
      </c>
      <c r="E433">
        <v>50</v>
      </c>
      <c r="F433">
        <v>15.591849327</v>
      </c>
      <c r="G433">
        <v>1340.1986084</v>
      </c>
      <c r="H433">
        <v>1337.7141113</v>
      </c>
      <c r="I433">
        <v>1322.1502685999999</v>
      </c>
      <c r="J433">
        <v>1317.7769774999999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108.22683499999999</v>
      </c>
      <c r="B434" s="1">
        <f>DATE(2010,8,17) + TIME(5,26,38)</f>
        <v>40407.2268287037</v>
      </c>
      <c r="C434">
        <v>80</v>
      </c>
      <c r="D434">
        <v>79.952507018999995</v>
      </c>
      <c r="E434">
        <v>50</v>
      </c>
      <c r="F434">
        <v>15.659162521000001</v>
      </c>
      <c r="G434">
        <v>1340.1943358999999</v>
      </c>
      <c r="H434">
        <v>1337.7103271000001</v>
      </c>
      <c r="I434">
        <v>1322.1541748</v>
      </c>
      <c r="J434">
        <v>1317.7814940999999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109.050006</v>
      </c>
      <c r="B435" s="1">
        <f>DATE(2010,8,18) + TIME(1,12,0)</f>
        <v>40408.050000000003</v>
      </c>
      <c r="C435">
        <v>80</v>
      </c>
      <c r="D435">
        <v>79.952560425000001</v>
      </c>
      <c r="E435">
        <v>50</v>
      </c>
      <c r="F435">
        <v>15.739835739</v>
      </c>
      <c r="G435">
        <v>1340.1879882999999</v>
      </c>
      <c r="H435">
        <v>1337.7047118999999</v>
      </c>
      <c r="I435">
        <v>1322.1639404</v>
      </c>
      <c r="J435">
        <v>1317.7886963000001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109.87642700000001</v>
      </c>
      <c r="B436" s="1">
        <f>DATE(2010,8,18) + TIME(21,2,3)</f>
        <v>40408.876423611109</v>
      </c>
      <c r="C436">
        <v>80</v>
      </c>
      <c r="D436">
        <v>79.952613830999994</v>
      </c>
      <c r="E436">
        <v>50</v>
      </c>
      <c r="F436">
        <v>15.83267498</v>
      </c>
      <c r="G436">
        <v>1340.1813964999999</v>
      </c>
      <c r="H436">
        <v>1337.6988524999999</v>
      </c>
      <c r="I436">
        <v>1322.1741943</v>
      </c>
      <c r="J436">
        <v>1317.7967529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110.708187</v>
      </c>
      <c r="B437" s="1">
        <f>DATE(2010,8,19) + TIME(16,59,47)</f>
        <v>40409.708182870374</v>
      </c>
      <c r="C437">
        <v>80</v>
      </c>
      <c r="D437">
        <v>79.952667235999996</v>
      </c>
      <c r="E437">
        <v>50</v>
      </c>
      <c r="F437">
        <v>15.937580109000001</v>
      </c>
      <c r="G437">
        <v>1340.1746826000001</v>
      </c>
      <c r="H437">
        <v>1337.6928711</v>
      </c>
      <c r="I437">
        <v>1322.1845702999999</v>
      </c>
      <c r="J437">
        <v>1317.8051757999999</v>
      </c>
      <c r="K437">
        <v>2400</v>
      </c>
      <c r="L437">
        <v>0</v>
      </c>
      <c r="M437">
        <v>0</v>
      </c>
      <c r="N437">
        <v>2400</v>
      </c>
    </row>
    <row r="438" spans="1:14" x14ac:dyDescent="0.25">
      <c r="A438">
        <v>111.127903</v>
      </c>
      <c r="B438" s="1">
        <f>DATE(2010,8,20) + TIME(3,4,10)</f>
        <v>40410.127893518518</v>
      </c>
      <c r="C438">
        <v>80</v>
      </c>
      <c r="D438">
        <v>79.952682495000005</v>
      </c>
      <c r="E438">
        <v>50</v>
      </c>
      <c r="F438">
        <v>16.017864227</v>
      </c>
      <c r="G438">
        <v>1340.1685791</v>
      </c>
      <c r="H438">
        <v>1337.6875</v>
      </c>
      <c r="I438">
        <v>1322.1970214999999</v>
      </c>
      <c r="J438">
        <v>1317.8133545000001</v>
      </c>
      <c r="K438">
        <v>2400</v>
      </c>
      <c r="L438">
        <v>0</v>
      </c>
      <c r="M438">
        <v>0</v>
      </c>
      <c r="N438">
        <v>2400</v>
      </c>
    </row>
    <row r="439" spans="1:14" x14ac:dyDescent="0.25">
      <c r="A439">
        <v>111.95061</v>
      </c>
      <c r="B439" s="1">
        <f>DATE(2010,8,20) + TIME(22,48,52)</f>
        <v>40410.950601851851</v>
      </c>
      <c r="C439">
        <v>80</v>
      </c>
      <c r="D439">
        <v>79.952743530000006</v>
      </c>
      <c r="E439">
        <v>50</v>
      </c>
      <c r="F439">
        <v>16.129587173000001</v>
      </c>
      <c r="G439">
        <v>1340.1643065999999</v>
      </c>
      <c r="H439">
        <v>1337.6837158000001</v>
      </c>
      <c r="I439">
        <v>1322.1999512</v>
      </c>
      <c r="J439">
        <v>1317.8193358999999</v>
      </c>
      <c r="K439">
        <v>2400</v>
      </c>
      <c r="L439">
        <v>0</v>
      </c>
      <c r="M439">
        <v>0</v>
      </c>
      <c r="N439">
        <v>2400</v>
      </c>
    </row>
    <row r="440" spans="1:14" x14ac:dyDescent="0.25">
      <c r="A440">
        <v>112.364019</v>
      </c>
      <c r="B440" s="1">
        <f>DATE(2010,8,21) + TIME(8,44,11)</f>
        <v>40411.364016203705</v>
      </c>
      <c r="C440">
        <v>80</v>
      </c>
      <c r="D440">
        <v>79.952758789000001</v>
      </c>
      <c r="E440">
        <v>50</v>
      </c>
      <c r="F440">
        <v>16.218408584999999</v>
      </c>
      <c r="G440">
        <v>1340.1585693</v>
      </c>
      <c r="H440">
        <v>1337.6785889</v>
      </c>
      <c r="I440">
        <v>1322.2125243999999</v>
      </c>
      <c r="J440">
        <v>1317.8278809000001</v>
      </c>
      <c r="K440">
        <v>2400</v>
      </c>
      <c r="L440">
        <v>0</v>
      </c>
      <c r="M440">
        <v>0</v>
      </c>
      <c r="N440">
        <v>2400</v>
      </c>
    </row>
    <row r="441" spans="1:14" x14ac:dyDescent="0.25">
      <c r="A441">
        <v>113.17336299999999</v>
      </c>
      <c r="B441" s="1">
        <f>DATE(2010,8,22) + TIME(4,9,38)</f>
        <v>40412.173356481479</v>
      </c>
      <c r="C441">
        <v>80</v>
      </c>
      <c r="D441">
        <v>79.952819824000002</v>
      </c>
      <c r="E441">
        <v>50</v>
      </c>
      <c r="F441">
        <v>16.343099594000002</v>
      </c>
      <c r="G441">
        <v>1340.1542969</v>
      </c>
      <c r="H441">
        <v>1337.6748047000001</v>
      </c>
      <c r="I441">
        <v>1322.2150879000001</v>
      </c>
      <c r="J441">
        <v>1317.8341064000001</v>
      </c>
      <c r="K441">
        <v>2400</v>
      </c>
      <c r="L441">
        <v>0</v>
      </c>
      <c r="M441">
        <v>0</v>
      </c>
      <c r="N441">
        <v>2400</v>
      </c>
    </row>
    <row r="442" spans="1:14" x14ac:dyDescent="0.25">
      <c r="A442">
        <v>113.99345700000001</v>
      </c>
      <c r="B442" s="1">
        <f>DATE(2010,8,22) + TIME(23,50,34)</f>
        <v>40412.993449074071</v>
      </c>
      <c r="C442">
        <v>80</v>
      </c>
      <c r="D442">
        <v>79.952873229999994</v>
      </c>
      <c r="E442">
        <v>50</v>
      </c>
      <c r="F442">
        <v>16.489940643000001</v>
      </c>
      <c r="G442">
        <v>1340.1480713000001</v>
      </c>
      <c r="H442">
        <v>1337.6691894999999</v>
      </c>
      <c r="I442">
        <v>1322.2253418</v>
      </c>
      <c r="J442">
        <v>1317.8441161999999</v>
      </c>
      <c r="K442">
        <v>2400</v>
      </c>
      <c r="L442">
        <v>0</v>
      </c>
      <c r="M442">
        <v>0</v>
      </c>
      <c r="N442">
        <v>2400</v>
      </c>
    </row>
    <row r="443" spans="1:14" x14ac:dyDescent="0.25">
      <c r="A443">
        <v>114.817117</v>
      </c>
      <c r="B443" s="1">
        <f>DATE(2010,8,23) + TIME(19,36,38)</f>
        <v>40413.817106481481</v>
      </c>
      <c r="C443">
        <v>80</v>
      </c>
      <c r="D443">
        <v>79.952926636000001</v>
      </c>
      <c r="E443">
        <v>50</v>
      </c>
      <c r="F443">
        <v>16.655794144000001</v>
      </c>
      <c r="G443">
        <v>1340.1414795000001</v>
      </c>
      <c r="H443">
        <v>1337.6633300999999</v>
      </c>
      <c r="I443">
        <v>1322.2355957</v>
      </c>
      <c r="J443">
        <v>1317.8549805</v>
      </c>
      <c r="K443">
        <v>2400</v>
      </c>
      <c r="L443">
        <v>0</v>
      </c>
      <c r="M443">
        <v>0</v>
      </c>
      <c r="N443">
        <v>2400</v>
      </c>
    </row>
    <row r="444" spans="1:14" x14ac:dyDescent="0.25">
      <c r="A444">
        <v>115.646477</v>
      </c>
      <c r="B444" s="1">
        <f>DATE(2010,8,24) + TIME(15,30,55)</f>
        <v>40414.646469907406</v>
      </c>
      <c r="C444">
        <v>80</v>
      </c>
      <c r="D444">
        <v>79.952980041999993</v>
      </c>
      <c r="E444">
        <v>50</v>
      </c>
      <c r="F444">
        <v>16.839660644999999</v>
      </c>
      <c r="G444">
        <v>1340.1350098</v>
      </c>
      <c r="H444">
        <v>1337.6573486</v>
      </c>
      <c r="I444">
        <v>1322.2457274999999</v>
      </c>
      <c r="J444">
        <v>1317.8665771000001</v>
      </c>
      <c r="K444">
        <v>2400</v>
      </c>
      <c r="L444">
        <v>0</v>
      </c>
      <c r="M444">
        <v>0</v>
      </c>
      <c r="N444">
        <v>2400</v>
      </c>
    </row>
    <row r="445" spans="1:14" x14ac:dyDescent="0.25">
      <c r="A445">
        <v>116.48357799999999</v>
      </c>
      <c r="B445" s="1">
        <f>DATE(2010,8,25) + TIME(11,36,21)</f>
        <v>40415.483576388891</v>
      </c>
      <c r="C445">
        <v>80</v>
      </c>
      <c r="D445">
        <v>79.953033446999996</v>
      </c>
      <c r="E445">
        <v>50</v>
      </c>
      <c r="F445">
        <v>17.041587830000001</v>
      </c>
      <c r="G445">
        <v>1340.1282959</v>
      </c>
      <c r="H445">
        <v>1337.6513672000001</v>
      </c>
      <c r="I445">
        <v>1322.2556152</v>
      </c>
      <c r="J445">
        <v>1317.8789062000001</v>
      </c>
      <c r="K445">
        <v>2400</v>
      </c>
      <c r="L445">
        <v>0</v>
      </c>
      <c r="M445">
        <v>0</v>
      </c>
      <c r="N445">
        <v>2400</v>
      </c>
    </row>
    <row r="446" spans="1:14" x14ac:dyDescent="0.25">
      <c r="A446">
        <v>116.903925</v>
      </c>
      <c r="B446" s="1">
        <f>DATE(2010,8,25) + TIME(21,41,39)</f>
        <v>40415.903923611113</v>
      </c>
      <c r="C446">
        <v>80</v>
      </c>
      <c r="D446">
        <v>79.953056334999999</v>
      </c>
      <c r="E446">
        <v>50</v>
      </c>
      <c r="F446">
        <v>17.192573546999999</v>
      </c>
      <c r="G446">
        <v>1340.1224365</v>
      </c>
      <c r="H446">
        <v>1337.6461182</v>
      </c>
      <c r="I446">
        <v>1322.2696533000001</v>
      </c>
      <c r="J446">
        <v>1317.8907471</v>
      </c>
      <c r="K446">
        <v>2400</v>
      </c>
      <c r="L446">
        <v>0</v>
      </c>
      <c r="M446">
        <v>0</v>
      </c>
      <c r="N446">
        <v>2400</v>
      </c>
    </row>
    <row r="447" spans="1:14" x14ac:dyDescent="0.25">
      <c r="A447">
        <v>117.711252</v>
      </c>
      <c r="B447" s="1">
        <f>DATE(2010,8,26) + TIME(17,4,12)</f>
        <v>40416.71125</v>
      </c>
      <c r="C447">
        <v>80</v>
      </c>
      <c r="D447">
        <v>79.953109741000006</v>
      </c>
      <c r="E447">
        <v>50</v>
      </c>
      <c r="F447">
        <v>17.395236968999999</v>
      </c>
      <c r="G447">
        <v>1340.1180420000001</v>
      </c>
      <c r="H447">
        <v>1337.6420897999999</v>
      </c>
      <c r="I447">
        <v>1322.2698975000001</v>
      </c>
      <c r="J447">
        <v>1317.8994141000001</v>
      </c>
      <c r="K447">
        <v>2400</v>
      </c>
      <c r="L447">
        <v>0</v>
      </c>
      <c r="M447">
        <v>0</v>
      </c>
      <c r="N447">
        <v>2400</v>
      </c>
    </row>
    <row r="448" spans="1:14" x14ac:dyDescent="0.25">
      <c r="A448">
        <v>118.539249</v>
      </c>
      <c r="B448" s="1">
        <f>DATE(2010,8,27) + TIME(12,56,31)</f>
        <v>40417.539247685185</v>
      </c>
      <c r="C448">
        <v>80</v>
      </c>
      <c r="D448">
        <v>79.953163146999998</v>
      </c>
      <c r="E448">
        <v>50</v>
      </c>
      <c r="F448">
        <v>17.626186370999999</v>
      </c>
      <c r="G448">
        <v>1340.1119385</v>
      </c>
      <c r="H448">
        <v>1337.6364745999999</v>
      </c>
      <c r="I448">
        <v>1322.2792969</v>
      </c>
      <c r="J448">
        <v>1317.9125977000001</v>
      </c>
      <c r="K448">
        <v>2400</v>
      </c>
      <c r="L448">
        <v>0</v>
      </c>
      <c r="M448">
        <v>0</v>
      </c>
      <c r="N448">
        <v>2400</v>
      </c>
    </row>
    <row r="449" spans="1:14" x14ac:dyDescent="0.25">
      <c r="A449">
        <v>119.37030900000001</v>
      </c>
      <c r="B449" s="1">
        <f>DATE(2010,8,28) + TIME(8,53,14)</f>
        <v>40418.370300925926</v>
      </c>
      <c r="C449">
        <v>80</v>
      </c>
      <c r="D449">
        <v>79.953216553000004</v>
      </c>
      <c r="E449">
        <v>50</v>
      </c>
      <c r="F449">
        <v>17.881219863999998</v>
      </c>
      <c r="G449">
        <v>1340.1053466999999</v>
      </c>
      <c r="H449">
        <v>1337.6304932</v>
      </c>
      <c r="I449">
        <v>1322.2888184000001</v>
      </c>
      <c r="J449">
        <v>1317.9270019999999</v>
      </c>
      <c r="K449">
        <v>2400</v>
      </c>
      <c r="L449">
        <v>0</v>
      </c>
      <c r="M449">
        <v>0</v>
      </c>
      <c r="N449">
        <v>2400</v>
      </c>
    </row>
    <row r="450" spans="1:14" x14ac:dyDescent="0.25">
      <c r="A450">
        <v>120.206929</v>
      </c>
      <c r="B450" s="1">
        <f>DATE(2010,8,29) + TIME(4,57,58)</f>
        <v>40419.206921296296</v>
      </c>
      <c r="C450">
        <v>80</v>
      </c>
      <c r="D450">
        <v>79.953277588000006</v>
      </c>
      <c r="E450">
        <v>50</v>
      </c>
      <c r="F450">
        <v>18.157037734999999</v>
      </c>
      <c r="G450">
        <v>1340.0988769999999</v>
      </c>
      <c r="H450">
        <v>1337.6245117000001</v>
      </c>
      <c r="I450">
        <v>1322.2979736</v>
      </c>
      <c r="J450">
        <v>1317.9421387</v>
      </c>
      <c r="K450">
        <v>2400</v>
      </c>
      <c r="L450">
        <v>0</v>
      </c>
      <c r="M450">
        <v>0</v>
      </c>
      <c r="N450">
        <v>2400</v>
      </c>
    </row>
    <row r="451" spans="1:14" x14ac:dyDescent="0.25">
      <c r="A451">
        <v>121.05155999999999</v>
      </c>
      <c r="B451" s="1">
        <f>DATE(2010,8,30) + TIME(1,14,14)</f>
        <v>40420.051550925928</v>
      </c>
      <c r="C451">
        <v>80</v>
      </c>
      <c r="D451">
        <v>79.953330993999998</v>
      </c>
      <c r="E451">
        <v>50</v>
      </c>
      <c r="F451">
        <v>18.452362060999999</v>
      </c>
      <c r="G451">
        <v>1340.0922852000001</v>
      </c>
      <c r="H451">
        <v>1337.6185303</v>
      </c>
      <c r="I451">
        <v>1322.3068848</v>
      </c>
      <c r="J451">
        <v>1317.9582519999999</v>
      </c>
      <c r="K451">
        <v>2400</v>
      </c>
      <c r="L451">
        <v>0</v>
      </c>
      <c r="M451">
        <v>0</v>
      </c>
      <c r="N451">
        <v>2400</v>
      </c>
    </row>
    <row r="452" spans="1:14" x14ac:dyDescent="0.25">
      <c r="A452">
        <v>121.906544</v>
      </c>
      <c r="B452" s="1">
        <f>DATE(2010,8,30) + TIME(21,45,25)</f>
        <v>40420.906539351854</v>
      </c>
      <c r="C452">
        <v>80</v>
      </c>
      <c r="D452">
        <v>79.953384399000001</v>
      </c>
      <c r="E452">
        <v>50</v>
      </c>
      <c r="F452">
        <v>18.767177581999999</v>
      </c>
      <c r="G452">
        <v>1340.0856934000001</v>
      </c>
      <c r="H452">
        <v>1337.6124268000001</v>
      </c>
      <c r="I452">
        <v>1322.3156738</v>
      </c>
      <c r="J452">
        <v>1317.9750977000001</v>
      </c>
      <c r="K452">
        <v>2400</v>
      </c>
      <c r="L452">
        <v>0</v>
      </c>
      <c r="M452">
        <v>0</v>
      </c>
      <c r="N452">
        <v>2400</v>
      </c>
    </row>
    <row r="453" spans="1:14" x14ac:dyDescent="0.25">
      <c r="A453">
        <v>122.767191</v>
      </c>
      <c r="B453" s="1">
        <f>DATE(2010,8,31) + TIME(18,24,45)</f>
        <v>40421.767187500001</v>
      </c>
      <c r="C453">
        <v>80</v>
      </c>
      <c r="D453">
        <v>79.953445435000006</v>
      </c>
      <c r="E453">
        <v>50</v>
      </c>
      <c r="F453">
        <v>19.100955963000001</v>
      </c>
      <c r="G453">
        <v>1340.0789795000001</v>
      </c>
      <c r="H453">
        <v>1337.6062012</v>
      </c>
      <c r="I453">
        <v>1322.3243408000001</v>
      </c>
      <c r="J453">
        <v>1317.9927978999999</v>
      </c>
      <c r="K453">
        <v>2400</v>
      </c>
      <c r="L453">
        <v>0</v>
      </c>
      <c r="M453">
        <v>0</v>
      </c>
      <c r="N453">
        <v>2400</v>
      </c>
    </row>
    <row r="454" spans="1:14" x14ac:dyDescent="0.25">
      <c r="A454">
        <v>123</v>
      </c>
      <c r="B454" s="1">
        <f>DATE(2010,9,1) + TIME(0,0,0)</f>
        <v>40422</v>
      </c>
      <c r="C454">
        <v>80</v>
      </c>
      <c r="D454">
        <v>79.953453064000001</v>
      </c>
      <c r="E454">
        <v>50</v>
      </c>
      <c r="F454">
        <v>19.261419296</v>
      </c>
      <c r="G454">
        <v>1340.0738524999999</v>
      </c>
      <c r="H454">
        <v>1337.6016846</v>
      </c>
      <c r="I454">
        <v>1322.3426514</v>
      </c>
      <c r="J454">
        <v>1318.0075684000001</v>
      </c>
      <c r="K454">
        <v>2400</v>
      </c>
      <c r="L454">
        <v>0</v>
      </c>
      <c r="M454">
        <v>0</v>
      </c>
      <c r="N454">
        <v>2400</v>
      </c>
    </row>
    <row r="455" spans="1:14" x14ac:dyDescent="0.25">
      <c r="A455">
        <v>123.86274</v>
      </c>
      <c r="B455" s="1">
        <f>DATE(2010,9,1) + TIME(20,42,20)</f>
        <v>40422.86273148148</v>
      </c>
      <c r="C455">
        <v>80</v>
      </c>
      <c r="D455">
        <v>79.953514099000003</v>
      </c>
      <c r="E455">
        <v>50</v>
      </c>
      <c r="F455">
        <v>19.580205917000001</v>
      </c>
      <c r="G455">
        <v>1340.0700684000001</v>
      </c>
      <c r="H455">
        <v>1337.5980225000001</v>
      </c>
      <c r="I455">
        <v>1322.3341064000001</v>
      </c>
      <c r="J455">
        <v>1318.0175781</v>
      </c>
      <c r="K455">
        <v>2400</v>
      </c>
      <c r="L455">
        <v>0</v>
      </c>
      <c r="M455">
        <v>0</v>
      </c>
      <c r="N455">
        <v>2400</v>
      </c>
    </row>
    <row r="456" spans="1:14" x14ac:dyDescent="0.25">
      <c r="A456">
        <v>124.73198499999999</v>
      </c>
      <c r="B456" s="1">
        <f>DATE(2010,9,2) + TIME(17,34,3)</f>
        <v>40423.731979166667</v>
      </c>
      <c r="C456">
        <v>80</v>
      </c>
      <c r="D456">
        <v>79.953575134000005</v>
      </c>
      <c r="E456">
        <v>50</v>
      </c>
      <c r="F456">
        <v>19.936809539999999</v>
      </c>
      <c r="G456">
        <v>1340.0635986</v>
      </c>
      <c r="H456">
        <v>1337.5920410000001</v>
      </c>
      <c r="I456">
        <v>1322.3428954999999</v>
      </c>
      <c r="J456">
        <v>1318.036499</v>
      </c>
      <c r="K456">
        <v>2400</v>
      </c>
      <c r="L456">
        <v>0</v>
      </c>
      <c r="M456">
        <v>0</v>
      </c>
      <c r="N456">
        <v>2400</v>
      </c>
    </row>
    <row r="457" spans="1:14" x14ac:dyDescent="0.25">
      <c r="A457">
        <v>125.60411999999999</v>
      </c>
      <c r="B457" s="1">
        <f>DATE(2010,9,3) + TIME(14,29,55)</f>
        <v>40424.604108796295</v>
      </c>
      <c r="C457">
        <v>80</v>
      </c>
      <c r="D457">
        <v>79.953628539999997</v>
      </c>
      <c r="E457">
        <v>50</v>
      </c>
      <c r="F457">
        <v>20.319274902</v>
      </c>
      <c r="G457">
        <v>1340.0570068</v>
      </c>
      <c r="H457">
        <v>1337.5858154</v>
      </c>
      <c r="I457">
        <v>1322.3514404</v>
      </c>
      <c r="J457">
        <v>1318.0566406</v>
      </c>
      <c r="K457">
        <v>2400</v>
      </c>
      <c r="L457">
        <v>0</v>
      </c>
      <c r="M457">
        <v>0</v>
      </c>
      <c r="N457">
        <v>2400</v>
      </c>
    </row>
    <row r="458" spans="1:14" x14ac:dyDescent="0.25">
      <c r="A458">
        <v>126.48125899999999</v>
      </c>
      <c r="B458" s="1">
        <f>DATE(2010,9,4) + TIME(11,33,0)</f>
        <v>40425.481249999997</v>
      </c>
      <c r="C458">
        <v>80</v>
      </c>
      <c r="D458">
        <v>79.953689574999999</v>
      </c>
      <c r="E458">
        <v>50</v>
      </c>
      <c r="F458">
        <v>20.721271515000002</v>
      </c>
      <c r="G458">
        <v>1340.050293</v>
      </c>
      <c r="H458">
        <v>1337.5795897999999</v>
      </c>
      <c r="I458">
        <v>1322.3596190999999</v>
      </c>
      <c r="J458">
        <v>1318.0777588000001</v>
      </c>
      <c r="K458">
        <v>2400</v>
      </c>
      <c r="L458">
        <v>0</v>
      </c>
      <c r="M458">
        <v>0</v>
      </c>
      <c r="N458">
        <v>2400</v>
      </c>
    </row>
    <row r="459" spans="1:14" x14ac:dyDescent="0.25">
      <c r="A459">
        <v>126.920896</v>
      </c>
      <c r="B459" s="1">
        <f>DATE(2010,9,4) + TIME(22,6,5)</f>
        <v>40425.920891203707</v>
      </c>
      <c r="C459">
        <v>80</v>
      </c>
      <c r="D459">
        <v>79.953712463000002</v>
      </c>
      <c r="E459">
        <v>50</v>
      </c>
      <c r="F459">
        <v>21.013744354</v>
      </c>
      <c r="G459">
        <v>1340.0443115</v>
      </c>
      <c r="H459">
        <v>1337.5740966999999</v>
      </c>
      <c r="I459">
        <v>1322.3741454999999</v>
      </c>
      <c r="J459">
        <v>1318.0972899999999</v>
      </c>
      <c r="K459">
        <v>2400</v>
      </c>
      <c r="L459">
        <v>0</v>
      </c>
      <c r="M459">
        <v>0</v>
      </c>
      <c r="N459">
        <v>2400</v>
      </c>
    </row>
    <row r="460" spans="1:14" x14ac:dyDescent="0.25">
      <c r="A460">
        <v>127.78582</v>
      </c>
      <c r="B460" s="1">
        <f>DATE(2010,9,5) + TIME(18,51,34)</f>
        <v>40426.785810185182</v>
      </c>
      <c r="C460">
        <v>80</v>
      </c>
      <c r="D460">
        <v>79.953773498999993</v>
      </c>
      <c r="E460">
        <v>50</v>
      </c>
      <c r="F460">
        <v>21.386451721</v>
      </c>
      <c r="G460">
        <v>1340.0397949000001</v>
      </c>
      <c r="H460">
        <v>1337.5698242000001</v>
      </c>
      <c r="I460">
        <v>1322.3704834</v>
      </c>
      <c r="J460">
        <v>1318.1121826000001</v>
      </c>
      <c r="K460">
        <v>2400</v>
      </c>
      <c r="L460">
        <v>0</v>
      </c>
      <c r="M460">
        <v>0</v>
      </c>
      <c r="N460">
        <v>2400</v>
      </c>
    </row>
    <row r="461" spans="1:14" x14ac:dyDescent="0.25">
      <c r="A461">
        <v>128.65378699999999</v>
      </c>
      <c r="B461" s="1">
        <f>DATE(2010,9,6) + TIME(15,41,27)</f>
        <v>40427.653784722221</v>
      </c>
      <c r="C461">
        <v>80</v>
      </c>
      <c r="D461">
        <v>79.953834533999995</v>
      </c>
      <c r="E461">
        <v>50</v>
      </c>
      <c r="F461">
        <v>21.795408249000001</v>
      </c>
      <c r="G461">
        <v>1340.0334473</v>
      </c>
      <c r="H461">
        <v>1337.5638428</v>
      </c>
      <c r="I461">
        <v>1322.3790283000001</v>
      </c>
      <c r="J461">
        <v>1318.1340332</v>
      </c>
      <c r="K461">
        <v>2400</v>
      </c>
      <c r="L461">
        <v>0</v>
      </c>
      <c r="M461">
        <v>0</v>
      </c>
      <c r="N461">
        <v>2400</v>
      </c>
    </row>
    <row r="462" spans="1:14" x14ac:dyDescent="0.25">
      <c r="A462">
        <v>129.52237700000001</v>
      </c>
      <c r="B462" s="1">
        <f>DATE(2010,9,7) + TIME(12,32,13)</f>
        <v>40428.522372685184</v>
      </c>
      <c r="C462">
        <v>80</v>
      </c>
      <c r="D462">
        <v>79.953887938999998</v>
      </c>
      <c r="E462">
        <v>50</v>
      </c>
      <c r="F462">
        <v>22.224145888999999</v>
      </c>
      <c r="G462">
        <v>1340.0268555</v>
      </c>
      <c r="H462">
        <v>1337.5577393000001</v>
      </c>
      <c r="I462">
        <v>1322.387207</v>
      </c>
      <c r="J462">
        <v>1318.1569824000001</v>
      </c>
      <c r="K462">
        <v>2400</v>
      </c>
      <c r="L462">
        <v>0</v>
      </c>
      <c r="M462">
        <v>0</v>
      </c>
      <c r="N462">
        <v>2400</v>
      </c>
    </row>
    <row r="463" spans="1:14" x14ac:dyDescent="0.25">
      <c r="A463">
        <v>130.393857</v>
      </c>
      <c r="B463" s="1">
        <f>DATE(2010,9,8) + TIME(9,27,9)</f>
        <v>40429.393854166665</v>
      </c>
      <c r="C463">
        <v>80</v>
      </c>
      <c r="D463">
        <v>79.953948975000003</v>
      </c>
      <c r="E463">
        <v>50</v>
      </c>
      <c r="F463">
        <v>22.664911270000001</v>
      </c>
      <c r="G463">
        <v>1340.0203856999999</v>
      </c>
      <c r="H463">
        <v>1337.5516356999999</v>
      </c>
      <c r="I463">
        <v>1322.3952637</v>
      </c>
      <c r="J463">
        <v>1318.1807861</v>
      </c>
      <c r="K463">
        <v>2400</v>
      </c>
      <c r="L463">
        <v>0</v>
      </c>
      <c r="M463">
        <v>0</v>
      </c>
      <c r="N463">
        <v>2400</v>
      </c>
    </row>
    <row r="464" spans="1:14" x14ac:dyDescent="0.25">
      <c r="A464">
        <v>131.27037799999999</v>
      </c>
      <c r="B464" s="1">
        <f>DATE(2010,9,9) + TIME(6,29,20)</f>
        <v>40430.270370370374</v>
      </c>
      <c r="C464">
        <v>80</v>
      </c>
      <c r="D464">
        <v>79.954010010000005</v>
      </c>
      <c r="E464">
        <v>50</v>
      </c>
      <c r="F464">
        <v>23.114084244000001</v>
      </c>
      <c r="G464">
        <v>1340.0137939000001</v>
      </c>
      <c r="H464">
        <v>1337.5454102000001</v>
      </c>
      <c r="I464">
        <v>1322.4033202999999</v>
      </c>
      <c r="J464">
        <v>1318.2053223</v>
      </c>
      <c r="K464">
        <v>2400</v>
      </c>
      <c r="L464">
        <v>0</v>
      </c>
      <c r="M464">
        <v>0</v>
      </c>
      <c r="N464">
        <v>2400</v>
      </c>
    </row>
    <row r="465" spans="1:14" x14ac:dyDescent="0.25">
      <c r="A465">
        <v>132.15409500000001</v>
      </c>
      <c r="B465" s="1">
        <f>DATE(2010,9,10) + TIME(3,41,53)</f>
        <v>40431.154085648152</v>
      </c>
      <c r="C465">
        <v>80</v>
      </c>
      <c r="D465">
        <v>79.954063415999997</v>
      </c>
      <c r="E465">
        <v>50</v>
      </c>
      <c r="F465">
        <v>23.569816588999998</v>
      </c>
      <c r="G465">
        <v>1340.0072021000001</v>
      </c>
      <c r="H465">
        <v>1337.5391846</v>
      </c>
      <c r="I465">
        <v>1322.4116211</v>
      </c>
      <c r="J465">
        <v>1318.2304687999999</v>
      </c>
      <c r="K465">
        <v>2400</v>
      </c>
      <c r="L465">
        <v>0</v>
      </c>
      <c r="M465">
        <v>0</v>
      </c>
      <c r="N465">
        <v>2400</v>
      </c>
    </row>
    <row r="466" spans="1:14" x14ac:dyDescent="0.25">
      <c r="A466">
        <v>132.600469</v>
      </c>
      <c r="B466" s="1">
        <f>DATE(2010,9,10) + TIME(14,24,40)</f>
        <v>40431.600462962961</v>
      </c>
      <c r="C466">
        <v>80</v>
      </c>
      <c r="D466">
        <v>79.954093932999996</v>
      </c>
      <c r="E466">
        <v>50</v>
      </c>
      <c r="F466">
        <v>23.896371841000001</v>
      </c>
      <c r="G466">
        <v>1340.0013428</v>
      </c>
      <c r="H466">
        <v>1337.5338135</v>
      </c>
      <c r="I466">
        <v>1322.4265137</v>
      </c>
      <c r="J466">
        <v>1318.2536620999999</v>
      </c>
      <c r="K466">
        <v>2400</v>
      </c>
      <c r="L466">
        <v>0</v>
      </c>
      <c r="M466">
        <v>0</v>
      </c>
      <c r="N466">
        <v>2400</v>
      </c>
    </row>
    <row r="467" spans="1:14" x14ac:dyDescent="0.25">
      <c r="A467">
        <v>133.46442099999999</v>
      </c>
      <c r="B467" s="1">
        <f>DATE(2010,9,11) + TIME(11,8,45)</f>
        <v>40432.464409722219</v>
      </c>
      <c r="C467">
        <v>80</v>
      </c>
      <c r="D467">
        <v>79.954154967999997</v>
      </c>
      <c r="E467">
        <v>50</v>
      </c>
      <c r="F467">
        <v>24.296264648000001</v>
      </c>
      <c r="G467">
        <v>1339.9969481999999</v>
      </c>
      <c r="H467">
        <v>1337.5296631000001</v>
      </c>
      <c r="I467">
        <v>1322.4235839999999</v>
      </c>
      <c r="J467">
        <v>1318.2712402</v>
      </c>
      <c r="K467">
        <v>2400</v>
      </c>
      <c r="L467">
        <v>0</v>
      </c>
      <c r="M467">
        <v>0</v>
      </c>
      <c r="N467">
        <v>2400</v>
      </c>
    </row>
    <row r="468" spans="1:14" x14ac:dyDescent="0.25">
      <c r="A468">
        <v>134.346124</v>
      </c>
      <c r="B468" s="1">
        <f>DATE(2010,9,12) + TIME(8,18,25)</f>
        <v>40433.346122685187</v>
      </c>
      <c r="C468">
        <v>80</v>
      </c>
      <c r="D468">
        <v>79.954216002999999</v>
      </c>
      <c r="E468">
        <v>50</v>
      </c>
      <c r="F468">
        <v>24.727935791</v>
      </c>
      <c r="G468">
        <v>1339.9908447</v>
      </c>
      <c r="H468">
        <v>1337.5238036999999</v>
      </c>
      <c r="I468">
        <v>1322.4328613</v>
      </c>
      <c r="J468">
        <v>1318.2963867000001</v>
      </c>
      <c r="K468">
        <v>2400</v>
      </c>
      <c r="L468">
        <v>0</v>
      </c>
      <c r="M468">
        <v>0</v>
      </c>
      <c r="N468">
        <v>2400</v>
      </c>
    </row>
    <row r="469" spans="1:14" x14ac:dyDescent="0.25">
      <c r="A469">
        <v>135.232136</v>
      </c>
      <c r="B469" s="1">
        <f>DATE(2010,9,13) + TIME(5,34,16)</f>
        <v>40434.232129629629</v>
      </c>
      <c r="C469">
        <v>80</v>
      </c>
      <c r="D469">
        <v>79.954269409000005</v>
      </c>
      <c r="E469">
        <v>50</v>
      </c>
      <c r="F469">
        <v>25.174432755000002</v>
      </c>
      <c r="G469">
        <v>1339.984375</v>
      </c>
      <c r="H469">
        <v>1337.5178223</v>
      </c>
      <c r="I469">
        <v>1322.4425048999999</v>
      </c>
      <c r="J469">
        <v>1318.3229980000001</v>
      </c>
      <c r="K469">
        <v>2400</v>
      </c>
      <c r="L469">
        <v>0</v>
      </c>
      <c r="M469">
        <v>0</v>
      </c>
      <c r="N469">
        <v>2400</v>
      </c>
    </row>
    <row r="470" spans="1:14" x14ac:dyDescent="0.25">
      <c r="A470">
        <v>136.12493000000001</v>
      </c>
      <c r="B470" s="1">
        <f>DATE(2010,9,14) + TIME(2,59,53)</f>
        <v>40435.124918981484</v>
      </c>
      <c r="C470">
        <v>80</v>
      </c>
      <c r="D470">
        <v>79.954330443999993</v>
      </c>
      <c r="E470">
        <v>50</v>
      </c>
      <c r="F470">
        <v>25.627347946</v>
      </c>
      <c r="G470">
        <v>1339.9779053</v>
      </c>
      <c r="H470">
        <v>1337.5117187999999</v>
      </c>
      <c r="I470">
        <v>1322.4522704999999</v>
      </c>
      <c r="J470">
        <v>1318.3504639</v>
      </c>
      <c r="K470">
        <v>2400</v>
      </c>
      <c r="L470">
        <v>0</v>
      </c>
      <c r="M470">
        <v>0</v>
      </c>
      <c r="N470">
        <v>2400</v>
      </c>
    </row>
    <row r="471" spans="1:14" x14ac:dyDescent="0.25">
      <c r="A471">
        <v>137.02697599999999</v>
      </c>
      <c r="B471" s="1">
        <f>DATE(2010,9,15) + TIME(0,38,50)</f>
        <v>40436.026967592596</v>
      </c>
      <c r="C471">
        <v>80</v>
      </c>
      <c r="D471">
        <v>79.954391478999995</v>
      </c>
      <c r="E471">
        <v>50</v>
      </c>
      <c r="F471">
        <v>26.083242416000001</v>
      </c>
      <c r="G471">
        <v>1339.9714355000001</v>
      </c>
      <c r="H471">
        <v>1337.5056152</v>
      </c>
      <c r="I471">
        <v>1322.4624022999999</v>
      </c>
      <c r="J471">
        <v>1318.3785399999999</v>
      </c>
      <c r="K471">
        <v>2400</v>
      </c>
      <c r="L471">
        <v>0</v>
      </c>
      <c r="M471">
        <v>0</v>
      </c>
      <c r="N471">
        <v>2400</v>
      </c>
    </row>
    <row r="472" spans="1:14" x14ac:dyDescent="0.25">
      <c r="A472">
        <v>137.94070500000001</v>
      </c>
      <c r="B472" s="1">
        <f>DATE(2010,9,15) + TIME(22,34,36)</f>
        <v>40436.940694444442</v>
      </c>
      <c r="C472">
        <v>80</v>
      </c>
      <c r="D472">
        <v>79.954452515</v>
      </c>
      <c r="E472">
        <v>50</v>
      </c>
      <c r="F472">
        <v>26.541124344</v>
      </c>
      <c r="G472">
        <v>1339.9648437999999</v>
      </c>
      <c r="H472">
        <v>1337.4995117000001</v>
      </c>
      <c r="I472">
        <v>1322.4729004000001</v>
      </c>
      <c r="J472">
        <v>1318.4074707</v>
      </c>
      <c r="K472">
        <v>2400</v>
      </c>
      <c r="L472">
        <v>0</v>
      </c>
      <c r="M472">
        <v>0</v>
      </c>
      <c r="N472">
        <v>2400</v>
      </c>
    </row>
    <row r="473" spans="1:14" x14ac:dyDescent="0.25">
      <c r="A473">
        <v>138.86880300000001</v>
      </c>
      <c r="B473" s="1">
        <f>DATE(2010,9,16) + TIME(20,51,4)</f>
        <v>40437.868796296294</v>
      </c>
      <c r="C473">
        <v>80</v>
      </c>
      <c r="D473">
        <v>79.954513550000001</v>
      </c>
      <c r="E473">
        <v>50</v>
      </c>
      <c r="F473">
        <v>27.001049041999998</v>
      </c>
      <c r="G473">
        <v>1339.958374</v>
      </c>
      <c r="H473">
        <v>1337.4932861</v>
      </c>
      <c r="I473">
        <v>1322.4840088000001</v>
      </c>
      <c r="J473">
        <v>1318.4371338000001</v>
      </c>
      <c r="K473">
        <v>2400</v>
      </c>
      <c r="L473">
        <v>0</v>
      </c>
      <c r="M473">
        <v>0</v>
      </c>
      <c r="N473">
        <v>2400</v>
      </c>
    </row>
    <row r="474" spans="1:14" x14ac:dyDescent="0.25">
      <c r="A474">
        <v>139.807669</v>
      </c>
      <c r="B474" s="1">
        <f>DATE(2010,9,17) + TIME(19,23,2)</f>
        <v>40438.807662037034</v>
      </c>
      <c r="C474">
        <v>80</v>
      </c>
      <c r="D474">
        <v>79.954574585000003</v>
      </c>
      <c r="E474">
        <v>50</v>
      </c>
      <c r="F474">
        <v>27.462341308999999</v>
      </c>
      <c r="G474">
        <v>1339.9517822</v>
      </c>
      <c r="H474">
        <v>1337.4870605000001</v>
      </c>
      <c r="I474">
        <v>1322.4957274999999</v>
      </c>
      <c r="J474">
        <v>1318.4675293</v>
      </c>
      <c r="K474">
        <v>2400</v>
      </c>
      <c r="L474">
        <v>0</v>
      </c>
      <c r="M474">
        <v>0</v>
      </c>
      <c r="N474">
        <v>2400</v>
      </c>
    </row>
    <row r="475" spans="1:14" x14ac:dyDescent="0.25">
      <c r="A475">
        <v>140.75426899999999</v>
      </c>
      <c r="B475" s="1">
        <f>DATE(2010,9,18) + TIME(18,6,8)</f>
        <v>40439.754259259258</v>
      </c>
      <c r="C475">
        <v>80</v>
      </c>
      <c r="D475">
        <v>79.954635620000005</v>
      </c>
      <c r="E475">
        <v>50</v>
      </c>
      <c r="F475">
        <v>27.923440932999998</v>
      </c>
      <c r="G475">
        <v>1339.9450684000001</v>
      </c>
      <c r="H475">
        <v>1337.4808350000001</v>
      </c>
      <c r="I475">
        <v>1322.5079346</v>
      </c>
      <c r="J475">
        <v>1318.4987793</v>
      </c>
      <c r="K475">
        <v>2400</v>
      </c>
      <c r="L475">
        <v>0</v>
      </c>
      <c r="M475">
        <v>0</v>
      </c>
      <c r="N475">
        <v>2400</v>
      </c>
    </row>
    <row r="476" spans="1:14" x14ac:dyDescent="0.25">
      <c r="A476">
        <v>141.71225000000001</v>
      </c>
      <c r="B476" s="1">
        <f>DATE(2010,9,19) + TIME(17,5,38)</f>
        <v>40440.712245370371</v>
      </c>
      <c r="C476">
        <v>80</v>
      </c>
      <c r="D476">
        <v>79.954696655000006</v>
      </c>
      <c r="E476">
        <v>50</v>
      </c>
      <c r="F476">
        <v>28.383720398000001</v>
      </c>
      <c r="G476">
        <v>1339.9384766000001</v>
      </c>
      <c r="H476">
        <v>1337.4746094</v>
      </c>
      <c r="I476">
        <v>1322.5207519999999</v>
      </c>
      <c r="J476">
        <v>1318.5305175999999</v>
      </c>
      <c r="K476">
        <v>2400</v>
      </c>
      <c r="L476">
        <v>0</v>
      </c>
      <c r="M476">
        <v>0</v>
      </c>
      <c r="N476">
        <v>2400</v>
      </c>
    </row>
    <row r="477" spans="1:14" x14ac:dyDescent="0.25">
      <c r="A477">
        <v>142.68544600000001</v>
      </c>
      <c r="B477" s="1">
        <f>DATE(2010,9,20) + TIME(16,27,2)</f>
        <v>40441.685439814813</v>
      </c>
      <c r="C477">
        <v>80</v>
      </c>
      <c r="D477">
        <v>79.954757689999994</v>
      </c>
      <c r="E477">
        <v>50</v>
      </c>
      <c r="F477">
        <v>28.843873978000001</v>
      </c>
      <c r="G477">
        <v>1339.9317627</v>
      </c>
      <c r="H477">
        <v>1337.4683838000001</v>
      </c>
      <c r="I477">
        <v>1322.5340576000001</v>
      </c>
      <c r="J477">
        <v>1318.5631103999999</v>
      </c>
      <c r="K477">
        <v>2400</v>
      </c>
      <c r="L477">
        <v>0</v>
      </c>
      <c r="M477">
        <v>0</v>
      </c>
      <c r="N477">
        <v>2400</v>
      </c>
    </row>
    <row r="478" spans="1:14" x14ac:dyDescent="0.25">
      <c r="A478">
        <v>143.677661</v>
      </c>
      <c r="B478" s="1">
        <f>DATE(2010,9,21) + TIME(16,15,49)</f>
        <v>40442.67765046296</v>
      </c>
      <c r="C478">
        <v>80</v>
      </c>
      <c r="D478">
        <v>79.954818725999999</v>
      </c>
      <c r="E478">
        <v>50</v>
      </c>
      <c r="F478">
        <v>29.304916381999998</v>
      </c>
      <c r="G478">
        <v>1339.9250488</v>
      </c>
      <c r="H478">
        <v>1337.4621582</v>
      </c>
      <c r="I478">
        <v>1322.5479736</v>
      </c>
      <c r="J478">
        <v>1318.5964355000001</v>
      </c>
      <c r="K478">
        <v>2400</v>
      </c>
      <c r="L478">
        <v>0</v>
      </c>
      <c r="M478">
        <v>0</v>
      </c>
      <c r="N478">
        <v>2400</v>
      </c>
    </row>
    <row r="479" spans="1:14" x14ac:dyDescent="0.25">
      <c r="A479">
        <v>144.693927</v>
      </c>
      <c r="B479" s="1">
        <f>DATE(2010,9,22) + TIME(16,39,15)</f>
        <v>40443.693923611114</v>
      </c>
      <c r="C479">
        <v>80</v>
      </c>
      <c r="D479">
        <v>79.954887389999996</v>
      </c>
      <c r="E479">
        <v>50</v>
      </c>
      <c r="F479">
        <v>29.768136978000001</v>
      </c>
      <c r="G479">
        <v>1339.9182129000001</v>
      </c>
      <c r="H479">
        <v>1337.4556885</v>
      </c>
      <c r="I479">
        <v>1322.5625</v>
      </c>
      <c r="J479">
        <v>1318.6306152</v>
      </c>
      <c r="K479">
        <v>2400</v>
      </c>
      <c r="L479">
        <v>0</v>
      </c>
      <c r="M479">
        <v>0</v>
      </c>
      <c r="N479">
        <v>2400</v>
      </c>
    </row>
    <row r="480" spans="1:14" x14ac:dyDescent="0.25">
      <c r="A480">
        <v>145.73847499999999</v>
      </c>
      <c r="B480" s="1">
        <f>DATE(2010,9,23) + TIME(17,43,24)</f>
        <v>40444.73847222222</v>
      </c>
      <c r="C480">
        <v>80</v>
      </c>
      <c r="D480">
        <v>79.954956054999997</v>
      </c>
      <c r="E480">
        <v>50</v>
      </c>
      <c r="F480">
        <v>30.234973907000001</v>
      </c>
      <c r="G480">
        <v>1339.9113769999999</v>
      </c>
      <c r="H480">
        <v>1337.4493408000001</v>
      </c>
      <c r="I480">
        <v>1322.5778809000001</v>
      </c>
      <c r="J480">
        <v>1318.6658935999999</v>
      </c>
      <c r="K480">
        <v>2400</v>
      </c>
      <c r="L480">
        <v>0</v>
      </c>
      <c r="M480">
        <v>0</v>
      </c>
      <c r="N480">
        <v>2400</v>
      </c>
    </row>
    <row r="481" spans="1:14" x14ac:dyDescent="0.25">
      <c r="A481">
        <v>146.81402399999999</v>
      </c>
      <c r="B481" s="1">
        <f>DATE(2010,9,24) + TIME(19,32,11)</f>
        <v>40445.814016203702</v>
      </c>
      <c r="C481">
        <v>80</v>
      </c>
      <c r="D481">
        <v>79.955024718999994</v>
      </c>
      <c r="E481">
        <v>50</v>
      </c>
      <c r="F481">
        <v>30.706474304</v>
      </c>
      <c r="G481">
        <v>1339.9042969</v>
      </c>
      <c r="H481">
        <v>1337.442749</v>
      </c>
      <c r="I481">
        <v>1322.5939940999999</v>
      </c>
      <c r="J481">
        <v>1318.7022704999999</v>
      </c>
      <c r="K481">
        <v>2400</v>
      </c>
      <c r="L481">
        <v>0</v>
      </c>
      <c r="M481">
        <v>0</v>
      </c>
      <c r="N481">
        <v>2400</v>
      </c>
    </row>
    <row r="482" spans="1:14" x14ac:dyDescent="0.25">
      <c r="A482">
        <v>147.89067600000001</v>
      </c>
      <c r="B482" s="1">
        <f>DATE(2010,9,25) + TIME(21,22,34)</f>
        <v>40446.8906712963</v>
      </c>
      <c r="C482">
        <v>80</v>
      </c>
      <c r="D482">
        <v>79.955085753999995</v>
      </c>
      <c r="E482">
        <v>50</v>
      </c>
      <c r="F482">
        <v>31.178287506</v>
      </c>
      <c r="G482">
        <v>1339.8972168</v>
      </c>
      <c r="H482">
        <v>1337.4361572</v>
      </c>
      <c r="I482">
        <v>1322.6112060999999</v>
      </c>
      <c r="J482">
        <v>1318.7397461</v>
      </c>
      <c r="K482">
        <v>2400</v>
      </c>
      <c r="L482">
        <v>0</v>
      </c>
      <c r="M482">
        <v>0</v>
      </c>
      <c r="N482">
        <v>2400</v>
      </c>
    </row>
    <row r="483" spans="1:14" x14ac:dyDescent="0.25">
      <c r="A483">
        <v>148.96964700000001</v>
      </c>
      <c r="B483" s="1">
        <f>DATE(2010,9,26) + TIME(23,16,17)</f>
        <v>40447.969641203701</v>
      </c>
      <c r="C483">
        <v>80</v>
      </c>
      <c r="D483">
        <v>79.955154418999996</v>
      </c>
      <c r="E483">
        <v>50</v>
      </c>
      <c r="F483">
        <v>31.644895554000001</v>
      </c>
      <c r="G483">
        <v>1339.8901367000001</v>
      </c>
      <c r="H483">
        <v>1337.4295654</v>
      </c>
      <c r="I483">
        <v>1322.6287841999999</v>
      </c>
      <c r="J483">
        <v>1318.7775879000001</v>
      </c>
      <c r="K483">
        <v>2400</v>
      </c>
      <c r="L483">
        <v>0</v>
      </c>
      <c r="M483">
        <v>0</v>
      </c>
      <c r="N483">
        <v>2400</v>
      </c>
    </row>
    <row r="484" spans="1:14" x14ac:dyDescent="0.25">
      <c r="A484">
        <v>150.054146</v>
      </c>
      <c r="B484" s="1">
        <f>DATE(2010,9,28) + TIME(1,17,58)</f>
        <v>40449.054143518515</v>
      </c>
      <c r="C484">
        <v>80</v>
      </c>
      <c r="D484">
        <v>79.955223083000007</v>
      </c>
      <c r="E484">
        <v>50</v>
      </c>
      <c r="F484">
        <v>32.104999542000002</v>
      </c>
      <c r="G484">
        <v>1339.8830565999999</v>
      </c>
      <c r="H484">
        <v>1337.4229736</v>
      </c>
      <c r="I484">
        <v>1322.6467285000001</v>
      </c>
      <c r="J484">
        <v>1318.8156738</v>
      </c>
      <c r="K484">
        <v>2400</v>
      </c>
      <c r="L484">
        <v>0</v>
      </c>
      <c r="M484">
        <v>0</v>
      </c>
      <c r="N484">
        <v>2400</v>
      </c>
    </row>
    <row r="485" spans="1:14" x14ac:dyDescent="0.25">
      <c r="A485">
        <v>151.14737700000001</v>
      </c>
      <c r="B485" s="1">
        <f>DATE(2010,9,29) + TIME(3,32,13)</f>
        <v>40450.147372685184</v>
      </c>
      <c r="C485">
        <v>80</v>
      </c>
      <c r="D485">
        <v>79.955291747999993</v>
      </c>
      <c r="E485">
        <v>50</v>
      </c>
      <c r="F485">
        <v>32.558971405000001</v>
      </c>
      <c r="G485">
        <v>1339.8760986</v>
      </c>
      <c r="H485">
        <v>1337.4165039</v>
      </c>
      <c r="I485">
        <v>1322.6651611</v>
      </c>
      <c r="J485">
        <v>1318.854126</v>
      </c>
      <c r="K485">
        <v>2400</v>
      </c>
      <c r="L485">
        <v>0</v>
      </c>
      <c r="M485">
        <v>0</v>
      </c>
      <c r="N485">
        <v>2400</v>
      </c>
    </row>
    <row r="486" spans="1:14" x14ac:dyDescent="0.25">
      <c r="A486">
        <v>152.25296299999999</v>
      </c>
      <c r="B486" s="1">
        <f>DATE(2010,9,30) + TIME(6,4,16)</f>
        <v>40451.252962962964</v>
      </c>
      <c r="C486">
        <v>80</v>
      </c>
      <c r="D486">
        <v>79.955360412999994</v>
      </c>
      <c r="E486">
        <v>50</v>
      </c>
      <c r="F486">
        <v>33.007804870999998</v>
      </c>
      <c r="G486">
        <v>1339.8690185999999</v>
      </c>
      <c r="H486">
        <v>1337.4101562000001</v>
      </c>
      <c r="I486">
        <v>1322.684082</v>
      </c>
      <c r="J486">
        <v>1318.8929443</v>
      </c>
      <c r="K486">
        <v>2400</v>
      </c>
      <c r="L486">
        <v>0</v>
      </c>
      <c r="M486">
        <v>0</v>
      </c>
      <c r="N486">
        <v>2400</v>
      </c>
    </row>
    <row r="487" spans="1:14" x14ac:dyDescent="0.25">
      <c r="A487">
        <v>153</v>
      </c>
      <c r="B487" s="1">
        <f>DATE(2010,10,1) + TIME(0,0,0)</f>
        <v>40452</v>
      </c>
      <c r="C487">
        <v>80</v>
      </c>
      <c r="D487">
        <v>79.955398560000006</v>
      </c>
      <c r="E487">
        <v>50</v>
      </c>
      <c r="F487">
        <v>33.389305114999999</v>
      </c>
      <c r="G487">
        <v>1339.8624268000001</v>
      </c>
      <c r="H487">
        <v>1337.4040527</v>
      </c>
      <c r="I487">
        <v>1322.7055664</v>
      </c>
      <c r="J487">
        <v>1318.9302978999999</v>
      </c>
      <c r="K487">
        <v>2400</v>
      </c>
      <c r="L487">
        <v>0</v>
      </c>
      <c r="M487">
        <v>0</v>
      </c>
      <c r="N487">
        <v>2400</v>
      </c>
    </row>
    <row r="488" spans="1:14" x14ac:dyDescent="0.25">
      <c r="A488">
        <v>154.113812</v>
      </c>
      <c r="B488" s="1">
        <f>DATE(2010,10,2) + TIME(2,43,53)</f>
        <v>40453.113807870373</v>
      </c>
      <c r="C488">
        <v>80</v>
      </c>
      <c r="D488">
        <v>79.955474854000002</v>
      </c>
      <c r="E488">
        <v>50</v>
      </c>
      <c r="F488">
        <v>33.772918701000002</v>
      </c>
      <c r="G488">
        <v>1339.8571777</v>
      </c>
      <c r="H488">
        <v>1337.3991699000001</v>
      </c>
      <c r="I488">
        <v>1322.7172852000001</v>
      </c>
      <c r="J488">
        <v>1318.9613036999999</v>
      </c>
      <c r="K488">
        <v>2400</v>
      </c>
      <c r="L488">
        <v>0</v>
      </c>
      <c r="M488">
        <v>0</v>
      </c>
      <c r="N488">
        <v>2400</v>
      </c>
    </row>
    <row r="489" spans="1:14" x14ac:dyDescent="0.25">
      <c r="A489">
        <v>155.23639800000001</v>
      </c>
      <c r="B489" s="1">
        <f>DATE(2010,10,3) + TIME(5,40,24)</f>
        <v>40454.236388888887</v>
      </c>
      <c r="C489">
        <v>80</v>
      </c>
      <c r="D489">
        <v>79.955543517999999</v>
      </c>
      <c r="E489">
        <v>50</v>
      </c>
      <c r="F489">
        <v>34.187191009999999</v>
      </c>
      <c r="G489">
        <v>1339.8503418</v>
      </c>
      <c r="H489">
        <v>1337.3929443</v>
      </c>
      <c r="I489">
        <v>1322.7373047000001</v>
      </c>
      <c r="J489">
        <v>1318.9992675999999</v>
      </c>
      <c r="K489">
        <v>2400</v>
      </c>
      <c r="L489">
        <v>0</v>
      </c>
      <c r="M489">
        <v>0</v>
      </c>
      <c r="N489">
        <v>2400</v>
      </c>
    </row>
    <row r="490" spans="1:14" x14ac:dyDescent="0.25">
      <c r="A490">
        <v>156.36894599999999</v>
      </c>
      <c r="B490" s="1">
        <f>DATE(2010,10,4) + TIME(8,51,16)</f>
        <v>40455.368935185186</v>
      </c>
      <c r="C490">
        <v>80</v>
      </c>
      <c r="D490">
        <v>79.955604553000001</v>
      </c>
      <c r="E490">
        <v>50</v>
      </c>
      <c r="F490">
        <v>34.608146667</v>
      </c>
      <c r="G490">
        <v>1339.8435059000001</v>
      </c>
      <c r="H490">
        <v>1337.3865966999999</v>
      </c>
      <c r="I490">
        <v>1322.7579346</v>
      </c>
      <c r="J490">
        <v>1319.0386963000001</v>
      </c>
      <c r="K490">
        <v>2400</v>
      </c>
      <c r="L490">
        <v>0</v>
      </c>
      <c r="M490">
        <v>0</v>
      </c>
      <c r="N490">
        <v>2400</v>
      </c>
    </row>
    <row r="491" spans="1:14" x14ac:dyDescent="0.25">
      <c r="A491">
        <v>157.51580100000001</v>
      </c>
      <c r="B491" s="1">
        <f>DATE(2010,10,5) + TIME(12,22,45)</f>
        <v>40456.515798611108</v>
      </c>
      <c r="C491">
        <v>80</v>
      </c>
      <c r="D491">
        <v>79.955673218000001</v>
      </c>
      <c r="E491">
        <v>50</v>
      </c>
      <c r="F491">
        <v>35.028438567999999</v>
      </c>
      <c r="G491">
        <v>1339.8366699000001</v>
      </c>
      <c r="H491">
        <v>1337.3803711</v>
      </c>
      <c r="I491">
        <v>1322.7790527</v>
      </c>
      <c r="J491">
        <v>1319.0788574000001</v>
      </c>
      <c r="K491">
        <v>2400</v>
      </c>
      <c r="L491">
        <v>0</v>
      </c>
      <c r="M491">
        <v>0</v>
      </c>
      <c r="N491">
        <v>2400</v>
      </c>
    </row>
    <row r="492" spans="1:14" x14ac:dyDescent="0.25">
      <c r="A492">
        <v>158.68084200000001</v>
      </c>
      <c r="B492" s="1">
        <f>DATE(2010,10,6) + TIME(16,20,24)</f>
        <v>40457.680833333332</v>
      </c>
      <c r="C492">
        <v>80</v>
      </c>
      <c r="D492">
        <v>79.955741881999998</v>
      </c>
      <c r="E492">
        <v>50</v>
      </c>
      <c r="F492">
        <v>35.446556090999998</v>
      </c>
      <c r="G492">
        <v>1339.8297118999999</v>
      </c>
      <c r="H492">
        <v>1337.3740233999999</v>
      </c>
      <c r="I492">
        <v>1322.8006591999999</v>
      </c>
      <c r="J492">
        <v>1319.1196289</v>
      </c>
      <c r="K492">
        <v>2400</v>
      </c>
      <c r="L492">
        <v>0</v>
      </c>
      <c r="M492">
        <v>0</v>
      </c>
      <c r="N492">
        <v>2400</v>
      </c>
    </row>
    <row r="493" spans="1:14" x14ac:dyDescent="0.25">
      <c r="A493">
        <v>159.86941400000001</v>
      </c>
      <c r="B493" s="1">
        <f>DATE(2010,10,7) + TIME(20,51,57)</f>
        <v>40458.869409722225</v>
      </c>
      <c r="C493">
        <v>80</v>
      </c>
      <c r="D493">
        <v>79.955818175999994</v>
      </c>
      <c r="E493">
        <v>50</v>
      </c>
      <c r="F493">
        <v>35.862747192</v>
      </c>
      <c r="G493">
        <v>1339.8227539</v>
      </c>
      <c r="H493">
        <v>1337.3677978999999</v>
      </c>
      <c r="I493">
        <v>1322.8227539</v>
      </c>
      <c r="J493">
        <v>1319.1610106999999</v>
      </c>
      <c r="K493">
        <v>2400</v>
      </c>
      <c r="L493">
        <v>0</v>
      </c>
      <c r="M493">
        <v>0</v>
      </c>
      <c r="N493">
        <v>2400</v>
      </c>
    </row>
    <row r="494" spans="1:14" x14ac:dyDescent="0.25">
      <c r="A494">
        <v>161.078507</v>
      </c>
      <c r="B494" s="1">
        <f>DATE(2010,10,9) + TIME(1,53,2)</f>
        <v>40460.07849537037</v>
      </c>
      <c r="C494">
        <v>80</v>
      </c>
      <c r="D494">
        <v>79.955886840999995</v>
      </c>
      <c r="E494">
        <v>50</v>
      </c>
      <c r="F494">
        <v>36.277305603000002</v>
      </c>
      <c r="G494">
        <v>1339.8157959</v>
      </c>
      <c r="H494">
        <v>1337.3614502</v>
      </c>
      <c r="I494">
        <v>1322.8457031</v>
      </c>
      <c r="J494">
        <v>1319.2030029</v>
      </c>
      <c r="K494">
        <v>2400</v>
      </c>
      <c r="L494">
        <v>0</v>
      </c>
      <c r="M494">
        <v>0</v>
      </c>
      <c r="N494">
        <v>2400</v>
      </c>
    </row>
    <row r="495" spans="1:14" x14ac:dyDescent="0.25">
      <c r="A495">
        <v>162.30528799999999</v>
      </c>
      <c r="B495" s="1">
        <f>DATE(2010,10,10) + TIME(7,19,36)</f>
        <v>40461.305277777778</v>
      </c>
      <c r="C495">
        <v>80</v>
      </c>
      <c r="D495">
        <v>79.955955505000006</v>
      </c>
      <c r="E495">
        <v>50</v>
      </c>
      <c r="F495">
        <v>36.689434052000003</v>
      </c>
      <c r="G495">
        <v>1339.8087158000001</v>
      </c>
      <c r="H495">
        <v>1337.3551024999999</v>
      </c>
      <c r="I495">
        <v>1322.8691406</v>
      </c>
      <c r="J495">
        <v>1319.2457274999999</v>
      </c>
      <c r="K495">
        <v>2400</v>
      </c>
      <c r="L495">
        <v>0</v>
      </c>
      <c r="M495">
        <v>0</v>
      </c>
      <c r="N495">
        <v>2400</v>
      </c>
    </row>
    <row r="496" spans="1:14" x14ac:dyDescent="0.25">
      <c r="A496">
        <v>163.555903</v>
      </c>
      <c r="B496" s="1">
        <f>DATE(2010,10,11) + TIME(13,20,29)</f>
        <v>40462.555891203701</v>
      </c>
      <c r="C496">
        <v>80</v>
      </c>
      <c r="D496">
        <v>79.956031799000002</v>
      </c>
      <c r="E496">
        <v>50</v>
      </c>
      <c r="F496">
        <v>37.09897995</v>
      </c>
      <c r="G496">
        <v>1339.8016356999999</v>
      </c>
      <c r="H496">
        <v>1337.3487548999999</v>
      </c>
      <c r="I496">
        <v>1322.8931885</v>
      </c>
      <c r="J496">
        <v>1319.2889404</v>
      </c>
      <c r="K496">
        <v>2400</v>
      </c>
      <c r="L496">
        <v>0</v>
      </c>
      <c r="M496">
        <v>0</v>
      </c>
      <c r="N496">
        <v>2400</v>
      </c>
    </row>
    <row r="497" spans="1:14" x14ac:dyDescent="0.25">
      <c r="A497">
        <v>164.83618999999999</v>
      </c>
      <c r="B497" s="1">
        <f>DATE(2010,10,12) + TIME(20,4,6)</f>
        <v>40463.836180555554</v>
      </c>
      <c r="C497">
        <v>80</v>
      </c>
      <c r="D497">
        <v>79.956100464000002</v>
      </c>
      <c r="E497">
        <v>50</v>
      </c>
      <c r="F497">
        <v>37.507015228</v>
      </c>
      <c r="G497">
        <v>1339.7945557</v>
      </c>
      <c r="H497">
        <v>1337.3424072</v>
      </c>
      <c r="I497">
        <v>1322.9177245999999</v>
      </c>
      <c r="J497">
        <v>1319.3328856999999</v>
      </c>
      <c r="K497">
        <v>2400</v>
      </c>
      <c r="L497">
        <v>0</v>
      </c>
      <c r="M497">
        <v>0</v>
      </c>
      <c r="N497">
        <v>2400</v>
      </c>
    </row>
    <row r="498" spans="1:14" x14ac:dyDescent="0.25">
      <c r="A498">
        <v>166.14956599999999</v>
      </c>
      <c r="B498" s="1">
        <f>DATE(2010,10,14) + TIME(3,35,22)</f>
        <v>40465.149560185186</v>
      </c>
      <c r="C498">
        <v>80</v>
      </c>
      <c r="D498">
        <v>79.956176757999998</v>
      </c>
      <c r="E498">
        <v>50</v>
      </c>
      <c r="F498">
        <v>37.914710999</v>
      </c>
      <c r="G498">
        <v>1339.7874756000001</v>
      </c>
      <c r="H498">
        <v>1337.3359375</v>
      </c>
      <c r="I498">
        <v>1322.9431152</v>
      </c>
      <c r="J498">
        <v>1319.3775635</v>
      </c>
      <c r="K498">
        <v>2400</v>
      </c>
      <c r="L498">
        <v>0</v>
      </c>
      <c r="M498">
        <v>0</v>
      </c>
      <c r="N498">
        <v>2400</v>
      </c>
    </row>
    <row r="499" spans="1:14" x14ac:dyDescent="0.25">
      <c r="A499">
        <v>167.488688</v>
      </c>
      <c r="B499" s="1">
        <f>DATE(2010,10,15) + TIME(11,43,42)</f>
        <v>40466.488680555558</v>
      </c>
      <c r="C499">
        <v>80</v>
      </c>
      <c r="D499">
        <v>79.956253051999994</v>
      </c>
      <c r="E499">
        <v>50</v>
      </c>
      <c r="F499">
        <v>38.321899414000001</v>
      </c>
      <c r="G499">
        <v>1339.7801514</v>
      </c>
      <c r="H499">
        <v>1337.3294678</v>
      </c>
      <c r="I499">
        <v>1322.9692382999999</v>
      </c>
      <c r="J499">
        <v>1319.4230957</v>
      </c>
      <c r="K499">
        <v>2400</v>
      </c>
      <c r="L499">
        <v>0</v>
      </c>
      <c r="M499">
        <v>0</v>
      </c>
      <c r="N499">
        <v>2400</v>
      </c>
    </row>
    <row r="500" spans="1:14" x14ac:dyDescent="0.25">
      <c r="A500">
        <v>168.83041600000001</v>
      </c>
      <c r="B500" s="1">
        <f>DATE(2010,10,16) + TIME(19,55,47)</f>
        <v>40467.830405092594</v>
      </c>
      <c r="C500">
        <v>80</v>
      </c>
      <c r="D500">
        <v>79.956329346000004</v>
      </c>
      <c r="E500">
        <v>50</v>
      </c>
      <c r="F500">
        <v>38.725467682000001</v>
      </c>
      <c r="G500">
        <v>1339.7728271000001</v>
      </c>
      <c r="H500">
        <v>1337.3229980000001</v>
      </c>
      <c r="I500">
        <v>1322.9959716999999</v>
      </c>
      <c r="J500">
        <v>1319.4692382999999</v>
      </c>
      <c r="K500">
        <v>2400</v>
      </c>
      <c r="L500">
        <v>0</v>
      </c>
      <c r="M500">
        <v>0</v>
      </c>
      <c r="N500">
        <v>2400</v>
      </c>
    </row>
    <row r="501" spans="1:14" x14ac:dyDescent="0.25">
      <c r="A501">
        <v>170.17558700000001</v>
      </c>
      <c r="B501" s="1">
        <f>DATE(2010,10,18) + TIME(4,12,50)</f>
        <v>40469.175578703704</v>
      </c>
      <c r="C501">
        <v>80</v>
      </c>
      <c r="D501">
        <v>79.956398010000001</v>
      </c>
      <c r="E501">
        <v>50</v>
      </c>
      <c r="F501">
        <v>39.121620178000001</v>
      </c>
      <c r="G501">
        <v>1339.765625</v>
      </c>
      <c r="H501">
        <v>1337.3166504000001</v>
      </c>
      <c r="I501">
        <v>1323.0229492000001</v>
      </c>
      <c r="J501">
        <v>1319.5153809000001</v>
      </c>
      <c r="K501">
        <v>2400</v>
      </c>
      <c r="L501">
        <v>0</v>
      </c>
      <c r="M501">
        <v>0</v>
      </c>
      <c r="N501">
        <v>2400</v>
      </c>
    </row>
    <row r="502" spans="1:14" x14ac:dyDescent="0.25">
      <c r="A502">
        <v>171.528347</v>
      </c>
      <c r="B502" s="1">
        <f>DATE(2010,10,19) + TIME(12,40,49)</f>
        <v>40470.528344907405</v>
      </c>
      <c r="C502">
        <v>80</v>
      </c>
      <c r="D502">
        <v>79.956474303999997</v>
      </c>
      <c r="E502">
        <v>50</v>
      </c>
      <c r="F502">
        <v>39.509723663000003</v>
      </c>
      <c r="G502">
        <v>1339.7585449000001</v>
      </c>
      <c r="H502">
        <v>1337.3104248</v>
      </c>
      <c r="I502">
        <v>1323.0500488</v>
      </c>
      <c r="J502">
        <v>1319.5614014</v>
      </c>
      <c r="K502">
        <v>2400</v>
      </c>
      <c r="L502">
        <v>0</v>
      </c>
      <c r="M502">
        <v>0</v>
      </c>
      <c r="N502">
        <v>2400</v>
      </c>
    </row>
    <row r="503" spans="1:14" x14ac:dyDescent="0.25">
      <c r="A503">
        <v>172.89336700000001</v>
      </c>
      <c r="B503" s="1">
        <f>DATE(2010,10,20) + TIME(21,26,26)</f>
        <v>40471.89335648148</v>
      </c>
      <c r="C503">
        <v>80</v>
      </c>
      <c r="D503">
        <v>79.956550598000007</v>
      </c>
      <c r="E503">
        <v>50</v>
      </c>
      <c r="F503">
        <v>39.890716552999997</v>
      </c>
      <c r="G503">
        <v>1339.7514647999999</v>
      </c>
      <c r="H503">
        <v>1337.3041992000001</v>
      </c>
      <c r="I503">
        <v>1323.0773925999999</v>
      </c>
      <c r="J503">
        <v>1319.6074219</v>
      </c>
      <c r="K503">
        <v>2400</v>
      </c>
      <c r="L503">
        <v>0</v>
      </c>
      <c r="M503">
        <v>0</v>
      </c>
      <c r="N503">
        <v>2400</v>
      </c>
    </row>
    <row r="504" spans="1:14" x14ac:dyDescent="0.25">
      <c r="A504">
        <v>174.275755</v>
      </c>
      <c r="B504" s="1">
        <f>DATE(2010,10,22) + TIME(6,37,5)</f>
        <v>40473.275752314818</v>
      </c>
      <c r="C504">
        <v>80</v>
      </c>
      <c r="D504">
        <v>79.956626892000003</v>
      </c>
      <c r="E504">
        <v>50</v>
      </c>
      <c r="F504">
        <v>40.265937805</v>
      </c>
      <c r="G504">
        <v>1339.7443848</v>
      </c>
      <c r="H504">
        <v>1337.2979736</v>
      </c>
      <c r="I504">
        <v>1323.1048584</v>
      </c>
      <c r="J504">
        <v>1319.6535644999999</v>
      </c>
      <c r="K504">
        <v>2400</v>
      </c>
      <c r="L504">
        <v>0</v>
      </c>
      <c r="M504">
        <v>0</v>
      </c>
      <c r="N504">
        <v>2400</v>
      </c>
    </row>
    <row r="505" spans="1:14" x14ac:dyDescent="0.25">
      <c r="A505">
        <v>175.68019000000001</v>
      </c>
      <c r="B505" s="1">
        <f>DATE(2010,10,23) + TIME(16,19,28)</f>
        <v>40474.680185185185</v>
      </c>
      <c r="C505">
        <v>80</v>
      </c>
      <c r="D505">
        <v>79.956703185999999</v>
      </c>
      <c r="E505">
        <v>50</v>
      </c>
      <c r="F505">
        <v>40.636608123999999</v>
      </c>
      <c r="G505">
        <v>1339.7374268000001</v>
      </c>
      <c r="H505">
        <v>1337.2918701000001</v>
      </c>
      <c r="I505">
        <v>1323.1328125</v>
      </c>
      <c r="J505">
        <v>1319.6998291</v>
      </c>
      <c r="K505">
        <v>2400</v>
      </c>
      <c r="L505">
        <v>0</v>
      </c>
      <c r="M505">
        <v>0</v>
      </c>
      <c r="N505">
        <v>2400</v>
      </c>
    </row>
    <row r="506" spans="1:14" x14ac:dyDescent="0.25">
      <c r="A506">
        <v>177.09439699999999</v>
      </c>
      <c r="B506" s="1">
        <f>DATE(2010,10,25) + TIME(2,15,55)</f>
        <v>40476.094386574077</v>
      </c>
      <c r="C506">
        <v>80</v>
      </c>
      <c r="D506">
        <v>79.956771850999999</v>
      </c>
      <c r="E506">
        <v>50</v>
      </c>
      <c r="F506">
        <v>41.002719878999997</v>
      </c>
      <c r="G506">
        <v>1339.7303466999999</v>
      </c>
      <c r="H506">
        <v>1337.2857666</v>
      </c>
      <c r="I506">
        <v>1323.1611327999999</v>
      </c>
      <c r="J506">
        <v>1319.7464600000001</v>
      </c>
      <c r="K506">
        <v>2400</v>
      </c>
      <c r="L506">
        <v>0</v>
      </c>
      <c r="M506">
        <v>0</v>
      </c>
      <c r="N506">
        <v>2400</v>
      </c>
    </row>
    <row r="507" spans="1:14" x14ac:dyDescent="0.25">
      <c r="A507">
        <v>178.52103299999999</v>
      </c>
      <c r="B507" s="1">
        <f>DATE(2010,10,26) + TIME(12,30,17)</f>
        <v>40477.52103009259</v>
      </c>
      <c r="C507">
        <v>80</v>
      </c>
      <c r="D507">
        <v>79.956848144999995</v>
      </c>
      <c r="E507">
        <v>50</v>
      </c>
      <c r="F507">
        <v>41.363014221</v>
      </c>
      <c r="G507">
        <v>1339.7233887</v>
      </c>
      <c r="H507">
        <v>1337.2796631000001</v>
      </c>
      <c r="I507">
        <v>1323.1896973</v>
      </c>
      <c r="J507">
        <v>1319.7930908000001</v>
      </c>
      <c r="K507">
        <v>2400</v>
      </c>
      <c r="L507">
        <v>0</v>
      </c>
      <c r="M507">
        <v>0</v>
      </c>
      <c r="N507">
        <v>2400</v>
      </c>
    </row>
    <row r="508" spans="1:14" x14ac:dyDescent="0.25">
      <c r="A508">
        <v>179.966128</v>
      </c>
      <c r="B508" s="1">
        <f>DATE(2010,10,27) + TIME(23,11,13)</f>
        <v>40478.966122685182</v>
      </c>
      <c r="C508">
        <v>80</v>
      </c>
      <c r="D508">
        <v>79.956924438000001</v>
      </c>
      <c r="E508">
        <v>50</v>
      </c>
      <c r="F508">
        <v>41.717895507999998</v>
      </c>
      <c r="G508">
        <v>1339.7164307</v>
      </c>
      <c r="H508">
        <v>1337.2736815999999</v>
      </c>
      <c r="I508">
        <v>1323.2183838000001</v>
      </c>
      <c r="J508">
        <v>1319.8398437999999</v>
      </c>
      <c r="K508">
        <v>2400</v>
      </c>
      <c r="L508">
        <v>0</v>
      </c>
      <c r="M508">
        <v>0</v>
      </c>
      <c r="N508">
        <v>2400</v>
      </c>
    </row>
    <row r="509" spans="1:14" x14ac:dyDescent="0.25">
      <c r="A509">
        <v>181.435284</v>
      </c>
      <c r="B509" s="1">
        <f>DATE(2010,10,29) + TIME(10,26,48)</f>
        <v>40480.435277777775</v>
      </c>
      <c r="C509">
        <v>80</v>
      </c>
      <c r="D509">
        <v>79.957000731999997</v>
      </c>
      <c r="E509">
        <v>50</v>
      </c>
      <c r="F509">
        <v>42.068527222</v>
      </c>
      <c r="G509">
        <v>1339.7095947</v>
      </c>
      <c r="H509">
        <v>1337.2677002</v>
      </c>
      <c r="I509">
        <v>1323.2474365</v>
      </c>
      <c r="J509">
        <v>1319.8867187999999</v>
      </c>
      <c r="K509">
        <v>2400</v>
      </c>
      <c r="L509">
        <v>0</v>
      </c>
      <c r="M509">
        <v>0</v>
      </c>
      <c r="N509">
        <v>2400</v>
      </c>
    </row>
    <row r="510" spans="1:14" x14ac:dyDescent="0.25">
      <c r="A510">
        <v>182.93596500000001</v>
      </c>
      <c r="B510" s="1">
        <f>DATE(2010,10,30) + TIME(22,27,47)</f>
        <v>40481.935960648145</v>
      </c>
      <c r="C510">
        <v>80</v>
      </c>
      <c r="D510">
        <v>79.957084656000006</v>
      </c>
      <c r="E510">
        <v>50</v>
      </c>
      <c r="F510">
        <v>42.416248322000001</v>
      </c>
      <c r="G510">
        <v>1339.7026367000001</v>
      </c>
      <c r="H510">
        <v>1337.2617187999999</v>
      </c>
      <c r="I510">
        <v>1323.2767334</v>
      </c>
      <c r="J510">
        <v>1319.9339600000001</v>
      </c>
      <c r="K510">
        <v>2400</v>
      </c>
      <c r="L510">
        <v>0</v>
      </c>
      <c r="M510">
        <v>0</v>
      </c>
      <c r="N510">
        <v>2400</v>
      </c>
    </row>
    <row r="511" spans="1:14" x14ac:dyDescent="0.25">
      <c r="A511">
        <v>184</v>
      </c>
      <c r="B511" s="1">
        <f>DATE(2010,11,1) + TIME(0,0,0)</f>
        <v>40483</v>
      </c>
      <c r="C511">
        <v>80</v>
      </c>
      <c r="D511">
        <v>79.957130432</v>
      </c>
      <c r="E511">
        <v>50</v>
      </c>
      <c r="F511">
        <v>42.727237701</v>
      </c>
      <c r="G511">
        <v>1339.6959228999999</v>
      </c>
      <c r="H511">
        <v>1337.2561035000001</v>
      </c>
      <c r="I511">
        <v>1323.3070068</v>
      </c>
      <c r="J511">
        <v>1319.9801024999999</v>
      </c>
      <c r="K511">
        <v>2400</v>
      </c>
      <c r="L511">
        <v>0</v>
      </c>
      <c r="M511">
        <v>0</v>
      </c>
      <c r="N511">
        <v>2400</v>
      </c>
    </row>
    <row r="512" spans="1:14" x14ac:dyDescent="0.25">
      <c r="A512">
        <v>184.000001</v>
      </c>
      <c r="B512" s="1">
        <f>DATE(2010,11,1) + TIME(0,0,0)</f>
        <v>40483</v>
      </c>
      <c r="C512">
        <v>80</v>
      </c>
      <c r="D512">
        <v>79.957099915000001</v>
      </c>
      <c r="E512">
        <v>50</v>
      </c>
      <c r="F512">
        <v>42.727272034000002</v>
      </c>
      <c r="G512">
        <v>1337.2456055</v>
      </c>
      <c r="H512">
        <v>1337.012207</v>
      </c>
      <c r="I512">
        <v>1326.6008300999999</v>
      </c>
      <c r="J512">
        <v>1323.3218993999999</v>
      </c>
      <c r="K512">
        <v>0</v>
      </c>
      <c r="L512">
        <v>2400</v>
      </c>
      <c r="M512">
        <v>2400</v>
      </c>
      <c r="N512">
        <v>0</v>
      </c>
    </row>
    <row r="513" spans="1:14" x14ac:dyDescent="0.25">
      <c r="A513">
        <v>184.00000399999999</v>
      </c>
      <c r="B513" s="1">
        <f>DATE(2010,11,1) + TIME(0,0,0)</f>
        <v>40483</v>
      </c>
      <c r="C513">
        <v>80</v>
      </c>
      <c r="D513">
        <v>79.957000731999997</v>
      </c>
      <c r="E513">
        <v>50</v>
      </c>
      <c r="F513">
        <v>42.727371216000002</v>
      </c>
      <c r="G513">
        <v>1337.2148437999999</v>
      </c>
      <c r="H513">
        <v>1336.9822998</v>
      </c>
      <c r="I513">
        <v>1326.6314697</v>
      </c>
      <c r="J513">
        <v>1323.3660889</v>
      </c>
      <c r="K513">
        <v>0</v>
      </c>
      <c r="L513">
        <v>2400</v>
      </c>
      <c r="M513">
        <v>2400</v>
      </c>
      <c r="N513">
        <v>0</v>
      </c>
    </row>
    <row r="514" spans="1:14" x14ac:dyDescent="0.25">
      <c r="A514">
        <v>184.000013</v>
      </c>
      <c r="B514" s="1">
        <f>DATE(2010,11,1) + TIME(0,0,1)</f>
        <v>40483.000011574077</v>
      </c>
      <c r="C514">
        <v>80</v>
      </c>
      <c r="D514">
        <v>79.956718445000007</v>
      </c>
      <c r="E514">
        <v>50</v>
      </c>
      <c r="F514">
        <v>42.727657317999999</v>
      </c>
      <c r="G514">
        <v>1337.1279297000001</v>
      </c>
      <c r="H514">
        <v>1336.8977050999999</v>
      </c>
      <c r="I514">
        <v>1326.7209473</v>
      </c>
      <c r="J514">
        <v>1323.4935303</v>
      </c>
      <c r="K514">
        <v>0</v>
      </c>
      <c r="L514">
        <v>2400</v>
      </c>
      <c r="M514">
        <v>2400</v>
      </c>
      <c r="N514">
        <v>0</v>
      </c>
    </row>
    <row r="515" spans="1:14" x14ac:dyDescent="0.25">
      <c r="A515">
        <v>184.00004000000001</v>
      </c>
      <c r="B515" s="1">
        <f>DATE(2010,11,1) + TIME(0,0,3)</f>
        <v>40483.000034722223</v>
      </c>
      <c r="C515">
        <v>80</v>
      </c>
      <c r="D515">
        <v>79.956008910999998</v>
      </c>
      <c r="E515">
        <v>50</v>
      </c>
      <c r="F515">
        <v>42.728469849</v>
      </c>
      <c r="G515">
        <v>1336.9075928</v>
      </c>
      <c r="H515">
        <v>1336.6816406</v>
      </c>
      <c r="I515">
        <v>1326.9703368999999</v>
      </c>
      <c r="J515">
        <v>1323.8366699000001</v>
      </c>
      <c r="K515">
        <v>0</v>
      </c>
      <c r="L515">
        <v>2400</v>
      </c>
      <c r="M515">
        <v>2400</v>
      </c>
      <c r="N515">
        <v>0</v>
      </c>
    </row>
    <row r="516" spans="1:14" x14ac:dyDescent="0.25">
      <c r="A516">
        <v>184.00012100000001</v>
      </c>
      <c r="B516" s="1">
        <f>DATE(2010,11,1) + TIME(0,0,10)</f>
        <v>40483.000115740739</v>
      </c>
      <c r="C516">
        <v>80</v>
      </c>
      <c r="D516">
        <v>79.954551696999999</v>
      </c>
      <c r="E516">
        <v>50</v>
      </c>
      <c r="F516">
        <v>42.730598450000002</v>
      </c>
      <c r="G516">
        <v>1336.4581298999999</v>
      </c>
      <c r="H516">
        <v>1336.2352295000001</v>
      </c>
      <c r="I516">
        <v>1327.5871582</v>
      </c>
      <c r="J516">
        <v>1324.6260986</v>
      </c>
      <c r="K516">
        <v>0</v>
      </c>
      <c r="L516">
        <v>2400</v>
      </c>
      <c r="M516">
        <v>2400</v>
      </c>
      <c r="N516">
        <v>0</v>
      </c>
    </row>
    <row r="517" spans="1:14" x14ac:dyDescent="0.25">
      <c r="A517">
        <v>184.00036399999999</v>
      </c>
      <c r="B517" s="1">
        <f>DATE(2010,11,1) + TIME(0,0,31)</f>
        <v>40483.000358796293</v>
      </c>
      <c r="C517">
        <v>80</v>
      </c>
      <c r="D517">
        <v>79.952369689999998</v>
      </c>
      <c r="E517">
        <v>50</v>
      </c>
      <c r="F517">
        <v>42.735157012999998</v>
      </c>
      <c r="G517">
        <v>1335.7886963000001</v>
      </c>
      <c r="H517">
        <v>1335.5593262</v>
      </c>
      <c r="I517">
        <v>1328.7900391000001</v>
      </c>
      <c r="J517">
        <v>1325.979126</v>
      </c>
      <c r="K517">
        <v>0</v>
      </c>
      <c r="L517">
        <v>2400</v>
      </c>
      <c r="M517">
        <v>2400</v>
      </c>
      <c r="N517">
        <v>0</v>
      </c>
    </row>
    <row r="518" spans="1:14" x14ac:dyDescent="0.25">
      <c r="A518">
        <v>184.001093</v>
      </c>
      <c r="B518" s="1">
        <f>DATE(2010,11,1) + TIME(0,1,34)</f>
        <v>40483.001087962963</v>
      </c>
      <c r="C518">
        <v>80</v>
      </c>
      <c r="D518">
        <v>79.949829101999995</v>
      </c>
      <c r="E518">
        <v>50</v>
      </c>
      <c r="F518">
        <v>42.745716094999999</v>
      </c>
      <c r="G518">
        <v>1335.0236815999999</v>
      </c>
      <c r="H518">
        <v>1334.7790527</v>
      </c>
      <c r="I518">
        <v>1330.5045166</v>
      </c>
      <c r="J518">
        <v>1327.7181396000001</v>
      </c>
      <c r="K518">
        <v>0</v>
      </c>
      <c r="L518">
        <v>2400</v>
      </c>
      <c r="M518">
        <v>2400</v>
      </c>
      <c r="N518">
        <v>0</v>
      </c>
    </row>
    <row r="519" spans="1:14" x14ac:dyDescent="0.25">
      <c r="A519">
        <v>184.00327999999999</v>
      </c>
      <c r="B519" s="1">
        <f>DATE(2010,11,1) + TIME(0,4,43)</f>
        <v>40483.003275462965</v>
      </c>
      <c r="C519">
        <v>80</v>
      </c>
      <c r="D519">
        <v>79.947013854999994</v>
      </c>
      <c r="E519">
        <v>50</v>
      </c>
      <c r="F519">
        <v>42.773181915000002</v>
      </c>
      <c r="G519">
        <v>1334.2342529</v>
      </c>
      <c r="H519">
        <v>1333.9696045000001</v>
      </c>
      <c r="I519">
        <v>1332.4226074000001</v>
      </c>
      <c r="J519">
        <v>1329.6328125</v>
      </c>
      <c r="K519">
        <v>0</v>
      </c>
      <c r="L519">
        <v>2400</v>
      </c>
      <c r="M519">
        <v>2400</v>
      </c>
      <c r="N519">
        <v>0</v>
      </c>
    </row>
    <row r="520" spans="1:14" x14ac:dyDescent="0.25">
      <c r="A520">
        <v>184.00984099999999</v>
      </c>
      <c r="B520" s="1">
        <f>DATE(2010,11,1) + TIME(0,14,10)</f>
        <v>40483.009837962964</v>
      </c>
      <c r="C520">
        <v>80</v>
      </c>
      <c r="D520">
        <v>79.943473815999994</v>
      </c>
      <c r="E520">
        <v>50</v>
      </c>
      <c r="F520">
        <v>42.849342346</v>
      </c>
      <c r="G520">
        <v>1333.4152832</v>
      </c>
      <c r="H520">
        <v>1333.1191406</v>
      </c>
      <c r="I520">
        <v>1334.3684082</v>
      </c>
      <c r="J520">
        <v>1331.6074219</v>
      </c>
      <c r="K520">
        <v>0</v>
      </c>
      <c r="L520">
        <v>2400</v>
      </c>
      <c r="M520">
        <v>2400</v>
      </c>
      <c r="N520">
        <v>0</v>
      </c>
    </row>
    <row r="521" spans="1:14" x14ac:dyDescent="0.25">
      <c r="A521">
        <v>184.02952400000001</v>
      </c>
      <c r="B521" s="1">
        <f>DATE(2010,11,1) + TIME(0,42,30)</f>
        <v>40483.029513888891</v>
      </c>
      <c r="C521">
        <v>80</v>
      </c>
      <c r="D521">
        <v>79.937774657999995</v>
      </c>
      <c r="E521">
        <v>50</v>
      </c>
      <c r="F521">
        <v>43.063446044999999</v>
      </c>
      <c r="G521">
        <v>1332.5412598</v>
      </c>
      <c r="H521">
        <v>1332.1826172000001</v>
      </c>
      <c r="I521">
        <v>1336.2580565999999</v>
      </c>
      <c r="J521">
        <v>1333.5407714999999</v>
      </c>
      <c r="K521">
        <v>0</v>
      </c>
      <c r="L521">
        <v>2400</v>
      </c>
      <c r="M521">
        <v>2400</v>
      </c>
      <c r="N521">
        <v>0</v>
      </c>
    </row>
    <row r="522" spans="1:14" x14ac:dyDescent="0.25">
      <c r="A522">
        <v>184.05801600000001</v>
      </c>
      <c r="B522" s="1">
        <f>DATE(2010,11,1) + TIME(1,23,32)</f>
        <v>40483.058009259257</v>
      </c>
      <c r="C522">
        <v>80</v>
      </c>
      <c r="D522">
        <v>79.931427002000007</v>
      </c>
      <c r="E522">
        <v>50</v>
      </c>
      <c r="F522">
        <v>43.356853485000002</v>
      </c>
      <c r="G522">
        <v>1331.9371338000001</v>
      </c>
      <c r="H522">
        <v>1331.5163574000001</v>
      </c>
      <c r="I522">
        <v>1337.4155272999999</v>
      </c>
      <c r="J522">
        <v>1334.7246094</v>
      </c>
      <c r="K522">
        <v>0</v>
      </c>
      <c r="L522">
        <v>2400</v>
      </c>
      <c r="M522">
        <v>2400</v>
      </c>
      <c r="N522">
        <v>0</v>
      </c>
    </row>
    <row r="523" spans="1:14" x14ac:dyDescent="0.25">
      <c r="A523">
        <v>184.08733799999999</v>
      </c>
      <c r="B523" s="1">
        <f>DATE(2010,11,1) + TIME(2,5,46)</f>
        <v>40483.087337962963</v>
      </c>
      <c r="C523">
        <v>80</v>
      </c>
      <c r="D523">
        <v>79.925544739000003</v>
      </c>
      <c r="E523">
        <v>50</v>
      </c>
      <c r="F523">
        <v>43.645084380999997</v>
      </c>
      <c r="G523">
        <v>1331.5600586</v>
      </c>
      <c r="H523">
        <v>1331.0959473</v>
      </c>
      <c r="I523">
        <v>1338.0617675999999</v>
      </c>
      <c r="J523">
        <v>1335.3834228999999</v>
      </c>
      <c r="K523">
        <v>0</v>
      </c>
      <c r="L523">
        <v>2400</v>
      </c>
      <c r="M523">
        <v>2400</v>
      </c>
      <c r="N523">
        <v>0</v>
      </c>
    </row>
    <row r="524" spans="1:14" x14ac:dyDescent="0.25">
      <c r="A524">
        <v>184.11758699999999</v>
      </c>
      <c r="B524" s="1">
        <f>DATE(2010,11,1) + TIME(2,49,19)</f>
        <v>40483.117581018516</v>
      </c>
      <c r="C524">
        <v>80</v>
      </c>
      <c r="D524">
        <v>79.919769286999994</v>
      </c>
      <c r="E524">
        <v>50</v>
      </c>
      <c r="F524">
        <v>43.929141997999999</v>
      </c>
      <c r="G524">
        <v>1331.2949219</v>
      </c>
      <c r="H524">
        <v>1330.8013916</v>
      </c>
      <c r="I524">
        <v>1338.4661865</v>
      </c>
      <c r="J524">
        <v>1335.7973632999999</v>
      </c>
      <c r="K524">
        <v>0</v>
      </c>
      <c r="L524">
        <v>2400</v>
      </c>
      <c r="M524">
        <v>2400</v>
      </c>
      <c r="N524">
        <v>0</v>
      </c>
    </row>
    <row r="525" spans="1:14" x14ac:dyDescent="0.25">
      <c r="A525">
        <v>184.148764</v>
      </c>
      <c r="B525" s="1">
        <f>DATE(2010,11,1) + TIME(3,34,13)</f>
        <v>40483.148761574077</v>
      </c>
      <c r="C525">
        <v>80</v>
      </c>
      <c r="D525">
        <v>79.914001464999998</v>
      </c>
      <c r="E525">
        <v>50</v>
      </c>
      <c r="F525">
        <v>44.208656310999999</v>
      </c>
      <c r="G525">
        <v>1331.0957031</v>
      </c>
      <c r="H525">
        <v>1330.5822754000001</v>
      </c>
      <c r="I525">
        <v>1338.7369385</v>
      </c>
      <c r="J525">
        <v>1336.0766602000001</v>
      </c>
      <c r="K525">
        <v>0</v>
      </c>
      <c r="L525">
        <v>2400</v>
      </c>
      <c r="M525">
        <v>2400</v>
      </c>
      <c r="N525">
        <v>0</v>
      </c>
    </row>
    <row r="526" spans="1:14" x14ac:dyDescent="0.25">
      <c r="A526">
        <v>184.18091899999999</v>
      </c>
      <c r="B526" s="1">
        <f>DATE(2010,11,1) + TIME(4,20,31)</f>
        <v>40483.180914351855</v>
      </c>
      <c r="C526">
        <v>80</v>
      </c>
      <c r="D526">
        <v>79.908172606999997</v>
      </c>
      <c r="E526">
        <v>50</v>
      </c>
      <c r="F526">
        <v>44.483539581000002</v>
      </c>
      <c r="G526">
        <v>1330.9392089999999</v>
      </c>
      <c r="H526">
        <v>1330.4122314000001</v>
      </c>
      <c r="I526">
        <v>1338.9265137</v>
      </c>
      <c r="J526">
        <v>1336.2745361</v>
      </c>
      <c r="K526">
        <v>0</v>
      </c>
      <c r="L526">
        <v>2400</v>
      </c>
      <c r="M526">
        <v>2400</v>
      </c>
      <c r="N526">
        <v>0</v>
      </c>
    </row>
    <row r="527" spans="1:14" x14ac:dyDescent="0.25">
      <c r="A527">
        <v>184.21406999999999</v>
      </c>
      <c r="B527" s="1">
        <f>DATE(2010,11,1) + TIME(5,8,15)</f>
        <v>40483.214062500003</v>
      </c>
      <c r="C527">
        <v>80</v>
      </c>
      <c r="D527">
        <v>79.902259826999995</v>
      </c>
      <c r="E527">
        <v>50</v>
      </c>
      <c r="F527">
        <v>44.753349303999997</v>
      </c>
      <c r="G527">
        <v>1330.8127440999999</v>
      </c>
      <c r="H527">
        <v>1330.2762451000001</v>
      </c>
      <c r="I527">
        <v>1339.0633545000001</v>
      </c>
      <c r="J527">
        <v>1336.4194336</v>
      </c>
      <c r="K527">
        <v>0</v>
      </c>
      <c r="L527">
        <v>2400</v>
      </c>
      <c r="M527">
        <v>2400</v>
      </c>
      <c r="N527">
        <v>0</v>
      </c>
    </row>
    <row r="528" spans="1:14" x14ac:dyDescent="0.25">
      <c r="A528">
        <v>184.24826899999999</v>
      </c>
      <c r="B528" s="1">
        <f>DATE(2010,11,1) + TIME(5,57,30)</f>
        <v>40483.248263888891</v>
      </c>
      <c r="C528">
        <v>80</v>
      </c>
      <c r="D528">
        <v>79.896240234000004</v>
      </c>
      <c r="E528">
        <v>50</v>
      </c>
      <c r="F528">
        <v>45.017936706999997</v>
      </c>
      <c r="G528">
        <v>1330.7078856999999</v>
      </c>
      <c r="H528">
        <v>1330.1646728999999</v>
      </c>
      <c r="I528">
        <v>1339.1645507999999</v>
      </c>
      <c r="J528">
        <v>1336.5285644999999</v>
      </c>
      <c r="K528">
        <v>0</v>
      </c>
      <c r="L528">
        <v>2400</v>
      </c>
      <c r="M528">
        <v>2400</v>
      </c>
      <c r="N528">
        <v>0</v>
      </c>
    </row>
    <row r="529" spans="1:14" x14ac:dyDescent="0.25">
      <c r="A529">
        <v>184.28359599999999</v>
      </c>
      <c r="B529" s="1">
        <f>DATE(2010,11,1) + TIME(6,48,22)</f>
        <v>40483.283587962964</v>
      </c>
      <c r="C529">
        <v>80</v>
      </c>
      <c r="D529">
        <v>79.890083313000005</v>
      </c>
      <c r="E529">
        <v>50</v>
      </c>
      <c r="F529">
        <v>45.277259827000002</v>
      </c>
      <c r="G529">
        <v>1330.6195068</v>
      </c>
      <c r="H529">
        <v>1330.0712891000001</v>
      </c>
      <c r="I529">
        <v>1339.2406006000001</v>
      </c>
      <c r="J529">
        <v>1336.6124268000001</v>
      </c>
      <c r="K529">
        <v>0</v>
      </c>
      <c r="L529">
        <v>2400</v>
      </c>
      <c r="M529">
        <v>2400</v>
      </c>
      <c r="N529">
        <v>0</v>
      </c>
    </row>
    <row r="530" spans="1:14" x14ac:dyDescent="0.25">
      <c r="A530">
        <v>184.320133</v>
      </c>
      <c r="B530" s="1">
        <f>DATE(2010,11,1) + TIME(7,40,59)</f>
        <v>40483.320127314815</v>
      </c>
      <c r="C530">
        <v>80</v>
      </c>
      <c r="D530">
        <v>79.883773804</v>
      </c>
      <c r="E530">
        <v>50</v>
      </c>
      <c r="F530">
        <v>45.531284331999998</v>
      </c>
      <c r="G530">
        <v>1330.5438231999999</v>
      </c>
      <c r="H530">
        <v>1329.9919434000001</v>
      </c>
      <c r="I530">
        <v>1339.2987060999999</v>
      </c>
      <c r="J530">
        <v>1336.6779785000001</v>
      </c>
      <c r="K530">
        <v>0</v>
      </c>
      <c r="L530">
        <v>2400</v>
      </c>
      <c r="M530">
        <v>2400</v>
      </c>
      <c r="N530">
        <v>0</v>
      </c>
    </row>
    <row r="531" spans="1:14" x14ac:dyDescent="0.25">
      <c r="A531">
        <v>184.35797700000001</v>
      </c>
      <c r="B531" s="1">
        <f>DATE(2010,11,1) + TIME(8,35,29)</f>
        <v>40483.357974537037</v>
      </c>
      <c r="C531">
        <v>80</v>
      </c>
      <c r="D531">
        <v>79.877288817999997</v>
      </c>
      <c r="E531">
        <v>50</v>
      </c>
      <c r="F531">
        <v>45.779956818000002</v>
      </c>
      <c r="G531">
        <v>1330.4782714999999</v>
      </c>
      <c r="H531">
        <v>1329.9233397999999</v>
      </c>
      <c r="I531">
        <v>1339.3432617000001</v>
      </c>
      <c r="J531">
        <v>1336.7298584</v>
      </c>
      <c r="K531">
        <v>0</v>
      </c>
      <c r="L531">
        <v>2400</v>
      </c>
      <c r="M531">
        <v>2400</v>
      </c>
      <c r="N531">
        <v>0</v>
      </c>
    </row>
    <row r="532" spans="1:14" x14ac:dyDescent="0.25">
      <c r="A532">
        <v>184.39720800000001</v>
      </c>
      <c r="B532" s="1">
        <f>DATE(2010,11,1) + TIME(9,31,58)</f>
        <v>40483.397199074076</v>
      </c>
      <c r="C532">
        <v>80</v>
      </c>
      <c r="D532">
        <v>79.870620728000006</v>
      </c>
      <c r="E532">
        <v>50</v>
      </c>
      <c r="F532">
        <v>46.023075104</v>
      </c>
      <c r="G532">
        <v>1330.4210204999999</v>
      </c>
      <c r="H532">
        <v>1329.8636475000001</v>
      </c>
      <c r="I532">
        <v>1339.3778076000001</v>
      </c>
      <c r="J532">
        <v>1336.7713623</v>
      </c>
      <c r="K532">
        <v>0</v>
      </c>
      <c r="L532">
        <v>2400</v>
      </c>
      <c r="M532">
        <v>2400</v>
      </c>
      <c r="N532">
        <v>0</v>
      </c>
    </row>
    <row r="533" spans="1:14" x14ac:dyDescent="0.25">
      <c r="A533">
        <v>184.43796</v>
      </c>
      <c r="B533" s="1">
        <f>DATE(2010,11,1) + TIME(10,30,39)</f>
        <v>40483.437951388885</v>
      </c>
      <c r="C533">
        <v>80</v>
      </c>
      <c r="D533">
        <v>79.863739014000004</v>
      </c>
      <c r="E533">
        <v>50</v>
      </c>
      <c r="F533">
        <v>46.260696410999998</v>
      </c>
      <c r="G533">
        <v>1330.3704834</v>
      </c>
      <c r="H533">
        <v>1329.8109131000001</v>
      </c>
      <c r="I533">
        <v>1339.4045410000001</v>
      </c>
      <c r="J533">
        <v>1336.8046875</v>
      </c>
      <c r="K533">
        <v>0</v>
      </c>
      <c r="L533">
        <v>2400</v>
      </c>
      <c r="M533">
        <v>2400</v>
      </c>
      <c r="N533">
        <v>0</v>
      </c>
    </row>
    <row r="534" spans="1:14" x14ac:dyDescent="0.25">
      <c r="A534">
        <v>184.48036999999999</v>
      </c>
      <c r="B534" s="1">
        <f>DATE(2010,11,1) + TIME(11,31,43)</f>
        <v>40483.480358796296</v>
      </c>
      <c r="C534">
        <v>80</v>
      </c>
      <c r="D534">
        <v>79.856628418</v>
      </c>
      <c r="E534">
        <v>50</v>
      </c>
      <c r="F534">
        <v>46.492771148999999</v>
      </c>
      <c r="G534">
        <v>1330.3255615</v>
      </c>
      <c r="H534">
        <v>1329.7642822</v>
      </c>
      <c r="I534">
        <v>1339.425293</v>
      </c>
      <c r="J534">
        <v>1336.8316649999999</v>
      </c>
      <c r="K534">
        <v>0</v>
      </c>
      <c r="L534">
        <v>2400</v>
      </c>
      <c r="M534">
        <v>2400</v>
      </c>
      <c r="N534">
        <v>0</v>
      </c>
    </row>
    <row r="535" spans="1:14" x14ac:dyDescent="0.25">
      <c r="A535">
        <v>184.524584</v>
      </c>
      <c r="B535" s="1">
        <f>DATE(2010,11,1) + TIME(12,35,24)</f>
        <v>40483.524583333332</v>
      </c>
      <c r="C535">
        <v>80</v>
      </c>
      <c r="D535">
        <v>79.849258422999995</v>
      </c>
      <c r="E535">
        <v>50</v>
      </c>
      <c r="F535">
        <v>46.719219207999998</v>
      </c>
      <c r="G535">
        <v>1330.2855225000001</v>
      </c>
      <c r="H535">
        <v>1329.7224120999999</v>
      </c>
      <c r="I535">
        <v>1339.4411620999999</v>
      </c>
      <c r="J535">
        <v>1336.8535156</v>
      </c>
      <c r="K535">
        <v>0</v>
      </c>
      <c r="L535">
        <v>2400</v>
      </c>
      <c r="M535">
        <v>2400</v>
      </c>
      <c r="N535">
        <v>0</v>
      </c>
    </row>
    <row r="536" spans="1:14" x14ac:dyDescent="0.25">
      <c r="A536">
        <v>184.570773</v>
      </c>
      <c r="B536" s="1">
        <f>DATE(2010,11,1) + TIME(13,41,54)</f>
        <v>40483.570763888885</v>
      </c>
      <c r="C536">
        <v>80</v>
      </c>
      <c r="D536">
        <v>79.841598511000001</v>
      </c>
      <c r="E536">
        <v>50</v>
      </c>
      <c r="F536">
        <v>46.939952849999997</v>
      </c>
      <c r="G536">
        <v>1330.2495117000001</v>
      </c>
      <c r="H536">
        <v>1329.6849365</v>
      </c>
      <c r="I536">
        <v>1339.4533690999999</v>
      </c>
      <c r="J536">
        <v>1336.8712158000001</v>
      </c>
      <c r="K536">
        <v>0</v>
      </c>
      <c r="L536">
        <v>2400</v>
      </c>
      <c r="M536">
        <v>2400</v>
      </c>
      <c r="N536">
        <v>0</v>
      </c>
    </row>
    <row r="537" spans="1:14" x14ac:dyDescent="0.25">
      <c r="A537">
        <v>184.61912100000001</v>
      </c>
      <c r="B537" s="1">
        <f>DATE(2010,11,1) + TIME(14,51,32)</f>
        <v>40483.619120370371</v>
      </c>
      <c r="C537">
        <v>80</v>
      </c>
      <c r="D537">
        <v>79.833641052000004</v>
      </c>
      <c r="E537">
        <v>50</v>
      </c>
      <c r="F537">
        <v>47.154842377000001</v>
      </c>
      <c r="G537">
        <v>1330.2171631000001</v>
      </c>
      <c r="H537">
        <v>1329.651001</v>
      </c>
      <c r="I537">
        <v>1339.4624022999999</v>
      </c>
      <c r="J537">
        <v>1336.8854980000001</v>
      </c>
      <c r="K537">
        <v>0</v>
      </c>
      <c r="L537">
        <v>2400</v>
      </c>
      <c r="M537">
        <v>2400</v>
      </c>
      <c r="N537">
        <v>0</v>
      </c>
    </row>
    <row r="538" spans="1:14" x14ac:dyDescent="0.25">
      <c r="A538">
        <v>184.66985399999999</v>
      </c>
      <c r="B538" s="1">
        <f>DATE(2010,11,1) + TIME(16,4,35)</f>
        <v>40483.669849537036</v>
      </c>
      <c r="C538">
        <v>80</v>
      </c>
      <c r="D538">
        <v>79.825332642000006</v>
      </c>
      <c r="E538">
        <v>50</v>
      </c>
      <c r="F538">
        <v>47.363792418999999</v>
      </c>
      <c r="G538">
        <v>1330.1878661999999</v>
      </c>
      <c r="H538">
        <v>1329.6201172000001</v>
      </c>
      <c r="I538">
        <v>1339.4691161999999</v>
      </c>
      <c r="J538">
        <v>1336.8969727000001</v>
      </c>
      <c r="K538">
        <v>0</v>
      </c>
      <c r="L538">
        <v>2400</v>
      </c>
      <c r="M538">
        <v>2400</v>
      </c>
      <c r="N538">
        <v>0</v>
      </c>
    </row>
    <row r="539" spans="1:14" x14ac:dyDescent="0.25">
      <c r="A539">
        <v>184.723229</v>
      </c>
      <c r="B539" s="1">
        <f>DATE(2010,11,1) + TIME(17,21,27)</f>
        <v>40483.723229166666</v>
      </c>
      <c r="C539">
        <v>80</v>
      </c>
      <c r="D539">
        <v>79.816642760999997</v>
      </c>
      <c r="E539">
        <v>50</v>
      </c>
      <c r="F539">
        <v>47.566696167000003</v>
      </c>
      <c r="G539">
        <v>1330.1613769999999</v>
      </c>
      <c r="H539">
        <v>1329.5920410000001</v>
      </c>
      <c r="I539">
        <v>1339.4738769999999</v>
      </c>
      <c r="J539">
        <v>1336.90625</v>
      </c>
      <c r="K539">
        <v>0</v>
      </c>
      <c r="L539">
        <v>2400</v>
      </c>
      <c r="M539">
        <v>2400</v>
      </c>
      <c r="N539">
        <v>0</v>
      </c>
    </row>
    <row r="540" spans="1:14" x14ac:dyDescent="0.25">
      <c r="A540">
        <v>184.77954700000001</v>
      </c>
      <c r="B540" s="1">
        <f>DATE(2010,11,1) + TIME(18,42,32)</f>
        <v>40483.779537037037</v>
      </c>
      <c r="C540">
        <v>80</v>
      </c>
      <c r="D540">
        <v>79.807533264</v>
      </c>
      <c r="E540">
        <v>50</v>
      </c>
      <c r="F540">
        <v>47.763420105000002</v>
      </c>
      <c r="G540">
        <v>1330.137207</v>
      </c>
      <c r="H540">
        <v>1329.5662841999999</v>
      </c>
      <c r="I540">
        <v>1339.4770507999999</v>
      </c>
      <c r="J540">
        <v>1336.9134521000001</v>
      </c>
      <c r="K540">
        <v>0</v>
      </c>
      <c r="L540">
        <v>2400</v>
      </c>
      <c r="M540">
        <v>2400</v>
      </c>
      <c r="N540">
        <v>0</v>
      </c>
    </row>
    <row r="541" spans="1:14" x14ac:dyDescent="0.25">
      <c r="A541">
        <v>184.839157</v>
      </c>
      <c r="B541" s="1">
        <f>DATE(2010,11,1) + TIME(20,8,23)</f>
        <v>40483.839155092595</v>
      </c>
      <c r="C541">
        <v>80</v>
      </c>
      <c r="D541">
        <v>79.797943114999995</v>
      </c>
      <c r="E541">
        <v>50</v>
      </c>
      <c r="F541">
        <v>47.953807830999999</v>
      </c>
      <c r="G541">
        <v>1330.1151123</v>
      </c>
      <c r="H541">
        <v>1329.5427245999999</v>
      </c>
      <c r="I541">
        <v>1339.479126</v>
      </c>
      <c r="J541">
        <v>1336.9191894999999</v>
      </c>
      <c r="K541">
        <v>0</v>
      </c>
      <c r="L541">
        <v>2400</v>
      </c>
      <c r="M541">
        <v>2400</v>
      </c>
      <c r="N541">
        <v>0</v>
      </c>
    </row>
    <row r="542" spans="1:14" x14ac:dyDescent="0.25">
      <c r="A542">
        <v>184.90247400000001</v>
      </c>
      <c r="B542" s="1">
        <f>DATE(2010,11,1) + TIME(21,39,33)</f>
        <v>40483.902465277781</v>
      </c>
      <c r="C542">
        <v>80</v>
      </c>
      <c r="D542">
        <v>79.787826538000004</v>
      </c>
      <c r="E542">
        <v>50</v>
      </c>
      <c r="F542">
        <v>48.137691498000002</v>
      </c>
      <c r="G542">
        <v>1330.0948486</v>
      </c>
      <c r="H542">
        <v>1329.520874</v>
      </c>
      <c r="I542">
        <v>1339.4803466999999</v>
      </c>
      <c r="J542">
        <v>1336.9237060999999</v>
      </c>
      <c r="K542">
        <v>0</v>
      </c>
      <c r="L542">
        <v>2400</v>
      </c>
      <c r="M542">
        <v>2400</v>
      </c>
      <c r="N542">
        <v>0</v>
      </c>
    </row>
    <row r="543" spans="1:14" x14ac:dyDescent="0.25">
      <c r="A543">
        <v>184.96999500000001</v>
      </c>
      <c r="B543" s="1">
        <f>DATE(2010,11,1) + TIME(23,16,47)</f>
        <v>40483.969988425924</v>
      </c>
      <c r="C543">
        <v>80</v>
      </c>
      <c r="D543">
        <v>79.777099609000004</v>
      </c>
      <c r="E543">
        <v>50</v>
      </c>
      <c r="F543">
        <v>48.314876556000002</v>
      </c>
      <c r="G543">
        <v>1330.0762939000001</v>
      </c>
      <c r="H543">
        <v>1329.5007324000001</v>
      </c>
      <c r="I543">
        <v>1339.4808350000001</v>
      </c>
      <c r="J543">
        <v>1336.9272461</v>
      </c>
      <c r="K543">
        <v>0</v>
      </c>
      <c r="L543">
        <v>2400</v>
      </c>
      <c r="M543">
        <v>2400</v>
      </c>
      <c r="N543">
        <v>0</v>
      </c>
    </row>
    <row r="544" spans="1:14" x14ac:dyDescent="0.25">
      <c r="A544">
        <v>185.04231899999999</v>
      </c>
      <c r="B544" s="1">
        <f>DATE(2010,11,2) + TIME(1,0,56)</f>
        <v>40484.042314814818</v>
      </c>
      <c r="C544">
        <v>80</v>
      </c>
      <c r="D544">
        <v>79.765693665000001</v>
      </c>
      <c r="E544">
        <v>50</v>
      </c>
      <c r="F544">
        <v>48.485157012999998</v>
      </c>
      <c r="G544">
        <v>1330.0592041</v>
      </c>
      <c r="H544">
        <v>1329.4819336</v>
      </c>
      <c r="I544">
        <v>1339.4807129000001</v>
      </c>
      <c r="J544">
        <v>1336.9298096</v>
      </c>
      <c r="K544">
        <v>0</v>
      </c>
      <c r="L544">
        <v>2400</v>
      </c>
      <c r="M544">
        <v>2400</v>
      </c>
      <c r="N544">
        <v>0</v>
      </c>
    </row>
    <row r="545" spans="1:14" x14ac:dyDescent="0.25">
      <c r="A545">
        <v>185.12017900000001</v>
      </c>
      <c r="B545" s="1">
        <f>DATE(2010,11,2) + TIME(2,53,3)</f>
        <v>40484.120173611111</v>
      </c>
      <c r="C545">
        <v>80</v>
      </c>
      <c r="D545">
        <v>79.753501892000003</v>
      </c>
      <c r="E545">
        <v>50</v>
      </c>
      <c r="F545">
        <v>48.648292542</v>
      </c>
      <c r="G545">
        <v>1330.0433350000001</v>
      </c>
      <c r="H545">
        <v>1329.4643555</v>
      </c>
      <c r="I545">
        <v>1339.4804687999999</v>
      </c>
      <c r="J545">
        <v>1336.9317627</v>
      </c>
      <c r="K545">
        <v>0</v>
      </c>
      <c r="L545">
        <v>2400</v>
      </c>
      <c r="M545">
        <v>2400</v>
      </c>
      <c r="N545">
        <v>0</v>
      </c>
    </row>
    <row r="546" spans="1:14" x14ac:dyDescent="0.25">
      <c r="A546">
        <v>185.20448500000001</v>
      </c>
      <c r="B546" s="1">
        <f>DATE(2010,11,2) + TIME(4,54,27)</f>
        <v>40484.204479166663</v>
      </c>
      <c r="C546">
        <v>80</v>
      </c>
      <c r="D546">
        <v>79.740402222</v>
      </c>
      <c r="E546">
        <v>50</v>
      </c>
      <c r="F546">
        <v>48.804016113000003</v>
      </c>
      <c r="G546">
        <v>1330.0286865</v>
      </c>
      <c r="H546">
        <v>1329.447876</v>
      </c>
      <c r="I546">
        <v>1339.4798584</v>
      </c>
      <c r="J546">
        <v>1336.9331055</v>
      </c>
      <c r="K546">
        <v>0</v>
      </c>
      <c r="L546">
        <v>2400</v>
      </c>
      <c r="M546">
        <v>2400</v>
      </c>
      <c r="N546">
        <v>0</v>
      </c>
    </row>
    <row r="547" spans="1:14" x14ac:dyDescent="0.25">
      <c r="A547">
        <v>185.296381</v>
      </c>
      <c r="B547" s="1">
        <f>DATE(2010,11,2) + TIME(7,6,47)</f>
        <v>40484.296377314815</v>
      </c>
      <c r="C547">
        <v>80</v>
      </c>
      <c r="D547">
        <v>79.726242064999994</v>
      </c>
      <c r="E547">
        <v>50</v>
      </c>
      <c r="F547">
        <v>48.952030182000001</v>
      </c>
      <c r="G547">
        <v>1330.0150146000001</v>
      </c>
      <c r="H547">
        <v>1329.432251</v>
      </c>
      <c r="I547">
        <v>1339.4790039</v>
      </c>
      <c r="J547">
        <v>1336.9339600000001</v>
      </c>
      <c r="K547">
        <v>0</v>
      </c>
      <c r="L547">
        <v>2400</v>
      </c>
      <c r="M547">
        <v>2400</v>
      </c>
      <c r="N547">
        <v>0</v>
      </c>
    </row>
    <row r="548" spans="1:14" x14ac:dyDescent="0.25">
      <c r="A548">
        <v>185.39730900000001</v>
      </c>
      <c r="B548" s="1">
        <f>DATE(2010,11,2) + TIME(9,32,7)</f>
        <v>40484.397303240738</v>
      </c>
      <c r="C548">
        <v>80</v>
      </c>
      <c r="D548">
        <v>79.710830688000001</v>
      </c>
      <c r="E548">
        <v>50</v>
      </c>
      <c r="F548">
        <v>49.091964722</v>
      </c>
      <c r="G548">
        <v>1330.0021973</v>
      </c>
      <c r="H548">
        <v>1329.4174805</v>
      </c>
      <c r="I548">
        <v>1339.4780272999999</v>
      </c>
      <c r="J548">
        <v>1336.9342041</v>
      </c>
      <c r="K548">
        <v>0</v>
      </c>
      <c r="L548">
        <v>2400</v>
      </c>
      <c r="M548">
        <v>2400</v>
      </c>
      <c r="N548">
        <v>0</v>
      </c>
    </row>
    <row r="549" spans="1:14" x14ac:dyDescent="0.25">
      <c r="A549">
        <v>185.50920500000001</v>
      </c>
      <c r="B549" s="1">
        <f>DATE(2010,11,2) + TIME(12,13,15)</f>
        <v>40484.509201388886</v>
      </c>
      <c r="C549">
        <v>80</v>
      </c>
      <c r="D549">
        <v>79.693916321000003</v>
      </c>
      <c r="E549">
        <v>50</v>
      </c>
      <c r="F549">
        <v>49.223476410000004</v>
      </c>
      <c r="G549">
        <v>1329.9899902</v>
      </c>
      <c r="H549">
        <v>1329.4033202999999</v>
      </c>
      <c r="I549">
        <v>1339.4768065999999</v>
      </c>
      <c r="J549">
        <v>1336.934082</v>
      </c>
      <c r="K549">
        <v>0</v>
      </c>
      <c r="L549">
        <v>2400</v>
      </c>
      <c r="M549">
        <v>2400</v>
      </c>
      <c r="N549">
        <v>0</v>
      </c>
    </row>
    <row r="550" spans="1:14" x14ac:dyDescent="0.25">
      <c r="A550">
        <v>185.62394599999999</v>
      </c>
      <c r="B550" s="1">
        <f>DATE(2010,11,2) + TIME(14,58,28)</f>
        <v>40484.623935185184</v>
      </c>
      <c r="C550">
        <v>80</v>
      </c>
      <c r="D550">
        <v>79.676666260000005</v>
      </c>
      <c r="E550">
        <v>50</v>
      </c>
      <c r="F550">
        <v>49.337356567</v>
      </c>
      <c r="G550">
        <v>1329.979126</v>
      </c>
      <c r="H550">
        <v>1329.3903809000001</v>
      </c>
      <c r="I550">
        <v>1339.4782714999999</v>
      </c>
      <c r="J550">
        <v>1336.9351807</v>
      </c>
      <c r="K550">
        <v>0</v>
      </c>
      <c r="L550">
        <v>2400</v>
      </c>
      <c r="M550">
        <v>2400</v>
      </c>
      <c r="N550">
        <v>0</v>
      </c>
    </row>
    <row r="551" spans="1:14" x14ac:dyDescent="0.25">
      <c r="A551">
        <v>185.73966300000001</v>
      </c>
      <c r="B551" s="1">
        <f>DATE(2010,11,2) + TIME(17,45,6)</f>
        <v>40484.739652777775</v>
      </c>
      <c r="C551">
        <v>80</v>
      </c>
      <c r="D551">
        <v>79.659339904999996</v>
      </c>
      <c r="E551">
        <v>50</v>
      </c>
      <c r="F551">
        <v>49.434169769</v>
      </c>
      <c r="G551">
        <v>1329.9694824000001</v>
      </c>
      <c r="H551">
        <v>1329.3786620999999</v>
      </c>
      <c r="I551">
        <v>1339.4796143000001</v>
      </c>
      <c r="J551">
        <v>1336.9359131000001</v>
      </c>
      <c r="K551">
        <v>0</v>
      </c>
      <c r="L551">
        <v>2400</v>
      </c>
      <c r="M551">
        <v>2400</v>
      </c>
      <c r="N551">
        <v>0</v>
      </c>
    </row>
    <row r="552" spans="1:14" x14ac:dyDescent="0.25">
      <c r="A552">
        <v>185.857044</v>
      </c>
      <c r="B552" s="1">
        <f>DATE(2010,11,2) + TIME(20,34,8)</f>
        <v>40484.857037037036</v>
      </c>
      <c r="C552">
        <v>80</v>
      </c>
      <c r="D552">
        <v>79.641845703000001</v>
      </c>
      <c r="E552">
        <v>50</v>
      </c>
      <c r="F552">
        <v>49.516738891999999</v>
      </c>
      <c r="G552">
        <v>1329.9606934000001</v>
      </c>
      <c r="H552">
        <v>1329.3680420000001</v>
      </c>
      <c r="I552">
        <v>1339.4798584</v>
      </c>
      <c r="J552">
        <v>1336.9357910000001</v>
      </c>
      <c r="K552">
        <v>0</v>
      </c>
      <c r="L552">
        <v>2400</v>
      </c>
      <c r="M552">
        <v>2400</v>
      </c>
      <c r="N552">
        <v>0</v>
      </c>
    </row>
    <row r="553" spans="1:14" x14ac:dyDescent="0.25">
      <c r="A553">
        <v>185.97664</v>
      </c>
      <c r="B553" s="1">
        <f>DATE(2010,11,2) + TIME(23,26,21)</f>
        <v>40484.976631944446</v>
      </c>
      <c r="C553">
        <v>80</v>
      </c>
      <c r="D553">
        <v>79.624114989999995</v>
      </c>
      <c r="E553">
        <v>50</v>
      </c>
      <c r="F553">
        <v>49.587234496999997</v>
      </c>
      <c r="G553">
        <v>1329.9527588000001</v>
      </c>
      <c r="H553">
        <v>1329.3582764</v>
      </c>
      <c r="I553">
        <v>1339.4792480000001</v>
      </c>
      <c r="J553">
        <v>1336.9348144999999</v>
      </c>
      <c r="K553">
        <v>0</v>
      </c>
      <c r="L553">
        <v>2400</v>
      </c>
      <c r="M553">
        <v>2400</v>
      </c>
      <c r="N553">
        <v>0</v>
      </c>
    </row>
    <row r="554" spans="1:14" x14ac:dyDescent="0.25">
      <c r="A554">
        <v>186.099006</v>
      </c>
      <c r="B554" s="1">
        <f>DATE(2010,11,3) + TIME(2,22,34)</f>
        <v>40485.099004629628</v>
      </c>
      <c r="C554">
        <v>80</v>
      </c>
      <c r="D554">
        <v>79.606056213000002</v>
      </c>
      <c r="E554">
        <v>50</v>
      </c>
      <c r="F554">
        <v>49.647434234999999</v>
      </c>
      <c r="G554">
        <v>1329.9454346</v>
      </c>
      <c r="H554">
        <v>1329.348999</v>
      </c>
      <c r="I554">
        <v>1339.4777832</v>
      </c>
      <c r="J554">
        <v>1336.9329834</v>
      </c>
      <c r="K554">
        <v>0</v>
      </c>
      <c r="L554">
        <v>2400</v>
      </c>
      <c r="M554">
        <v>2400</v>
      </c>
      <c r="N554">
        <v>0</v>
      </c>
    </row>
    <row r="555" spans="1:14" x14ac:dyDescent="0.25">
      <c r="A555">
        <v>186.22469799999999</v>
      </c>
      <c r="B555" s="1">
        <f>DATE(2010,11,3) + TIME(5,23,33)</f>
        <v>40485.224687499998</v>
      </c>
      <c r="C555">
        <v>80</v>
      </c>
      <c r="D555">
        <v>79.587600707999997</v>
      </c>
      <c r="E555">
        <v>50</v>
      </c>
      <c r="F555">
        <v>49.698806763</v>
      </c>
      <c r="G555">
        <v>1329.9385986</v>
      </c>
      <c r="H555">
        <v>1329.340332</v>
      </c>
      <c r="I555">
        <v>1339.4753418</v>
      </c>
      <c r="J555">
        <v>1336.9302978999999</v>
      </c>
      <c r="K555">
        <v>0</v>
      </c>
      <c r="L555">
        <v>2400</v>
      </c>
      <c r="M555">
        <v>2400</v>
      </c>
      <c r="N555">
        <v>0</v>
      </c>
    </row>
    <row r="556" spans="1:14" x14ac:dyDescent="0.25">
      <c r="A556">
        <v>186.354355</v>
      </c>
      <c r="B556" s="1">
        <f>DATE(2010,11,3) + TIME(8,30,16)</f>
        <v>40485.354351851849</v>
      </c>
      <c r="C556">
        <v>80</v>
      </c>
      <c r="D556">
        <v>79.568664550999998</v>
      </c>
      <c r="E556">
        <v>50</v>
      </c>
      <c r="F556">
        <v>49.742599487</v>
      </c>
      <c r="G556">
        <v>1329.9320068</v>
      </c>
      <c r="H556">
        <v>1329.3320312000001</v>
      </c>
      <c r="I556">
        <v>1339.4719238</v>
      </c>
      <c r="J556">
        <v>1336.9268798999999</v>
      </c>
      <c r="K556">
        <v>0</v>
      </c>
      <c r="L556">
        <v>2400</v>
      </c>
      <c r="M556">
        <v>2400</v>
      </c>
      <c r="N556">
        <v>0</v>
      </c>
    </row>
    <row r="557" spans="1:14" x14ac:dyDescent="0.25">
      <c r="A557">
        <v>186.4879</v>
      </c>
      <c r="B557" s="1">
        <f>DATE(2010,11,3) + TIME(11,42,34)</f>
        <v>40485.487893518519</v>
      </c>
      <c r="C557">
        <v>80</v>
      </c>
      <c r="D557">
        <v>79.549262999999996</v>
      </c>
      <c r="E557">
        <v>50</v>
      </c>
      <c r="F557">
        <v>49.779685974000003</v>
      </c>
      <c r="G557">
        <v>1329.9256591999999</v>
      </c>
      <c r="H557">
        <v>1329.3239745999999</v>
      </c>
      <c r="I557">
        <v>1339.4678954999999</v>
      </c>
      <c r="J557">
        <v>1336.9227295000001</v>
      </c>
      <c r="K557">
        <v>0</v>
      </c>
      <c r="L557">
        <v>2400</v>
      </c>
      <c r="M557">
        <v>2400</v>
      </c>
      <c r="N557">
        <v>0</v>
      </c>
    </row>
    <row r="558" spans="1:14" x14ac:dyDescent="0.25">
      <c r="A558">
        <v>186.62590299999999</v>
      </c>
      <c r="B558" s="1">
        <f>DATE(2010,11,3) + TIME(15,1,18)</f>
        <v>40485.625902777778</v>
      </c>
      <c r="C558">
        <v>80</v>
      </c>
      <c r="D558">
        <v>79.529319763000004</v>
      </c>
      <c r="E558">
        <v>50</v>
      </c>
      <c r="F558">
        <v>49.811012267999999</v>
      </c>
      <c r="G558">
        <v>1329.9194336</v>
      </c>
      <c r="H558">
        <v>1329.3161620999999</v>
      </c>
      <c r="I558">
        <v>1339.4627685999999</v>
      </c>
      <c r="J558">
        <v>1336.9178466999999</v>
      </c>
      <c r="K558">
        <v>0</v>
      </c>
      <c r="L558">
        <v>2400</v>
      </c>
      <c r="M558">
        <v>2400</v>
      </c>
      <c r="N558">
        <v>0</v>
      </c>
    </row>
    <row r="559" spans="1:14" x14ac:dyDescent="0.25">
      <c r="A559">
        <v>186.76907299999999</v>
      </c>
      <c r="B559" s="1">
        <f>DATE(2010,11,3) + TIME(18,27,27)</f>
        <v>40485.769062500003</v>
      </c>
      <c r="C559">
        <v>80</v>
      </c>
      <c r="D559">
        <v>79.508743285999998</v>
      </c>
      <c r="E559">
        <v>50</v>
      </c>
      <c r="F559">
        <v>49.837406158</v>
      </c>
      <c r="G559">
        <v>1329.9134521000001</v>
      </c>
      <c r="H559">
        <v>1329.3083495999999</v>
      </c>
      <c r="I559">
        <v>1339.4569091999999</v>
      </c>
      <c r="J559">
        <v>1336.9122314000001</v>
      </c>
      <c r="K559">
        <v>0</v>
      </c>
      <c r="L559">
        <v>2400</v>
      </c>
      <c r="M559">
        <v>2400</v>
      </c>
      <c r="N559">
        <v>0</v>
      </c>
    </row>
    <row r="560" spans="1:14" x14ac:dyDescent="0.25">
      <c r="A560">
        <v>186.91819699999999</v>
      </c>
      <c r="B560" s="1">
        <f>DATE(2010,11,3) + TIME(22,2,12)</f>
        <v>40485.918194444443</v>
      </c>
      <c r="C560">
        <v>80</v>
      </c>
      <c r="D560">
        <v>79.487442017000006</v>
      </c>
      <c r="E560">
        <v>50</v>
      </c>
      <c r="F560">
        <v>49.859569550000003</v>
      </c>
      <c r="G560">
        <v>1329.9074707</v>
      </c>
      <c r="H560">
        <v>1329.3006591999999</v>
      </c>
      <c r="I560">
        <v>1339.4501952999999</v>
      </c>
      <c r="J560">
        <v>1336.9057617000001</v>
      </c>
      <c r="K560">
        <v>0</v>
      </c>
      <c r="L560">
        <v>2400</v>
      </c>
      <c r="M560">
        <v>2400</v>
      </c>
      <c r="N560">
        <v>0</v>
      </c>
    </row>
    <row r="561" spans="1:14" x14ac:dyDescent="0.25">
      <c r="A561">
        <v>187.074175</v>
      </c>
      <c r="B561" s="1">
        <f>DATE(2010,11,4) + TIME(1,46,48)</f>
        <v>40486.074166666665</v>
      </c>
      <c r="C561">
        <v>80</v>
      </c>
      <c r="D561">
        <v>79.465293884000005</v>
      </c>
      <c r="E561">
        <v>50</v>
      </c>
      <c r="F561">
        <v>49.878108978</v>
      </c>
      <c r="G561">
        <v>1329.9013672000001</v>
      </c>
      <c r="H561">
        <v>1329.2929687999999</v>
      </c>
      <c r="I561">
        <v>1339.4426269999999</v>
      </c>
      <c r="J561">
        <v>1336.8986815999999</v>
      </c>
      <c r="K561">
        <v>0</v>
      </c>
      <c r="L561">
        <v>2400</v>
      </c>
      <c r="M561">
        <v>2400</v>
      </c>
      <c r="N561">
        <v>0</v>
      </c>
    </row>
    <row r="562" spans="1:14" x14ac:dyDescent="0.25">
      <c r="A562">
        <v>187.238045</v>
      </c>
      <c r="B562" s="1">
        <f>DATE(2010,11,4) + TIME(5,42,47)</f>
        <v>40486.238043981481</v>
      </c>
      <c r="C562">
        <v>80</v>
      </c>
      <c r="D562">
        <v>79.442176818999997</v>
      </c>
      <c r="E562">
        <v>50</v>
      </c>
      <c r="F562">
        <v>49.893539429</v>
      </c>
      <c r="G562">
        <v>1329.8952637</v>
      </c>
      <c r="H562">
        <v>1329.2851562000001</v>
      </c>
      <c r="I562">
        <v>1339.4342041</v>
      </c>
      <c r="J562">
        <v>1336.8908690999999</v>
      </c>
      <c r="K562">
        <v>0</v>
      </c>
      <c r="L562">
        <v>2400</v>
      </c>
      <c r="M562">
        <v>2400</v>
      </c>
      <c r="N562">
        <v>0</v>
      </c>
    </row>
    <row r="563" spans="1:14" x14ac:dyDescent="0.25">
      <c r="A563">
        <v>187.41102599999999</v>
      </c>
      <c r="B563" s="1">
        <f>DATE(2010,11,4) + TIME(9,51,52)</f>
        <v>40486.41101851852</v>
      </c>
      <c r="C563">
        <v>80</v>
      </c>
      <c r="D563">
        <v>79.417953491000006</v>
      </c>
      <c r="E563">
        <v>50</v>
      </c>
      <c r="F563">
        <v>49.906314850000001</v>
      </c>
      <c r="G563">
        <v>1329.8890381000001</v>
      </c>
      <c r="H563">
        <v>1329.2770995999999</v>
      </c>
      <c r="I563">
        <v>1339.4249268000001</v>
      </c>
      <c r="J563">
        <v>1336.8822021000001</v>
      </c>
      <c r="K563">
        <v>0</v>
      </c>
      <c r="L563">
        <v>2400</v>
      </c>
      <c r="M563">
        <v>2400</v>
      </c>
      <c r="N563">
        <v>0</v>
      </c>
    </row>
    <row r="564" spans="1:14" x14ac:dyDescent="0.25">
      <c r="A564">
        <v>187.59457</v>
      </c>
      <c r="B564" s="1">
        <f>DATE(2010,11,4) + TIME(14,16,10)</f>
        <v>40486.594560185185</v>
      </c>
      <c r="C564">
        <v>80</v>
      </c>
      <c r="D564">
        <v>79.392433166999993</v>
      </c>
      <c r="E564">
        <v>50</v>
      </c>
      <c r="F564">
        <v>49.916820526000002</v>
      </c>
      <c r="G564">
        <v>1329.8825684000001</v>
      </c>
      <c r="H564">
        <v>1329.2689209</v>
      </c>
      <c r="I564">
        <v>1339.4146728999999</v>
      </c>
      <c r="J564">
        <v>1336.8729248</v>
      </c>
      <c r="K564">
        <v>0</v>
      </c>
      <c r="L564">
        <v>2400</v>
      </c>
      <c r="M564">
        <v>2400</v>
      </c>
      <c r="N564">
        <v>0</v>
      </c>
    </row>
    <row r="565" spans="1:14" x14ac:dyDescent="0.25">
      <c r="A565">
        <v>187.79002800000001</v>
      </c>
      <c r="B565" s="1">
        <f>DATE(2010,11,4) + TIME(18,57,38)</f>
        <v>40486.790023148147</v>
      </c>
      <c r="C565">
        <v>80</v>
      </c>
      <c r="D565">
        <v>79.365463257000002</v>
      </c>
      <c r="E565">
        <v>50</v>
      </c>
      <c r="F565">
        <v>49.925388335999997</v>
      </c>
      <c r="G565">
        <v>1329.8758545000001</v>
      </c>
      <c r="H565">
        <v>1329.260376</v>
      </c>
      <c r="I565">
        <v>1339.4036865</v>
      </c>
      <c r="J565">
        <v>1336.862793</v>
      </c>
      <c r="K565">
        <v>0</v>
      </c>
      <c r="L565">
        <v>2400</v>
      </c>
      <c r="M565">
        <v>2400</v>
      </c>
      <c r="N565">
        <v>0</v>
      </c>
    </row>
    <row r="566" spans="1:14" x14ac:dyDescent="0.25">
      <c r="A566">
        <v>187.998537</v>
      </c>
      <c r="B566" s="1">
        <f>DATE(2010,11,4) + TIME(23,57,53)</f>
        <v>40486.998530092591</v>
      </c>
      <c r="C566">
        <v>80</v>
      </c>
      <c r="D566">
        <v>79.336921692000004</v>
      </c>
      <c r="E566">
        <v>50</v>
      </c>
      <c r="F566">
        <v>49.932296753000003</v>
      </c>
      <c r="G566">
        <v>1329.8687743999999</v>
      </c>
      <c r="H566">
        <v>1329.2514647999999</v>
      </c>
      <c r="I566">
        <v>1339.3917236</v>
      </c>
      <c r="J566">
        <v>1336.8519286999999</v>
      </c>
      <c r="K566">
        <v>0</v>
      </c>
      <c r="L566">
        <v>2400</v>
      </c>
      <c r="M566">
        <v>2400</v>
      </c>
      <c r="N566">
        <v>0</v>
      </c>
    </row>
    <row r="567" spans="1:14" x14ac:dyDescent="0.25">
      <c r="A567">
        <v>188.220009</v>
      </c>
      <c r="B567" s="1">
        <f>DATE(2010,11,5) + TIME(5,16,48)</f>
        <v>40487.22</v>
      </c>
      <c r="C567">
        <v>80</v>
      </c>
      <c r="D567">
        <v>79.306823730000005</v>
      </c>
      <c r="E567">
        <v>50</v>
      </c>
      <c r="F567">
        <v>49.937782288000001</v>
      </c>
      <c r="G567">
        <v>1329.8614502</v>
      </c>
      <c r="H567">
        <v>1329.2420654</v>
      </c>
      <c r="I567">
        <v>1339.3789062000001</v>
      </c>
      <c r="J567">
        <v>1336.8402100000001</v>
      </c>
      <c r="K567">
        <v>0</v>
      </c>
      <c r="L567">
        <v>2400</v>
      </c>
      <c r="M567">
        <v>2400</v>
      </c>
      <c r="N567">
        <v>0</v>
      </c>
    </row>
    <row r="568" spans="1:14" x14ac:dyDescent="0.25">
      <c r="A568">
        <v>188.456129</v>
      </c>
      <c r="B568" s="1">
        <f>DATE(2010,11,5) + TIME(10,56,49)</f>
        <v>40487.456122685187</v>
      </c>
      <c r="C568">
        <v>80</v>
      </c>
      <c r="D568">
        <v>79.274978637999993</v>
      </c>
      <c r="E568">
        <v>50</v>
      </c>
      <c r="F568">
        <v>49.942100525000001</v>
      </c>
      <c r="G568">
        <v>1329.8536377</v>
      </c>
      <c r="H568">
        <v>1329.2322998</v>
      </c>
      <c r="I568">
        <v>1339.3652344</v>
      </c>
      <c r="J568">
        <v>1336.8278809000001</v>
      </c>
      <c r="K568">
        <v>0</v>
      </c>
      <c r="L568">
        <v>2400</v>
      </c>
      <c r="M568">
        <v>2400</v>
      </c>
      <c r="N568">
        <v>0</v>
      </c>
    </row>
    <row r="569" spans="1:14" x14ac:dyDescent="0.25">
      <c r="A569">
        <v>188.694085</v>
      </c>
      <c r="B569" s="1">
        <f>DATE(2010,11,5) + TIME(16,39,28)</f>
        <v>40487.694074074076</v>
      </c>
      <c r="C569">
        <v>80</v>
      </c>
      <c r="D569">
        <v>79.242881775000001</v>
      </c>
      <c r="E569">
        <v>50</v>
      </c>
      <c r="F569">
        <v>49.945327759000001</v>
      </c>
      <c r="G569">
        <v>1329.8455810999999</v>
      </c>
      <c r="H569">
        <v>1329.222168</v>
      </c>
      <c r="I569">
        <v>1339.3510742000001</v>
      </c>
      <c r="J569">
        <v>1336.8150635</v>
      </c>
      <c r="K569">
        <v>0</v>
      </c>
      <c r="L569">
        <v>2400</v>
      </c>
      <c r="M569">
        <v>2400</v>
      </c>
      <c r="N569">
        <v>0</v>
      </c>
    </row>
    <row r="570" spans="1:14" x14ac:dyDescent="0.25">
      <c r="A570">
        <v>188.93340699999999</v>
      </c>
      <c r="B570" s="1">
        <f>DATE(2010,11,5) + TIME(22,24,6)</f>
        <v>40487.93340277778</v>
      </c>
      <c r="C570">
        <v>80</v>
      </c>
      <c r="D570">
        <v>79.210609435999999</v>
      </c>
      <c r="E570">
        <v>50</v>
      </c>
      <c r="F570">
        <v>49.947742462000001</v>
      </c>
      <c r="G570">
        <v>1329.8375243999999</v>
      </c>
      <c r="H570">
        <v>1329.2119141000001</v>
      </c>
      <c r="I570">
        <v>1339.3367920000001</v>
      </c>
      <c r="J570">
        <v>1336.802124</v>
      </c>
      <c r="K570">
        <v>0</v>
      </c>
      <c r="L570">
        <v>2400</v>
      </c>
      <c r="M570">
        <v>2400</v>
      </c>
      <c r="N570">
        <v>0</v>
      </c>
    </row>
    <row r="571" spans="1:14" x14ac:dyDescent="0.25">
      <c r="A571">
        <v>189.175408</v>
      </c>
      <c r="B571" s="1">
        <f>DATE(2010,11,6) + TIME(4,12,35)</f>
        <v>40488.175405092596</v>
      </c>
      <c r="C571">
        <v>80</v>
      </c>
      <c r="D571">
        <v>79.178016662999994</v>
      </c>
      <c r="E571">
        <v>50</v>
      </c>
      <c r="F571">
        <v>49.949569701999998</v>
      </c>
      <c r="G571">
        <v>1329.8293457</v>
      </c>
      <c r="H571">
        <v>1329.2016602000001</v>
      </c>
      <c r="I571">
        <v>1339.3227539</v>
      </c>
      <c r="J571">
        <v>1336.7894286999999</v>
      </c>
      <c r="K571">
        <v>0</v>
      </c>
      <c r="L571">
        <v>2400</v>
      </c>
      <c r="M571">
        <v>2400</v>
      </c>
      <c r="N571">
        <v>0</v>
      </c>
    </row>
    <row r="572" spans="1:14" x14ac:dyDescent="0.25">
      <c r="A572">
        <v>189.42128600000001</v>
      </c>
      <c r="B572" s="1">
        <f>DATE(2010,11,6) + TIME(10,6,39)</f>
        <v>40488.421284722222</v>
      </c>
      <c r="C572">
        <v>80</v>
      </c>
      <c r="D572">
        <v>79.144973754999995</v>
      </c>
      <c r="E572">
        <v>50</v>
      </c>
      <c r="F572">
        <v>49.950962066999999</v>
      </c>
      <c r="G572">
        <v>1329.8211670000001</v>
      </c>
      <c r="H572">
        <v>1329.1914062000001</v>
      </c>
      <c r="I572">
        <v>1339.3087158000001</v>
      </c>
      <c r="J572">
        <v>1336.7768555</v>
      </c>
      <c r="K572">
        <v>0</v>
      </c>
      <c r="L572">
        <v>2400</v>
      </c>
      <c r="M572">
        <v>2400</v>
      </c>
      <c r="N572">
        <v>0</v>
      </c>
    </row>
    <row r="573" spans="1:14" x14ac:dyDescent="0.25">
      <c r="A573">
        <v>189.67227399999999</v>
      </c>
      <c r="B573" s="1">
        <f>DATE(2010,11,6) + TIME(16,8,4)</f>
        <v>40488.672268518516</v>
      </c>
      <c r="C573">
        <v>80</v>
      </c>
      <c r="D573">
        <v>79.111343383999994</v>
      </c>
      <c r="E573">
        <v>50</v>
      </c>
      <c r="F573">
        <v>49.952037810999997</v>
      </c>
      <c r="G573">
        <v>1329.8127440999999</v>
      </c>
      <c r="H573">
        <v>1329.1809082</v>
      </c>
      <c r="I573">
        <v>1339.2949219</v>
      </c>
      <c r="J573">
        <v>1336.7644043</v>
      </c>
      <c r="K573">
        <v>0</v>
      </c>
      <c r="L573">
        <v>2400</v>
      </c>
      <c r="M573">
        <v>2400</v>
      </c>
      <c r="N573">
        <v>0</v>
      </c>
    </row>
    <row r="574" spans="1:14" x14ac:dyDescent="0.25">
      <c r="A574">
        <v>189.92963599999999</v>
      </c>
      <c r="B574" s="1">
        <f>DATE(2010,11,6) + TIME(22,18,40)</f>
        <v>40488.929629629631</v>
      </c>
      <c r="C574">
        <v>80</v>
      </c>
      <c r="D574">
        <v>79.076995850000003</v>
      </c>
      <c r="E574">
        <v>50</v>
      </c>
      <c r="F574">
        <v>49.952873230000002</v>
      </c>
      <c r="G574">
        <v>1329.8043213000001</v>
      </c>
      <c r="H574">
        <v>1329.1704102000001</v>
      </c>
      <c r="I574">
        <v>1339.2811279</v>
      </c>
      <c r="J574">
        <v>1336.7519531</v>
      </c>
      <c r="K574">
        <v>0</v>
      </c>
      <c r="L574">
        <v>2400</v>
      </c>
      <c r="M574">
        <v>2400</v>
      </c>
      <c r="N574">
        <v>0</v>
      </c>
    </row>
    <row r="575" spans="1:14" x14ac:dyDescent="0.25">
      <c r="A575">
        <v>190.194694</v>
      </c>
      <c r="B575" s="1">
        <f>DATE(2010,11,7) + TIME(4,40,21)</f>
        <v>40489.194687499999</v>
      </c>
      <c r="C575">
        <v>80</v>
      </c>
      <c r="D575">
        <v>79.041770935000002</v>
      </c>
      <c r="E575">
        <v>50</v>
      </c>
      <c r="F575">
        <v>49.953529357999997</v>
      </c>
      <c r="G575">
        <v>1329.7957764</v>
      </c>
      <c r="H575">
        <v>1329.1595459</v>
      </c>
      <c r="I575">
        <v>1339.2674560999999</v>
      </c>
      <c r="J575">
        <v>1336.739624</v>
      </c>
      <c r="K575">
        <v>0</v>
      </c>
      <c r="L575">
        <v>2400</v>
      </c>
      <c r="M575">
        <v>2400</v>
      </c>
      <c r="N575">
        <v>0</v>
      </c>
    </row>
    <row r="576" spans="1:14" x14ac:dyDescent="0.25">
      <c r="A576">
        <v>190.468895</v>
      </c>
      <c r="B576" s="1">
        <f>DATE(2010,11,7) + TIME(11,15,12)</f>
        <v>40489.468888888892</v>
      </c>
      <c r="C576">
        <v>80</v>
      </c>
      <c r="D576">
        <v>79.005516052000004</v>
      </c>
      <c r="E576">
        <v>50</v>
      </c>
      <c r="F576">
        <v>49.954051970999998</v>
      </c>
      <c r="G576">
        <v>1329.7869873</v>
      </c>
      <c r="H576">
        <v>1329.1485596</v>
      </c>
      <c r="I576">
        <v>1339.2536620999999</v>
      </c>
      <c r="J576">
        <v>1336.7271728999999</v>
      </c>
      <c r="K576">
        <v>0</v>
      </c>
      <c r="L576">
        <v>2400</v>
      </c>
      <c r="M576">
        <v>2400</v>
      </c>
      <c r="N576">
        <v>0</v>
      </c>
    </row>
    <row r="577" spans="1:14" x14ac:dyDescent="0.25">
      <c r="A577">
        <v>190.75349700000001</v>
      </c>
      <c r="B577" s="1">
        <f>DATE(2010,11,7) + TIME(18,5,2)</f>
        <v>40489.753495370373</v>
      </c>
      <c r="C577">
        <v>80</v>
      </c>
      <c r="D577">
        <v>78.968093871999997</v>
      </c>
      <c r="E577">
        <v>50</v>
      </c>
      <c r="F577">
        <v>49.954471587999997</v>
      </c>
      <c r="G577">
        <v>1329.777832</v>
      </c>
      <c r="H577">
        <v>1329.137207</v>
      </c>
      <c r="I577">
        <v>1339.2399902</v>
      </c>
      <c r="J577">
        <v>1336.7147216999999</v>
      </c>
      <c r="K577">
        <v>0</v>
      </c>
      <c r="L577">
        <v>2400</v>
      </c>
      <c r="M577">
        <v>2400</v>
      </c>
      <c r="N577">
        <v>0</v>
      </c>
    </row>
    <row r="578" spans="1:14" x14ac:dyDescent="0.25">
      <c r="A578">
        <v>191.047989</v>
      </c>
      <c r="B578" s="1">
        <f>DATE(2010,11,8) + TIME(1,9,6)</f>
        <v>40490.047986111109</v>
      </c>
      <c r="C578">
        <v>80</v>
      </c>
      <c r="D578">
        <v>78.929557799999998</v>
      </c>
      <c r="E578">
        <v>50</v>
      </c>
      <c r="F578">
        <v>49.954811096</v>
      </c>
      <c r="G578">
        <v>1329.7685547000001</v>
      </c>
      <c r="H578">
        <v>1329.1254882999999</v>
      </c>
      <c r="I578">
        <v>1339.2261963000001</v>
      </c>
      <c r="J578">
        <v>1336.7022704999999</v>
      </c>
      <c r="K578">
        <v>0</v>
      </c>
      <c r="L578">
        <v>2400</v>
      </c>
      <c r="M578">
        <v>2400</v>
      </c>
      <c r="N578">
        <v>0</v>
      </c>
    </row>
    <row r="579" spans="1:14" x14ac:dyDescent="0.25">
      <c r="A579">
        <v>191.35413299999999</v>
      </c>
      <c r="B579" s="1">
        <f>DATE(2010,11,8) + TIME(8,29,57)</f>
        <v>40490.354131944441</v>
      </c>
      <c r="C579">
        <v>80</v>
      </c>
      <c r="D579">
        <v>78.889732361</v>
      </c>
      <c r="E579">
        <v>50</v>
      </c>
      <c r="F579">
        <v>49.955085754000002</v>
      </c>
      <c r="G579">
        <v>1329.7589111</v>
      </c>
      <c r="H579">
        <v>1329.1135254000001</v>
      </c>
      <c r="I579">
        <v>1339.2124022999999</v>
      </c>
      <c r="J579">
        <v>1336.6896973</v>
      </c>
      <c r="K579">
        <v>0</v>
      </c>
      <c r="L579">
        <v>2400</v>
      </c>
      <c r="M579">
        <v>2400</v>
      </c>
      <c r="N579">
        <v>0</v>
      </c>
    </row>
    <row r="580" spans="1:14" x14ac:dyDescent="0.25">
      <c r="A580">
        <v>191.67387199999999</v>
      </c>
      <c r="B580" s="1">
        <f>DATE(2010,11,8) + TIME(16,10,22)</f>
        <v>40490.67386574074</v>
      </c>
      <c r="C580">
        <v>80</v>
      </c>
      <c r="D580">
        <v>78.848396300999994</v>
      </c>
      <c r="E580">
        <v>50</v>
      </c>
      <c r="F580">
        <v>49.955314635999997</v>
      </c>
      <c r="G580">
        <v>1329.7490233999999</v>
      </c>
      <c r="H580">
        <v>1329.1010742000001</v>
      </c>
      <c r="I580">
        <v>1339.1984863</v>
      </c>
      <c r="J580">
        <v>1336.677124</v>
      </c>
      <c r="K580">
        <v>0</v>
      </c>
      <c r="L580">
        <v>2400</v>
      </c>
      <c r="M580">
        <v>2400</v>
      </c>
      <c r="N580">
        <v>0</v>
      </c>
    </row>
    <row r="581" spans="1:14" x14ac:dyDescent="0.25">
      <c r="A581">
        <v>192.009479</v>
      </c>
      <c r="B581" s="1">
        <f>DATE(2010,11,9) + TIME(0,13,39)</f>
        <v>40491.009479166663</v>
      </c>
      <c r="C581">
        <v>80</v>
      </c>
      <c r="D581">
        <v>78.805320739999999</v>
      </c>
      <c r="E581">
        <v>50</v>
      </c>
      <c r="F581">
        <v>49.955505371000001</v>
      </c>
      <c r="G581">
        <v>1329.7386475000001</v>
      </c>
      <c r="H581">
        <v>1329.0881348</v>
      </c>
      <c r="I581">
        <v>1339.1845702999999</v>
      </c>
      <c r="J581">
        <v>1336.6644286999999</v>
      </c>
      <c r="K581">
        <v>0</v>
      </c>
      <c r="L581">
        <v>2400</v>
      </c>
      <c r="M581">
        <v>2400</v>
      </c>
      <c r="N581">
        <v>0</v>
      </c>
    </row>
    <row r="582" spans="1:14" x14ac:dyDescent="0.25">
      <c r="A582">
        <v>192.362212</v>
      </c>
      <c r="B582" s="1">
        <f>DATE(2010,11,9) + TIME(8,41,35)</f>
        <v>40491.362210648149</v>
      </c>
      <c r="C582">
        <v>80</v>
      </c>
      <c r="D582">
        <v>78.760375976999995</v>
      </c>
      <c r="E582">
        <v>50</v>
      </c>
      <c r="F582">
        <v>49.955669403000002</v>
      </c>
      <c r="G582">
        <v>1329.7279053</v>
      </c>
      <c r="H582">
        <v>1329.074707</v>
      </c>
      <c r="I582">
        <v>1339.1704102000001</v>
      </c>
      <c r="J582">
        <v>1336.6516113</v>
      </c>
      <c r="K582">
        <v>0</v>
      </c>
      <c r="L582">
        <v>2400</v>
      </c>
      <c r="M582">
        <v>2400</v>
      </c>
      <c r="N582">
        <v>0</v>
      </c>
    </row>
    <row r="583" spans="1:14" x14ac:dyDescent="0.25">
      <c r="A583">
        <v>192.72619800000001</v>
      </c>
      <c r="B583" s="1">
        <f>DATE(2010,11,9) + TIME(17,25,43)</f>
        <v>40491.72619212963</v>
      </c>
      <c r="C583">
        <v>80</v>
      </c>
      <c r="D583">
        <v>78.714141846000004</v>
      </c>
      <c r="E583">
        <v>50</v>
      </c>
      <c r="F583">
        <v>49.955802917</v>
      </c>
      <c r="G583">
        <v>1329.7167969</v>
      </c>
      <c r="H583">
        <v>1329.0606689000001</v>
      </c>
      <c r="I583">
        <v>1339.1561279</v>
      </c>
      <c r="J583">
        <v>1336.6385498</v>
      </c>
      <c r="K583">
        <v>0</v>
      </c>
      <c r="L583">
        <v>2400</v>
      </c>
      <c r="M583">
        <v>2400</v>
      </c>
      <c r="N583">
        <v>0</v>
      </c>
    </row>
    <row r="584" spans="1:14" x14ac:dyDescent="0.25">
      <c r="A584">
        <v>193.09672800000001</v>
      </c>
      <c r="B584" s="1">
        <f>DATE(2010,11,10) + TIME(2,19,17)</f>
        <v>40492.096724537034</v>
      </c>
      <c r="C584">
        <v>80</v>
      </c>
      <c r="D584">
        <v>78.667129517000006</v>
      </c>
      <c r="E584">
        <v>50</v>
      </c>
      <c r="F584">
        <v>49.955917358000001</v>
      </c>
      <c r="G584">
        <v>1329.7053223</v>
      </c>
      <c r="H584">
        <v>1329.0462646000001</v>
      </c>
      <c r="I584">
        <v>1339.1420897999999</v>
      </c>
      <c r="J584">
        <v>1336.6256103999999</v>
      </c>
      <c r="K584">
        <v>0</v>
      </c>
      <c r="L584">
        <v>2400</v>
      </c>
      <c r="M584">
        <v>2400</v>
      </c>
      <c r="N584">
        <v>0</v>
      </c>
    </row>
    <row r="585" spans="1:14" x14ac:dyDescent="0.25">
      <c r="A585">
        <v>193.47527400000001</v>
      </c>
      <c r="B585" s="1">
        <f>DATE(2010,11,10) + TIME(11,24,23)</f>
        <v>40492.475266203706</v>
      </c>
      <c r="C585">
        <v>80</v>
      </c>
      <c r="D585">
        <v>78.619224548000005</v>
      </c>
      <c r="E585">
        <v>50</v>
      </c>
      <c r="F585">
        <v>49.956012725999997</v>
      </c>
      <c r="G585">
        <v>1329.6936035000001</v>
      </c>
      <c r="H585">
        <v>1329.0316161999999</v>
      </c>
      <c r="I585">
        <v>1339.1281738</v>
      </c>
      <c r="J585">
        <v>1336.6129149999999</v>
      </c>
      <c r="K585">
        <v>0</v>
      </c>
      <c r="L585">
        <v>2400</v>
      </c>
      <c r="M585">
        <v>2400</v>
      </c>
      <c r="N585">
        <v>0</v>
      </c>
    </row>
    <row r="586" spans="1:14" x14ac:dyDescent="0.25">
      <c r="A586">
        <v>193.859398</v>
      </c>
      <c r="B586" s="1">
        <f>DATE(2010,11,10) + TIME(20,37,32)</f>
        <v>40492.859398148146</v>
      </c>
      <c r="C586">
        <v>80</v>
      </c>
      <c r="D586">
        <v>78.570678710999999</v>
      </c>
      <c r="E586">
        <v>50</v>
      </c>
      <c r="F586">
        <v>49.956096649000003</v>
      </c>
      <c r="G586">
        <v>1329.6816406</v>
      </c>
      <c r="H586">
        <v>1329.0167236</v>
      </c>
      <c r="I586">
        <v>1339.114624</v>
      </c>
      <c r="J586">
        <v>1336.6003418</v>
      </c>
      <c r="K586">
        <v>0</v>
      </c>
      <c r="L586">
        <v>2400</v>
      </c>
      <c r="M586">
        <v>2400</v>
      </c>
      <c r="N586">
        <v>0</v>
      </c>
    </row>
    <row r="587" spans="1:14" x14ac:dyDescent="0.25">
      <c r="A587">
        <v>194.25118000000001</v>
      </c>
      <c r="B587" s="1">
        <f>DATE(2010,11,11) + TIME(6,1,41)</f>
        <v>40493.251168981478</v>
      </c>
      <c r="C587">
        <v>80</v>
      </c>
      <c r="D587">
        <v>78.521331786999994</v>
      </c>
      <c r="E587">
        <v>50</v>
      </c>
      <c r="F587">
        <v>49.956165314000003</v>
      </c>
      <c r="G587">
        <v>1329.6696777</v>
      </c>
      <c r="H587">
        <v>1329.0015868999999</v>
      </c>
      <c r="I587">
        <v>1339.1013184000001</v>
      </c>
      <c r="J587">
        <v>1336.5880127</v>
      </c>
      <c r="K587">
        <v>0</v>
      </c>
      <c r="L587">
        <v>2400</v>
      </c>
      <c r="M587">
        <v>2400</v>
      </c>
      <c r="N587">
        <v>0</v>
      </c>
    </row>
    <row r="588" spans="1:14" x14ac:dyDescent="0.25">
      <c r="A588">
        <v>194.65078099999999</v>
      </c>
      <c r="B588" s="1">
        <f>DATE(2010,11,11) + TIME(15,37,7)</f>
        <v>40493.650775462964</v>
      </c>
      <c r="C588">
        <v>80</v>
      </c>
      <c r="D588">
        <v>78.471183776999993</v>
      </c>
      <c r="E588">
        <v>50</v>
      </c>
      <c r="F588">
        <v>49.956226348999998</v>
      </c>
      <c r="G588">
        <v>1329.6573486</v>
      </c>
      <c r="H588">
        <v>1328.9862060999999</v>
      </c>
      <c r="I588">
        <v>1339.0882568</v>
      </c>
      <c r="J588">
        <v>1336.5759277</v>
      </c>
      <c r="K588">
        <v>0</v>
      </c>
      <c r="L588">
        <v>2400</v>
      </c>
      <c r="M588">
        <v>2400</v>
      </c>
      <c r="N588">
        <v>0</v>
      </c>
    </row>
    <row r="589" spans="1:14" x14ac:dyDescent="0.25">
      <c r="A589">
        <v>195.06012899999999</v>
      </c>
      <c r="B589" s="1">
        <f>DATE(2010,11,12) + TIME(1,26,35)</f>
        <v>40494.060127314813</v>
      </c>
      <c r="C589">
        <v>80</v>
      </c>
      <c r="D589">
        <v>78.420066833000007</v>
      </c>
      <c r="E589">
        <v>50</v>
      </c>
      <c r="F589">
        <v>49.956283569</v>
      </c>
      <c r="G589">
        <v>1329.6450195</v>
      </c>
      <c r="H589">
        <v>1328.9707031</v>
      </c>
      <c r="I589">
        <v>1339.0754394999999</v>
      </c>
      <c r="J589">
        <v>1336.5640868999999</v>
      </c>
      <c r="K589">
        <v>0</v>
      </c>
      <c r="L589">
        <v>2400</v>
      </c>
      <c r="M589">
        <v>2400</v>
      </c>
      <c r="N589">
        <v>0</v>
      </c>
    </row>
    <row r="590" spans="1:14" x14ac:dyDescent="0.25">
      <c r="A590">
        <v>195.479096</v>
      </c>
      <c r="B590" s="1">
        <f>DATE(2010,11,12) + TIME(11,29,53)</f>
        <v>40494.479085648149</v>
      </c>
      <c r="C590">
        <v>80</v>
      </c>
      <c r="D590">
        <v>78.368003845000004</v>
      </c>
      <c r="E590">
        <v>50</v>
      </c>
      <c r="F590">
        <v>49.95633316</v>
      </c>
      <c r="G590">
        <v>1329.6323242000001</v>
      </c>
      <c r="H590">
        <v>1328.9547118999999</v>
      </c>
      <c r="I590">
        <v>1339.0627440999999</v>
      </c>
      <c r="J590">
        <v>1336.5523682</v>
      </c>
      <c r="K590">
        <v>0</v>
      </c>
      <c r="L590">
        <v>2400</v>
      </c>
      <c r="M590">
        <v>2400</v>
      </c>
      <c r="N590">
        <v>0</v>
      </c>
    </row>
    <row r="591" spans="1:14" x14ac:dyDescent="0.25">
      <c r="A591">
        <v>195.909819</v>
      </c>
      <c r="B591" s="1">
        <f>DATE(2010,11,12) + TIME(21,50,8)</f>
        <v>40494.909814814811</v>
      </c>
      <c r="C591">
        <v>80</v>
      </c>
      <c r="D591">
        <v>78.314796447999996</v>
      </c>
      <c r="E591">
        <v>50</v>
      </c>
      <c r="F591">
        <v>49.956378936999997</v>
      </c>
      <c r="G591">
        <v>1329.6193848</v>
      </c>
      <c r="H591">
        <v>1328.9384766000001</v>
      </c>
      <c r="I591">
        <v>1339.0501709</v>
      </c>
      <c r="J591">
        <v>1336.5406493999999</v>
      </c>
      <c r="K591">
        <v>0</v>
      </c>
      <c r="L591">
        <v>2400</v>
      </c>
      <c r="M591">
        <v>2400</v>
      </c>
      <c r="N591">
        <v>0</v>
      </c>
    </row>
    <row r="592" spans="1:14" x14ac:dyDescent="0.25">
      <c r="A592">
        <v>196.354657</v>
      </c>
      <c r="B592" s="1">
        <f>DATE(2010,11,13) + TIME(8,30,42)</f>
        <v>40495.35465277778</v>
      </c>
      <c r="C592">
        <v>80</v>
      </c>
      <c r="D592">
        <v>78.260223389000004</v>
      </c>
      <c r="E592">
        <v>50</v>
      </c>
      <c r="F592">
        <v>49.956424712999997</v>
      </c>
      <c r="G592">
        <v>1329.6062012</v>
      </c>
      <c r="H592">
        <v>1328.921875</v>
      </c>
      <c r="I592">
        <v>1339.0378418</v>
      </c>
      <c r="J592">
        <v>1336.5290527</v>
      </c>
      <c r="K592">
        <v>0</v>
      </c>
      <c r="L592">
        <v>2400</v>
      </c>
      <c r="M592">
        <v>2400</v>
      </c>
      <c r="N592">
        <v>0</v>
      </c>
    </row>
    <row r="593" spans="1:14" x14ac:dyDescent="0.25">
      <c r="A593">
        <v>196.816236</v>
      </c>
      <c r="B593" s="1">
        <f>DATE(2010,11,13) + TIME(19,35,22)</f>
        <v>40495.81622685185</v>
      </c>
      <c r="C593">
        <v>80</v>
      </c>
      <c r="D593">
        <v>78.204055785999998</v>
      </c>
      <c r="E593">
        <v>50</v>
      </c>
      <c r="F593">
        <v>49.956462860000002</v>
      </c>
      <c r="G593">
        <v>1329.5925293</v>
      </c>
      <c r="H593">
        <v>1328.9049072</v>
      </c>
      <c r="I593">
        <v>1339.0255127</v>
      </c>
      <c r="J593">
        <v>1336.5175781</v>
      </c>
      <c r="K593">
        <v>0</v>
      </c>
      <c r="L593">
        <v>2400</v>
      </c>
      <c r="M593">
        <v>2400</v>
      </c>
      <c r="N593">
        <v>0</v>
      </c>
    </row>
    <row r="594" spans="1:14" x14ac:dyDescent="0.25">
      <c r="A594">
        <v>197.297605</v>
      </c>
      <c r="B594" s="1">
        <f>DATE(2010,11,14) + TIME(7,8,33)</f>
        <v>40496.29760416667</v>
      </c>
      <c r="C594">
        <v>80</v>
      </c>
      <c r="D594">
        <v>78.145988463999998</v>
      </c>
      <c r="E594">
        <v>50</v>
      </c>
      <c r="F594">
        <v>49.956504821999999</v>
      </c>
      <c r="G594">
        <v>1329.5784911999999</v>
      </c>
      <c r="H594">
        <v>1328.887207</v>
      </c>
      <c r="I594">
        <v>1339.0131836</v>
      </c>
      <c r="J594">
        <v>1336.5059814000001</v>
      </c>
      <c r="K594">
        <v>0</v>
      </c>
      <c r="L594">
        <v>2400</v>
      </c>
      <c r="M594">
        <v>2400</v>
      </c>
      <c r="N594">
        <v>0</v>
      </c>
    </row>
    <row r="595" spans="1:14" x14ac:dyDescent="0.25">
      <c r="A595">
        <v>197.79678999999999</v>
      </c>
      <c r="B595" s="1">
        <f>DATE(2010,11,14) + TIME(19,7,22)</f>
        <v>40496.796782407408</v>
      </c>
      <c r="C595">
        <v>80</v>
      </c>
      <c r="D595">
        <v>78.086181640999996</v>
      </c>
      <c r="E595">
        <v>50</v>
      </c>
      <c r="F595">
        <v>49.956542968999997</v>
      </c>
      <c r="G595">
        <v>1329.5639647999999</v>
      </c>
      <c r="H595">
        <v>1328.8690185999999</v>
      </c>
      <c r="I595">
        <v>1339.0007324000001</v>
      </c>
      <c r="J595">
        <v>1336.4942627</v>
      </c>
      <c r="K595">
        <v>0</v>
      </c>
      <c r="L595">
        <v>2400</v>
      </c>
      <c r="M595">
        <v>2400</v>
      </c>
      <c r="N595">
        <v>0</v>
      </c>
    </row>
    <row r="596" spans="1:14" x14ac:dyDescent="0.25">
      <c r="A596">
        <v>198.30660399999999</v>
      </c>
      <c r="B596" s="1">
        <f>DATE(2010,11,15) + TIME(7,21,30)</f>
        <v>40497.306597222225</v>
      </c>
      <c r="C596">
        <v>80</v>
      </c>
      <c r="D596">
        <v>78.025283813000001</v>
      </c>
      <c r="E596">
        <v>50</v>
      </c>
      <c r="F596">
        <v>49.956584929999998</v>
      </c>
      <c r="G596">
        <v>1329.5490723</v>
      </c>
      <c r="H596">
        <v>1328.8502197</v>
      </c>
      <c r="I596">
        <v>1338.9884033000001</v>
      </c>
      <c r="J596">
        <v>1336.4825439000001</v>
      </c>
      <c r="K596">
        <v>0</v>
      </c>
      <c r="L596">
        <v>2400</v>
      </c>
      <c r="M596">
        <v>2400</v>
      </c>
      <c r="N596">
        <v>0</v>
      </c>
    </row>
    <row r="597" spans="1:14" x14ac:dyDescent="0.25">
      <c r="A597">
        <v>198.81945099999999</v>
      </c>
      <c r="B597" s="1">
        <f>DATE(2010,11,15) + TIME(19,40,0)</f>
        <v>40497.819444444445</v>
      </c>
      <c r="C597">
        <v>80</v>
      </c>
      <c r="D597">
        <v>77.963989257999998</v>
      </c>
      <c r="E597">
        <v>50</v>
      </c>
      <c r="F597">
        <v>49.956619263</v>
      </c>
      <c r="G597">
        <v>1329.5338135</v>
      </c>
      <c r="H597">
        <v>1328.8310547000001</v>
      </c>
      <c r="I597">
        <v>1338.9761963000001</v>
      </c>
      <c r="J597">
        <v>1336.4710693</v>
      </c>
      <c r="K597">
        <v>0</v>
      </c>
      <c r="L597">
        <v>2400</v>
      </c>
      <c r="M597">
        <v>2400</v>
      </c>
      <c r="N597">
        <v>0</v>
      </c>
    </row>
    <row r="598" spans="1:14" x14ac:dyDescent="0.25">
      <c r="A598">
        <v>199.33806999999999</v>
      </c>
      <c r="B598" s="1">
        <f>DATE(2010,11,16) + TIME(8,6,49)</f>
        <v>40498.338067129633</v>
      </c>
      <c r="C598">
        <v>80</v>
      </c>
      <c r="D598">
        <v>77.902183532999999</v>
      </c>
      <c r="E598">
        <v>50</v>
      </c>
      <c r="F598">
        <v>49.956657409999998</v>
      </c>
      <c r="G598">
        <v>1329.5184326000001</v>
      </c>
      <c r="H598">
        <v>1328.8117675999999</v>
      </c>
      <c r="I598">
        <v>1338.9643555</v>
      </c>
      <c r="J598">
        <v>1336.4598389</v>
      </c>
      <c r="K598">
        <v>0</v>
      </c>
      <c r="L598">
        <v>2400</v>
      </c>
      <c r="M598">
        <v>2400</v>
      </c>
      <c r="N598">
        <v>0</v>
      </c>
    </row>
    <row r="599" spans="1:14" x14ac:dyDescent="0.25">
      <c r="A599">
        <v>199.86518599999999</v>
      </c>
      <c r="B599" s="1">
        <f>DATE(2010,11,16) + TIME(20,45,52)</f>
        <v>40498.865185185183</v>
      </c>
      <c r="C599">
        <v>80</v>
      </c>
      <c r="D599">
        <v>77.839675903</v>
      </c>
      <c r="E599">
        <v>50</v>
      </c>
      <c r="F599">
        <v>49.956695557000003</v>
      </c>
      <c r="G599">
        <v>1329.5029297000001</v>
      </c>
      <c r="H599">
        <v>1328.7922363</v>
      </c>
      <c r="I599">
        <v>1338.9527588000001</v>
      </c>
      <c r="J599">
        <v>1336.4487305</v>
      </c>
      <c r="K599">
        <v>0</v>
      </c>
      <c r="L599">
        <v>2400</v>
      </c>
      <c r="M599">
        <v>2400</v>
      </c>
      <c r="N599">
        <v>0</v>
      </c>
    </row>
    <row r="600" spans="1:14" x14ac:dyDescent="0.25">
      <c r="A600">
        <v>200.40353500000001</v>
      </c>
      <c r="B600" s="1">
        <f>DATE(2010,11,17) + TIME(9,41,5)</f>
        <v>40499.40353009259</v>
      </c>
      <c r="C600">
        <v>80</v>
      </c>
      <c r="D600">
        <v>77.776260375999996</v>
      </c>
      <c r="E600">
        <v>50</v>
      </c>
      <c r="F600">
        <v>49.956733704000001</v>
      </c>
      <c r="G600">
        <v>1329.4871826000001</v>
      </c>
      <c r="H600">
        <v>1328.7724608999999</v>
      </c>
      <c r="I600">
        <v>1338.9414062000001</v>
      </c>
      <c r="J600">
        <v>1336.4379882999999</v>
      </c>
      <c r="K600">
        <v>0</v>
      </c>
      <c r="L600">
        <v>2400</v>
      </c>
      <c r="M600">
        <v>2400</v>
      </c>
      <c r="N600">
        <v>0</v>
      </c>
    </row>
    <row r="601" spans="1:14" x14ac:dyDescent="0.25">
      <c r="A601">
        <v>200.955905</v>
      </c>
      <c r="B601" s="1">
        <f>DATE(2010,11,17) + TIME(22,56,30)</f>
        <v>40499.95590277778</v>
      </c>
      <c r="C601">
        <v>80</v>
      </c>
      <c r="D601">
        <v>77.711708068999997</v>
      </c>
      <c r="E601">
        <v>50</v>
      </c>
      <c r="F601">
        <v>49.956771850999999</v>
      </c>
      <c r="G601">
        <v>1329.4711914</v>
      </c>
      <c r="H601">
        <v>1328.7523193</v>
      </c>
      <c r="I601">
        <v>1338.9301757999999</v>
      </c>
      <c r="J601">
        <v>1336.4272461</v>
      </c>
      <c r="K601">
        <v>0</v>
      </c>
      <c r="L601">
        <v>2400</v>
      </c>
      <c r="M601">
        <v>2400</v>
      </c>
      <c r="N601">
        <v>0</v>
      </c>
    </row>
    <row r="602" spans="1:14" x14ac:dyDescent="0.25">
      <c r="A602">
        <v>201.524933</v>
      </c>
      <c r="B602" s="1">
        <f>DATE(2010,11,18) + TIME(12,35,54)</f>
        <v>40500.524930555555</v>
      </c>
      <c r="C602">
        <v>80</v>
      </c>
      <c r="D602">
        <v>77.645790099999999</v>
      </c>
      <c r="E602">
        <v>50</v>
      </c>
      <c r="F602">
        <v>49.956813812</v>
      </c>
      <c r="G602">
        <v>1329.4548339999999</v>
      </c>
      <c r="H602">
        <v>1328.7316894999999</v>
      </c>
      <c r="I602">
        <v>1338.9190673999999</v>
      </c>
      <c r="J602">
        <v>1336.4165039</v>
      </c>
      <c r="K602">
        <v>0</v>
      </c>
      <c r="L602">
        <v>2400</v>
      </c>
      <c r="M602">
        <v>2400</v>
      </c>
      <c r="N602">
        <v>0</v>
      </c>
    </row>
    <row r="603" spans="1:14" x14ac:dyDescent="0.25">
      <c r="A603">
        <v>202.107584</v>
      </c>
      <c r="B603" s="1">
        <f>DATE(2010,11,19) + TIME(2,34,55)</f>
        <v>40501.107581018521</v>
      </c>
      <c r="C603">
        <v>80</v>
      </c>
      <c r="D603">
        <v>77.578742981000005</v>
      </c>
      <c r="E603">
        <v>50</v>
      </c>
      <c r="F603">
        <v>49.956855773999997</v>
      </c>
      <c r="G603">
        <v>1329.4381103999999</v>
      </c>
      <c r="H603">
        <v>1328.7105713000001</v>
      </c>
      <c r="I603">
        <v>1338.9080810999999</v>
      </c>
      <c r="J603">
        <v>1336.4058838000001</v>
      </c>
      <c r="K603">
        <v>0</v>
      </c>
      <c r="L603">
        <v>2400</v>
      </c>
      <c r="M603">
        <v>2400</v>
      </c>
      <c r="N603">
        <v>0</v>
      </c>
    </row>
    <row r="604" spans="1:14" x14ac:dyDescent="0.25">
      <c r="A604">
        <v>202.70703499999999</v>
      </c>
      <c r="B604" s="1">
        <f>DATE(2010,11,19) + TIME(16,58,7)</f>
        <v>40501.707025462965</v>
      </c>
      <c r="C604">
        <v>80</v>
      </c>
      <c r="D604">
        <v>77.510314941000004</v>
      </c>
      <c r="E604">
        <v>50</v>
      </c>
      <c r="F604">
        <v>49.956897736000002</v>
      </c>
      <c r="G604">
        <v>1329.4210204999999</v>
      </c>
      <c r="H604">
        <v>1328.6890868999999</v>
      </c>
      <c r="I604">
        <v>1338.8970947</v>
      </c>
      <c r="J604">
        <v>1336.3953856999999</v>
      </c>
      <c r="K604">
        <v>0</v>
      </c>
      <c r="L604">
        <v>2400</v>
      </c>
      <c r="M604">
        <v>2400</v>
      </c>
      <c r="N604">
        <v>0</v>
      </c>
    </row>
    <row r="605" spans="1:14" x14ac:dyDescent="0.25">
      <c r="A605">
        <v>203.32671999999999</v>
      </c>
      <c r="B605" s="1">
        <f>DATE(2010,11,20) + TIME(7,50,28)</f>
        <v>40502.32671296296</v>
      </c>
      <c r="C605">
        <v>80</v>
      </c>
      <c r="D605">
        <v>77.440238953000005</v>
      </c>
      <c r="E605">
        <v>50</v>
      </c>
      <c r="F605">
        <v>49.956943512000002</v>
      </c>
      <c r="G605">
        <v>1329.4034423999999</v>
      </c>
      <c r="H605">
        <v>1328.6669922000001</v>
      </c>
      <c r="I605">
        <v>1338.8862305</v>
      </c>
      <c r="J605">
        <v>1336.3847656</v>
      </c>
      <c r="K605">
        <v>0</v>
      </c>
      <c r="L605">
        <v>2400</v>
      </c>
      <c r="M605">
        <v>2400</v>
      </c>
      <c r="N605">
        <v>0</v>
      </c>
    </row>
    <row r="606" spans="1:14" x14ac:dyDescent="0.25">
      <c r="A606">
        <v>203.97062700000001</v>
      </c>
      <c r="B606" s="1">
        <f>DATE(2010,11,20) + TIME(23,17,42)</f>
        <v>40502.970625000002</v>
      </c>
      <c r="C606">
        <v>80</v>
      </c>
      <c r="D606">
        <v>77.368186950999998</v>
      </c>
      <c r="E606">
        <v>50</v>
      </c>
      <c r="F606">
        <v>49.956989288000003</v>
      </c>
      <c r="G606">
        <v>1329.385376</v>
      </c>
      <c r="H606">
        <v>1328.6441649999999</v>
      </c>
      <c r="I606">
        <v>1338.8753661999999</v>
      </c>
      <c r="J606">
        <v>1336.3742675999999</v>
      </c>
      <c r="K606">
        <v>0</v>
      </c>
      <c r="L606">
        <v>2400</v>
      </c>
      <c r="M606">
        <v>2400</v>
      </c>
      <c r="N606">
        <v>0</v>
      </c>
    </row>
    <row r="607" spans="1:14" x14ac:dyDescent="0.25">
      <c r="A607">
        <v>204.62848500000001</v>
      </c>
      <c r="B607" s="1">
        <f>DATE(2010,11,21) + TIME(15,5,1)</f>
        <v>40503.628483796296</v>
      </c>
      <c r="C607">
        <v>80</v>
      </c>
      <c r="D607">
        <v>77.294883728000002</v>
      </c>
      <c r="E607">
        <v>50</v>
      </c>
      <c r="F607">
        <v>49.957038879000002</v>
      </c>
      <c r="G607">
        <v>1329.3668213000001</v>
      </c>
      <c r="H607">
        <v>1328.6207274999999</v>
      </c>
      <c r="I607">
        <v>1338.8643798999999</v>
      </c>
      <c r="J607">
        <v>1336.3636475000001</v>
      </c>
      <c r="K607">
        <v>0</v>
      </c>
      <c r="L607">
        <v>2400</v>
      </c>
      <c r="M607">
        <v>2400</v>
      </c>
      <c r="N607">
        <v>0</v>
      </c>
    </row>
    <row r="608" spans="1:14" x14ac:dyDescent="0.25">
      <c r="A608">
        <v>205.29135299999999</v>
      </c>
      <c r="B608" s="1">
        <f>DATE(2010,11,22) + TIME(6,59,32)</f>
        <v>40504.291342592594</v>
      </c>
      <c r="C608">
        <v>80</v>
      </c>
      <c r="D608">
        <v>77.221069335999999</v>
      </c>
      <c r="E608">
        <v>50</v>
      </c>
      <c r="F608">
        <v>49.957088470000002</v>
      </c>
      <c r="G608">
        <v>1329.3477783000001</v>
      </c>
      <c r="H608">
        <v>1328.5966797000001</v>
      </c>
      <c r="I608">
        <v>1338.8536377</v>
      </c>
      <c r="J608">
        <v>1336.3530272999999</v>
      </c>
      <c r="K608">
        <v>0</v>
      </c>
      <c r="L608">
        <v>2400</v>
      </c>
      <c r="M608">
        <v>2400</v>
      </c>
      <c r="N608">
        <v>0</v>
      </c>
    </row>
    <row r="609" spans="1:14" x14ac:dyDescent="0.25">
      <c r="A609">
        <v>205.96278699999999</v>
      </c>
      <c r="B609" s="1">
        <f>DATE(2010,11,22) + TIME(23,6,24)</f>
        <v>40504.962777777779</v>
      </c>
      <c r="C609">
        <v>80</v>
      </c>
      <c r="D609">
        <v>77.146652222</v>
      </c>
      <c r="E609">
        <v>50</v>
      </c>
      <c r="F609">
        <v>49.957138061999999</v>
      </c>
      <c r="G609">
        <v>1329.3284911999999</v>
      </c>
      <c r="H609">
        <v>1328.5723877</v>
      </c>
      <c r="I609">
        <v>1338.8431396000001</v>
      </c>
      <c r="J609">
        <v>1336.3427733999999</v>
      </c>
      <c r="K609">
        <v>0</v>
      </c>
      <c r="L609">
        <v>2400</v>
      </c>
      <c r="M609">
        <v>2400</v>
      </c>
      <c r="N609">
        <v>0</v>
      </c>
    </row>
    <row r="610" spans="1:14" x14ac:dyDescent="0.25">
      <c r="A610">
        <v>206.64637999999999</v>
      </c>
      <c r="B610" s="1">
        <f>DATE(2010,11,23) + TIME(15,30,47)</f>
        <v>40505.646377314813</v>
      </c>
      <c r="C610">
        <v>80</v>
      </c>
      <c r="D610">
        <v>77.071441649999997</v>
      </c>
      <c r="E610">
        <v>50</v>
      </c>
      <c r="F610">
        <v>49.957187652999998</v>
      </c>
      <c r="G610">
        <v>1329.309082</v>
      </c>
      <c r="H610">
        <v>1328.5478516000001</v>
      </c>
      <c r="I610">
        <v>1338.8327637</v>
      </c>
      <c r="J610">
        <v>1336.3326416</v>
      </c>
      <c r="K610">
        <v>0</v>
      </c>
      <c r="L610">
        <v>2400</v>
      </c>
      <c r="M610">
        <v>2400</v>
      </c>
      <c r="N610">
        <v>0</v>
      </c>
    </row>
    <row r="611" spans="1:14" x14ac:dyDescent="0.25">
      <c r="A611">
        <v>207.34593699999999</v>
      </c>
      <c r="B611" s="1">
        <f>DATE(2010,11,24) + TIME(8,18,8)</f>
        <v>40506.345925925925</v>
      </c>
      <c r="C611">
        <v>80</v>
      </c>
      <c r="D611">
        <v>76.995185852000006</v>
      </c>
      <c r="E611">
        <v>50</v>
      </c>
      <c r="F611">
        <v>49.957241058000001</v>
      </c>
      <c r="G611">
        <v>1329.2893065999999</v>
      </c>
      <c r="H611">
        <v>1328.5229492000001</v>
      </c>
      <c r="I611">
        <v>1338.8226318</v>
      </c>
      <c r="J611">
        <v>1336.3226318</v>
      </c>
      <c r="K611">
        <v>0</v>
      </c>
      <c r="L611">
        <v>2400</v>
      </c>
      <c r="M611">
        <v>2400</v>
      </c>
      <c r="N611">
        <v>0</v>
      </c>
    </row>
    <row r="612" spans="1:14" x14ac:dyDescent="0.25">
      <c r="A612">
        <v>208.05946499999999</v>
      </c>
      <c r="B612" s="1">
        <f>DATE(2010,11,25) + TIME(1,25,37)</f>
        <v>40507.05945601852</v>
      </c>
      <c r="C612">
        <v>80</v>
      </c>
      <c r="D612">
        <v>76.917999268000003</v>
      </c>
      <c r="E612">
        <v>50</v>
      </c>
      <c r="F612">
        <v>49.957298279</v>
      </c>
      <c r="G612">
        <v>1329.2692870999999</v>
      </c>
      <c r="H612">
        <v>1328.4975586</v>
      </c>
      <c r="I612">
        <v>1338.8126221</v>
      </c>
      <c r="J612">
        <v>1336.3126221</v>
      </c>
      <c r="K612">
        <v>0</v>
      </c>
      <c r="L612">
        <v>2400</v>
      </c>
      <c r="M612">
        <v>2400</v>
      </c>
      <c r="N612">
        <v>0</v>
      </c>
    </row>
    <row r="613" spans="1:14" x14ac:dyDescent="0.25">
      <c r="A613">
        <v>208.78693100000001</v>
      </c>
      <c r="B613" s="1">
        <f>DATE(2010,11,25) + TIME(18,53,10)</f>
        <v>40507.786921296298</v>
      </c>
      <c r="C613">
        <v>80</v>
      </c>
      <c r="D613">
        <v>76.839920043999996</v>
      </c>
      <c r="E613">
        <v>50</v>
      </c>
      <c r="F613">
        <v>49.957351684999999</v>
      </c>
      <c r="G613">
        <v>1329.2487793</v>
      </c>
      <c r="H613">
        <v>1328.4716797000001</v>
      </c>
      <c r="I613">
        <v>1338.8026123</v>
      </c>
      <c r="J613">
        <v>1336.3028564000001</v>
      </c>
      <c r="K613">
        <v>0</v>
      </c>
      <c r="L613">
        <v>2400</v>
      </c>
      <c r="M613">
        <v>2400</v>
      </c>
      <c r="N613">
        <v>0</v>
      </c>
    </row>
    <row r="614" spans="1:14" x14ac:dyDescent="0.25">
      <c r="A614">
        <v>209.53225900000001</v>
      </c>
      <c r="B614" s="1">
        <f>DATE(2010,11,26) + TIME(12,46,27)</f>
        <v>40508.532256944447</v>
      </c>
      <c r="C614">
        <v>80</v>
      </c>
      <c r="D614">
        <v>76.760696410999998</v>
      </c>
      <c r="E614">
        <v>50</v>
      </c>
      <c r="F614">
        <v>49.957412720000001</v>
      </c>
      <c r="G614">
        <v>1329.2279053</v>
      </c>
      <c r="H614">
        <v>1328.4453125</v>
      </c>
      <c r="I614">
        <v>1338.7928466999999</v>
      </c>
      <c r="J614">
        <v>1336.2930908000001</v>
      </c>
      <c r="K614">
        <v>0</v>
      </c>
      <c r="L614">
        <v>2400</v>
      </c>
      <c r="M614">
        <v>2400</v>
      </c>
      <c r="N614">
        <v>0</v>
      </c>
    </row>
    <row r="615" spans="1:14" x14ac:dyDescent="0.25">
      <c r="A615">
        <v>210.2998</v>
      </c>
      <c r="B615" s="1">
        <f>DATE(2010,11,27) + TIME(7,11,42)</f>
        <v>40509.299791666665</v>
      </c>
      <c r="C615">
        <v>80</v>
      </c>
      <c r="D615">
        <v>76.680015564000001</v>
      </c>
      <c r="E615">
        <v>50</v>
      </c>
      <c r="F615">
        <v>49.957469940000003</v>
      </c>
      <c r="G615">
        <v>1329.2066649999999</v>
      </c>
      <c r="H615">
        <v>1328.418457</v>
      </c>
      <c r="I615">
        <v>1338.7830810999999</v>
      </c>
      <c r="J615">
        <v>1336.2833252</v>
      </c>
      <c r="K615">
        <v>0</v>
      </c>
      <c r="L615">
        <v>2400</v>
      </c>
      <c r="M615">
        <v>2400</v>
      </c>
      <c r="N615">
        <v>0</v>
      </c>
    </row>
    <row r="616" spans="1:14" x14ac:dyDescent="0.25">
      <c r="A616">
        <v>211.09423799999999</v>
      </c>
      <c r="B616" s="1">
        <f>DATE(2010,11,28) + TIME(2,15,42)</f>
        <v>40510.094236111108</v>
      </c>
      <c r="C616">
        <v>80</v>
      </c>
      <c r="D616">
        <v>76.597534179999997</v>
      </c>
      <c r="E616">
        <v>50</v>
      </c>
      <c r="F616">
        <v>49.957534789999997</v>
      </c>
      <c r="G616">
        <v>1329.1848144999999</v>
      </c>
      <c r="H616">
        <v>1328.3907471</v>
      </c>
      <c r="I616">
        <v>1338.7733154</v>
      </c>
      <c r="J616">
        <v>1336.2736815999999</v>
      </c>
      <c r="K616">
        <v>0</v>
      </c>
      <c r="L616">
        <v>2400</v>
      </c>
      <c r="M616">
        <v>2400</v>
      </c>
      <c r="N616">
        <v>0</v>
      </c>
    </row>
    <row r="617" spans="1:14" x14ac:dyDescent="0.25">
      <c r="A617">
        <v>211.915402</v>
      </c>
      <c r="B617" s="1">
        <f>DATE(2010,11,28) + TIME(21,58,10)</f>
        <v>40510.915393518517</v>
      </c>
      <c r="C617">
        <v>80</v>
      </c>
      <c r="D617">
        <v>76.513183593999997</v>
      </c>
      <c r="E617">
        <v>50</v>
      </c>
      <c r="F617">
        <v>49.957599639999998</v>
      </c>
      <c r="G617">
        <v>1329.1622314000001</v>
      </c>
      <c r="H617">
        <v>1328.3623047000001</v>
      </c>
      <c r="I617">
        <v>1338.7635498</v>
      </c>
      <c r="J617">
        <v>1336.2639160000001</v>
      </c>
      <c r="K617">
        <v>0</v>
      </c>
      <c r="L617">
        <v>2400</v>
      </c>
      <c r="M617">
        <v>2400</v>
      </c>
      <c r="N617">
        <v>0</v>
      </c>
    </row>
    <row r="618" spans="1:14" x14ac:dyDescent="0.25">
      <c r="A618">
        <v>212.74291199999999</v>
      </c>
      <c r="B618" s="1">
        <f>DATE(2010,11,29) + TIME(17,49,47)</f>
        <v>40511.742905092593</v>
      </c>
      <c r="C618">
        <v>80</v>
      </c>
      <c r="D618">
        <v>76.428184509000005</v>
      </c>
      <c r="E618">
        <v>50</v>
      </c>
      <c r="F618">
        <v>49.957664489999999</v>
      </c>
      <c r="G618">
        <v>1329.1391602000001</v>
      </c>
      <c r="H618">
        <v>1328.3330077999999</v>
      </c>
      <c r="I618">
        <v>1338.7539062000001</v>
      </c>
      <c r="J618">
        <v>1336.2540283000001</v>
      </c>
      <c r="K618">
        <v>0</v>
      </c>
      <c r="L618">
        <v>2400</v>
      </c>
      <c r="M618">
        <v>2400</v>
      </c>
      <c r="N618">
        <v>0</v>
      </c>
    </row>
    <row r="619" spans="1:14" x14ac:dyDescent="0.25">
      <c r="A619">
        <v>213.57698400000001</v>
      </c>
      <c r="B619" s="1">
        <f>DATE(2010,11,30) + TIME(13,50,51)</f>
        <v>40512.576979166668</v>
      </c>
      <c r="C619">
        <v>80</v>
      </c>
      <c r="D619">
        <v>76.342826842999997</v>
      </c>
      <c r="E619">
        <v>50</v>
      </c>
      <c r="F619">
        <v>49.95772934</v>
      </c>
      <c r="G619">
        <v>1329.1157227000001</v>
      </c>
      <c r="H619">
        <v>1328.3033447</v>
      </c>
      <c r="I619">
        <v>1338.7442627</v>
      </c>
      <c r="J619">
        <v>1336.2445068</v>
      </c>
      <c r="K619">
        <v>0</v>
      </c>
      <c r="L619">
        <v>2400</v>
      </c>
      <c r="M619">
        <v>2400</v>
      </c>
      <c r="N619">
        <v>0</v>
      </c>
    </row>
    <row r="620" spans="1:14" x14ac:dyDescent="0.25">
      <c r="A620">
        <v>214</v>
      </c>
      <c r="B620" s="1">
        <f>DATE(2010,12,1) + TIME(0,0,0)</f>
        <v>40513</v>
      </c>
      <c r="C620">
        <v>80</v>
      </c>
      <c r="D620">
        <v>76.2890625</v>
      </c>
      <c r="E620">
        <v>50</v>
      </c>
      <c r="F620">
        <v>49.957759856999999</v>
      </c>
      <c r="G620">
        <v>1329.0938721</v>
      </c>
      <c r="H620">
        <v>1328.2753906</v>
      </c>
      <c r="I620">
        <v>1338.7351074000001</v>
      </c>
      <c r="J620">
        <v>1336.2353516000001</v>
      </c>
      <c r="K620">
        <v>0</v>
      </c>
      <c r="L620">
        <v>2400</v>
      </c>
      <c r="M620">
        <v>2400</v>
      </c>
      <c r="N620">
        <v>0</v>
      </c>
    </row>
    <row r="621" spans="1:14" x14ac:dyDescent="0.25">
      <c r="A621">
        <v>214.84503900000001</v>
      </c>
      <c r="B621" s="1">
        <f>DATE(2010,12,1) + TIME(20,16,51)</f>
        <v>40513.845034722224</v>
      </c>
      <c r="C621">
        <v>80</v>
      </c>
      <c r="D621">
        <v>76.207725525000001</v>
      </c>
      <c r="E621">
        <v>50</v>
      </c>
      <c r="F621">
        <v>49.957836151000002</v>
      </c>
      <c r="G621">
        <v>1329.0778809000001</v>
      </c>
      <c r="H621">
        <v>1328.255249</v>
      </c>
      <c r="I621">
        <v>1338.7303466999999</v>
      </c>
      <c r="J621">
        <v>1336.2301024999999</v>
      </c>
      <c r="K621">
        <v>0</v>
      </c>
      <c r="L621">
        <v>2400</v>
      </c>
      <c r="M621">
        <v>2400</v>
      </c>
      <c r="N621">
        <v>0</v>
      </c>
    </row>
    <row r="622" spans="1:14" x14ac:dyDescent="0.25">
      <c r="A622">
        <v>215.715126</v>
      </c>
      <c r="B622" s="1">
        <f>DATE(2010,12,2) + TIME(17,9,46)</f>
        <v>40514.715115740742</v>
      </c>
      <c r="C622">
        <v>80</v>
      </c>
      <c r="D622">
        <v>76.123565674000005</v>
      </c>
      <c r="E622">
        <v>50</v>
      </c>
      <c r="F622">
        <v>49.957904816000003</v>
      </c>
      <c r="G622">
        <v>1329.0551757999999</v>
      </c>
      <c r="H622">
        <v>1328.2265625</v>
      </c>
      <c r="I622">
        <v>1338.7214355000001</v>
      </c>
      <c r="J622">
        <v>1336.2211914</v>
      </c>
      <c r="K622">
        <v>0</v>
      </c>
      <c r="L622">
        <v>2400</v>
      </c>
      <c r="M622">
        <v>2400</v>
      </c>
      <c r="N622">
        <v>0</v>
      </c>
    </row>
    <row r="623" spans="1:14" x14ac:dyDescent="0.25">
      <c r="A623">
        <v>216.607516</v>
      </c>
      <c r="B623" s="1">
        <f>DATE(2010,12,3) + TIME(14,34,49)</f>
        <v>40515.607511574075</v>
      </c>
      <c r="C623">
        <v>80</v>
      </c>
      <c r="D623">
        <v>76.037200928000004</v>
      </c>
      <c r="E623">
        <v>50</v>
      </c>
      <c r="F623">
        <v>49.957977294999999</v>
      </c>
      <c r="G623">
        <v>1329.03125</v>
      </c>
      <c r="H623">
        <v>1328.1961670000001</v>
      </c>
      <c r="I623">
        <v>1338.7124022999999</v>
      </c>
      <c r="J623">
        <v>1336.2120361</v>
      </c>
      <c r="K623">
        <v>0</v>
      </c>
      <c r="L623">
        <v>2400</v>
      </c>
      <c r="M623">
        <v>2400</v>
      </c>
      <c r="N623">
        <v>0</v>
      </c>
    </row>
    <row r="624" spans="1:14" x14ac:dyDescent="0.25">
      <c r="A624">
        <v>217.51964699999999</v>
      </c>
      <c r="B624" s="1">
        <f>DATE(2010,12,4) + TIME(12,28,17)</f>
        <v>40516.519641203704</v>
      </c>
      <c r="C624">
        <v>80</v>
      </c>
      <c r="D624">
        <v>75.949127196999996</v>
      </c>
      <c r="E624">
        <v>50</v>
      </c>
      <c r="F624">
        <v>49.958049774000003</v>
      </c>
      <c r="G624">
        <v>1329.0064697</v>
      </c>
      <c r="H624">
        <v>1328.1646728999999</v>
      </c>
      <c r="I624">
        <v>1338.7034911999999</v>
      </c>
      <c r="J624">
        <v>1336.2028809000001</v>
      </c>
      <c r="K624">
        <v>0</v>
      </c>
      <c r="L624">
        <v>2400</v>
      </c>
      <c r="M624">
        <v>2400</v>
      </c>
      <c r="N624">
        <v>0</v>
      </c>
    </row>
    <row r="625" spans="1:14" x14ac:dyDescent="0.25">
      <c r="A625">
        <v>218.456525</v>
      </c>
      <c r="B625" s="1">
        <f>DATE(2010,12,5) + TIME(10,57,23)</f>
        <v>40517.456516203703</v>
      </c>
      <c r="C625">
        <v>80</v>
      </c>
      <c r="D625">
        <v>75.859336853000002</v>
      </c>
      <c r="E625">
        <v>50</v>
      </c>
      <c r="F625">
        <v>49.958122252999999</v>
      </c>
      <c r="G625">
        <v>1328.980957</v>
      </c>
      <c r="H625">
        <v>1328.1324463000001</v>
      </c>
      <c r="I625">
        <v>1338.6945800999999</v>
      </c>
      <c r="J625">
        <v>1336.1938477000001</v>
      </c>
      <c r="K625">
        <v>0</v>
      </c>
      <c r="L625">
        <v>2400</v>
      </c>
      <c r="M625">
        <v>2400</v>
      </c>
      <c r="N625">
        <v>0</v>
      </c>
    </row>
    <row r="626" spans="1:14" x14ac:dyDescent="0.25">
      <c r="A626">
        <v>219.419014</v>
      </c>
      <c r="B626" s="1">
        <f>DATE(2010,12,6) + TIME(10,3,22)</f>
        <v>40518.419004629628</v>
      </c>
      <c r="C626">
        <v>80</v>
      </c>
      <c r="D626">
        <v>75.767906189000001</v>
      </c>
      <c r="E626">
        <v>50</v>
      </c>
      <c r="F626">
        <v>49.958202362000002</v>
      </c>
      <c r="G626">
        <v>1328.9548339999999</v>
      </c>
      <c r="H626">
        <v>1328.0992432</v>
      </c>
      <c r="I626">
        <v>1338.6857910000001</v>
      </c>
      <c r="J626">
        <v>1336.1848144999999</v>
      </c>
      <c r="K626">
        <v>0</v>
      </c>
      <c r="L626">
        <v>2400</v>
      </c>
      <c r="M626">
        <v>2400</v>
      </c>
      <c r="N626">
        <v>0</v>
      </c>
    </row>
    <row r="627" spans="1:14" x14ac:dyDescent="0.25">
      <c r="A627">
        <v>220.40106499999999</v>
      </c>
      <c r="B627" s="1">
        <f>DATE(2010,12,7) + TIME(9,37,31)</f>
        <v>40519.401053240741</v>
      </c>
      <c r="C627">
        <v>80</v>
      </c>
      <c r="D627">
        <v>75.675216675000001</v>
      </c>
      <c r="E627">
        <v>50</v>
      </c>
      <c r="F627">
        <v>49.958278655999997</v>
      </c>
      <c r="G627">
        <v>1328.9281006000001</v>
      </c>
      <c r="H627">
        <v>1328.0651855000001</v>
      </c>
      <c r="I627">
        <v>1338.6770019999999</v>
      </c>
      <c r="J627">
        <v>1336.1756591999999</v>
      </c>
      <c r="K627">
        <v>0</v>
      </c>
      <c r="L627">
        <v>2400</v>
      </c>
      <c r="M627">
        <v>2400</v>
      </c>
      <c r="N627">
        <v>0</v>
      </c>
    </row>
    <row r="628" spans="1:14" x14ac:dyDescent="0.25">
      <c r="A628">
        <v>221.38877500000001</v>
      </c>
      <c r="B628" s="1">
        <f>DATE(2010,12,8) + TIME(9,19,50)</f>
        <v>40520.388773148145</v>
      </c>
      <c r="C628">
        <v>80</v>
      </c>
      <c r="D628">
        <v>75.582160950000002</v>
      </c>
      <c r="E628">
        <v>50</v>
      </c>
      <c r="F628">
        <v>49.958358765</v>
      </c>
      <c r="G628">
        <v>1328.9007568</v>
      </c>
      <c r="H628">
        <v>1328.0303954999999</v>
      </c>
      <c r="I628">
        <v>1338.6682129000001</v>
      </c>
      <c r="J628">
        <v>1336.1667480000001</v>
      </c>
      <c r="K628">
        <v>0</v>
      </c>
      <c r="L628">
        <v>2400</v>
      </c>
      <c r="M628">
        <v>2400</v>
      </c>
      <c r="N628">
        <v>0</v>
      </c>
    </row>
    <row r="629" spans="1:14" x14ac:dyDescent="0.25">
      <c r="A629">
        <v>222.38761500000001</v>
      </c>
      <c r="B629" s="1">
        <f>DATE(2010,12,9) + TIME(9,18,9)</f>
        <v>40521.387604166666</v>
      </c>
      <c r="C629">
        <v>80</v>
      </c>
      <c r="D629">
        <v>75.488830566000004</v>
      </c>
      <c r="E629">
        <v>50</v>
      </c>
      <c r="F629">
        <v>49.958438872999999</v>
      </c>
      <c r="G629">
        <v>1328.8731689000001</v>
      </c>
      <c r="H629">
        <v>1327.9953613</v>
      </c>
      <c r="I629">
        <v>1338.6597899999999</v>
      </c>
      <c r="J629">
        <v>1336.1578368999999</v>
      </c>
      <c r="K629">
        <v>0</v>
      </c>
      <c r="L629">
        <v>2400</v>
      </c>
      <c r="M629">
        <v>2400</v>
      </c>
      <c r="N629">
        <v>0</v>
      </c>
    </row>
    <row r="630" spans="1:14" x14ac:dyDescent="0.25">
      <c r="A630">
        <v>223.403358</v>
      </c>
      <c r="B630" s="1">
        <f>DATE(2010,12,10) + TIME(9,40,50)</f>
        <v>40522.403356481482</v>
      </c>
      <c r="C630">
        <v>80</v>
      </c>
      <c r="D630">
        <v>75.395042419000006</v>
      </c>
      <c r="E630">
        <v>50</v>
      </c>
      <c r="F630">
        <v>49.958522797000001</v>
      </c>
      <c r="G630">
        <v>1328.8452147999999</v>
      </c>
      <c r="H630">
        <v>1327.9598389</v>
      </c>
      <c r="I630">
        <v>1338.6513672000001</v>
      </c>
      <c r="J630">
        <v>1336.1491699000001</v>
      </c>
      <c r="K630">
        <v>0</v>
      </c>
      <c r="L630">
        <v>2400</v>
      </c>
      <c r="M630">
        <v>2400</v>
      </c>
      <c r="N630">
        <v>0</v>
      </c>
    </row>
    <row r="631" spans="1:14" x14ac:dyDescent="0.25">
      <c r="A631">
        <v>224.44176400000001</v>
      </c>
      <c r="B631" s="1">
        <f>DATE(2010,12,11) + TIME(10,36,8)</f>
        <v>40523.441759259258</v>
      </c>
      <c r="C631">
        <v>80</v>
      </c>
      <c r="D631">
        <v>75.300491332999997</v>
      </c>
      <c r="E631">
        <v>50</v>
      </c>
      <c r="F631">
        <v>49.958606719999999</v>
      </c>
      <c r="G631">
        <v>1328.8170166</v>
      </c>
      <c r="H631">
        <v>1327.9238281</v>
      </c>
      <c r="I631">
        <v>1338.6431885</v>
      </c>
      <c r="J631">
        <v>1336.140625</v>
      </c>
      <c r="K631">
        <v>0</v>
      </c>
      <c r="L631">
        <v>2400</v>
      </c>
      <c r="M631">
        <v>2400</v>
      </c>
      <c r="N631">
        <v>0</v>
      </c>
    </row>
    <row r="632" spans="1:14" x14ac:dyDescent="0.25">
      <c r="A632">
        <v>225.50813199999999</v>
      </c>
      <c r="B632" s="1">
        <f>DATE(2010,12,12) + TIME(12,11,42)</f>
        <v>40524.508125</v>
      </c>
      <c r="C632">
        <v>80</v>
      </c>
      <c r="D632">
        <v>75.204826354999994</v>
      </c>
      <c r="E632">
        <v>50</v>
      </c>
      <c r="F632">
        <v>49.958690642999997</v>
      </c>
      <c r="G632">
        <v>1328.7880858999999</v>
      </c>
      <c r="H632">
        <v>1327.8870850000001</v>
      </c>
      <c r="I632">
        <v>1338.6348877</v>
      </c>
      <c r="J632">
        <v>1336.1320800999999</v>
      </c>
      <c r="K632">
        <v>0</v>
      </c>
      <c r="L632">
        <v>2400</v>
      </c>
      <c r="M632">
        <v>2400</v>
      </c>
      <c r="N632">
        <v>0</v>
      </c>
    </row>
    <row r="633" spans="1:14" x14ac:dyDescent="0.25">
      <c r="A633">
        <v>226.592703</v>
      </c>
      <c r="B633" s="1">
        <f>DATE(2010,12,13) + TIME(14,13,29)</f>
        <v>40525.59269675926</v>
      </c>
      <c r="C633">
        <v>80</v>
      </c>
      <c r="D633">
        <v>75.108390807999996</v>
      </c>
      <c r="E633">
        <v>50</v>
      </c>
      <c r="F633">
        <v>49.958778381000002</v>
      </c>
      <c r="G633">
        <v>1328.7586670000001</v>
      </c>
      <c r="H633">
        <v>1327.8494873</v>
      </c>
      <c r="I633">
        <v>1338.6268310999999</v>
      </c>
      <c r="J633">
        <v>1336.1235352000001</v>
      </c>
      <c r="K633">
        <v>0</v>
      </c>
      <c r="L633">
        <v>2400</v>
      </c>
      <c r="M633">
        <v>2400</v>
      </c>
      <c r="N633">
        <v>0</v>
      </c>
    </row>
    <row r="634" spans="1:14" x14ac:dyDescent="0.25">
      <c r="A634">
        <v>227.70150000000001</v>
      </c>
      <c r="B634" s="1">
        <f>DATE(2010,12,14) + TIME(16,50,9)</f>
        <v>40526.701493055552</v>
      </c>
      <c r="C634">
        <v>80</v>
      </c>
      <c r="D634">
        <v>75.011047363000003</v>
      </c>
      <c r="E634">
        <v>50</v>
      </c>
      <c r="F634">
        <v>49.958866119</v>
      </c>
      <c r="G634">
        <v>1328.7286377</v>
      </c>
      <c r="H634">
        <v>1327.8112793</v>
      </c>
      <c r="I634">
        <v>1338.6186522999999</v>
      </c>
      <c r="J634">
        <v>1336.1151123</v>
      </c>
      <c r="K634">
        <v>0</v>
      </c>
      <c r="L634">
        <v>2400</v>
      </c>
      <c r="M634">
        <v>2400</v>
      </c>
      <c r="N634">
        <v>0</v>
      </c>
    </row>
    <row r="635" spans="1:14" x14ac:dyDescent="0.25">
      <c r="A635">
        <v>228.84079700000001</v>
      </c>
      <c r="B635" s="1">
        <f>DATE(2010,12,15) + TIME(20,10,44)</f>
        <v>40527.840787037036</v>
      </c>
      <c r="C635">
        <v>80</v>
      </c>
      <c r="D635">
        <v>74.912414550999998</v>
      </c>
      <c r="E635">
        <v>50</v>
      </c>
      <c r="F635">
        <v>49.958957671999997</v>
      </c>
      <c r="G635">
        <v>1328.6979980000001</v>
      </c>
      <c r="H635">
        <v>1327.7720947</v>
      </c>
      <c r="I635">
        <v>1338.6107178</v>
      </c>
      <c r="J635">
        <v>1336.1066894999999</v>
      </c>
      <c r="K635">
        <v>0</v>
      </c>
      <c r="L635">
        <v>2400</v>
      </c>
      <c r="M635">
        <v>2400</v>
      </c>
      <c r="N635">
        <v>0</v>
      </c>
    </row>
    <row r="636" spans="1:14" x14ac:dyDescent="0.25">
      <c r="A636">
        <v>229.99958100000001</v>
      </c>
      <c r="B636" s="1">
        <f>DATE(2010,12,16) + TIME(23,59,23)</f>
        <v>40528.999571759261</v>
      </c>
      <c r="C636">
        <v>80</v>
      </c>
      <c r="D636">
        <v>74.812904357999997</v>
      </c>
      <c r="E636">
        <v>50</v>
      </c>
      <c r="F636">
        <v>49.959049225000001</v>
      </c>
      <c r="G636">
        <v>1328.666626</v>
      </c>
      <c r="H636">
        <v>1327.7320557</v>
      </c>
      <c r="I636">
        <v>1338.6026611</v>
      </c>
      <c r="J636">
        <v>1336.0982666</v>
      </c>
      <c r="K636">
        <v>0</v>
      </c>
      <c r="L636">
        <v>2400</v>
      </c>
      <c r="M636">
        <v>2400</v>
      </c>
      <c r="N636">
        <v>0</v>
      </c>
    </row>
    <row r="637" spans="1:14" x14ac:dyDescent="0.25">
      <c r="A637">
        <v>231.16950499999999</v>
      </c>
      <c r="B637" s="1">
        <f>DATE(2010,12,18) + TIME(4,4,5)</f>
        <v>40530.169502314813</v>
      </c>
      <c r="C637">
        <v>80</v>
      </c>
      <c r="D637">
        <v>74.713066100999995</v>
      </c>
      <c r="E637">
        <v>50</v>
      </c>
      <c r="F637">
        <v>49.959140777999998</v>
      </c>
      <c r="G637">
        <v>1328.6346435999999</v>
      </c>
      <c r="H637">
        <v>1327.6912841999999</v>
      </c>
      <c r="I637">
        <v>1338.5948486</v>
      </c>
      <c r="J637">
        <v>1336.0898437999999</v>
      </c>
      <c r="K637">
        <v>0</v>
      </c>
      <c r="L637">
        <v>2400</v>
      </c>
      <c r="M637">
        <v>2400</v>
      </c>
      <c r="N637">
        <v>0</v>
      </c>
    </row>
    <row r="638" spans="1:14" x14ac:dyDescent="0.25">
      <c r="A638">
        <v>232.35734199999999</v>
      </c>
      <c r="B638" s="1">
        <f>DATE(2010,12,19) + TIME(8,34,34)</f>
        <v>40531.35733796296</v>
      </c>
      <c r="C638">
        <v>80</v>
      </c>
      <c r="D638">
        <v>74.612937927000004</v>
      </c>
      <c r="E638">
        <v>50</v>
      </c>
      <c r="F638">
        <v>49.959236144999998</v>
      </c>
      <c r="G638">
        <v>1328.6024170000001</v>
      </c>
      <c r="H638">
        <v>1327.6500243999999</v>
      </c>
      <c r="I638">
        <v>1338.5870361</v>
      </c>
      <c r="J638">
        <v>1336.0816649999999</v>
      </c>
      <c r="K638">
        <v>0</v>
      </c>
      <c r="L638">
        <v>2400</v>
      </c>
      <c r="M638">
        <v>2400</v>
      </c>
      <c r="N638">
        <v>0</v>
      </c>
    </row>
    <row r="639" spans="1:14" x14ac:dyDescent="0.25">
      <c r="A639">
        <v>233.56929099999999</v>
      </c>
      <c r="B639" s="1">
        <f>DATE(2010,12,20) + TIME(13,39,46)</f>
        <v>40532.569282407407</v>
      </c>
      <c r="C639">
        <v>80</v>
      </c>
      <c r="D639">
        <v>74.512283324999999</v>
      </c>
      <c r="E639">
        <v>50</v>
      </c>
      <c r="F639">
        <v>49.959331511999999</v>
      </c>
      <c r="G639">
        <v>1328.5695800999999</v>
      </c>
      <c r="H639">
        <v>1327.6080322</v>
      </c>
      <c r="I639">
        <v>1338.5793457</v>
      </c>
      <c r="J639">
        <v>1336.0736084</v>
      </c>
      <c r="K639">
        <v>0</v>
      </c>
      <c r="L639">
        <v>2400</v>
      </c>
      <c r="M639">
        <v>2400</v>
      </c>
      <c r="N639">
        <v>0</v>
      </c>
    </row>
    <row r="640" spans="1:14" x14ac:dyDescent="0.25">
      <c r="A640">
        <v>234.801141</v>
      </c>
      <c r="B640" s="1">
        <f>DATE(2010,12,21) + TIME(19,13,38)</f>
        <v>40533.801134259258</v>
      </c>
      <c r="C640">
        <v>80</v>
      </c>
      <c r="D640">
        <v>74.411163329999994</v>
      </c>
      <c r="E640">
        <v>50</v>
      </c>
      <c r="F640">
        <v>49.959426880000002</v>
      </c>
      <c r="G640">
        <v>1328.5362548999999</v>
      </c>
      <c r="H640">
        <v>1327.5654297000001</v>
      </c>
      <c r="I640">
        <v>1338.5717772999999</v>
      </c>
      <c r="J640">
        <v>1336.0655518000001</v>
      </c>
      <c r="K640">
        <v>0</v>
      </c>
      <c r="L640">
        <v>2400</v>
      </c>
      <c r="M640">
        <v>2400</v>
      </c>
      <c r="N640">
        <v>0</v>
      </c>
    </row>
    <row r="641" spans="1:14" x14ac:dyDescent="0.25">
      <c r="A641">
        <v>236.05980700000001</v>
      </c>
      <c r="B641" s="1">
        <f>DATE(2010,12,23) + TIME(1,26,7)</f>
        <v>40535.059803240743</v>
      </c>
      <c r="C641">
        <v>80</v>
      </c>
      <c r="D641">
        <v>74.309379578000005</v>
      </c>
      <c r="E641">
        <v>50</v>
      </c>
      <c r="F641">
        <v>49.959526062000002</v>
      </c>
      <c r="G641">
        <v>1328.5023193</v>
      </c>
      <c r="H641">
        <v>1327.5220947</v>
      </c>
      <c r="I641">
        <v>1338.5643310999999</v>
      </c>
      <c r="J641">
        <v>1336.0574951000001</v>
      </c>
      <c r="K641">
        <v>0</v>
      </c>
      <c r="L641">
        <v>2400</v>
      </c>
      <c r="M641">
        <v>2400</v>
      </c>
      <c r="N641">
        <v>0</v>
      </c>
    </row>
    <row r="642" spans="1:14" x14ac:dyDescent="0.25">
      <c r="A642">
        <v>237.34339800000001</v>
      </c>
      <c r="B642" s="1">
        <f>DATE(2010,12,24) + TIME(8,14,29)</f>
        <v>40536.343391203707</v>
      </c>
      <c r="C642">
        <v>80</v>
      </c>
      <c r="D642">
        <v>74.206893921000002</v>
      </c>
      <c r="E642">
        <v>50</v>
      </c>
      <c r="F642">
        <v>49.959625244000001</v>
      </c>
      <c r="G642">
        <v>1328.4677733999999</v>
      </c>
      <c r="H642">
        <v>1327.4777832</v>
      </c>
      <c r="I642">
        <v>1338.5568848</v>
      </c>
      <c r="J642">
        <v>1336.0495605000001</v>
      </c>
      <c r="K642">
        <v>0</v>
      </c>
      <c r="L642">
        <v>2400</v>
      </c>
      <c r="M642">
        <v>2400</v>
      </c>
      <c r="N642">
        <v>0</v>
      </c>
    </row>
    <row r="643" spans="1:14" x14ac:dyDescent="0.25">
      <c r="A643">
        <v>238.65883199999999</v>
      </c>
      <c r="B643" s="1">
        <f>DATE(2010,12,25) + TIME(15,48,43)</f>
        <v>40537.658831018518</v>
      </c>
      <c r="C643">
        <v>80</v>
      </c>
      <c r="D643">
        <v>74.103500366000006</v>
      </c>
      <c r="E643">
        <v>50</v>
      </c>
      <c r="F643">
        <v>49.959724426000001</v>
      </c>
      <c r="G643">
        <v>1328.4326172000001</v>
      </c>
      <c r="H643">
        <v>1327.4326172000001</v>
      </c>
      <c r="I643">
        <v>1338.5494385</v>
      </c>
      <c r="J643">
        <v>1336.0417480000001</v>
      </c>
      <c r="K643">
        <v>0</v>
      </c>
      <c r="L643">
        <v>2400</v>
      </c>
      <c r="M643">
        <v>2400</v>
      </c>
      <c r="N643">
        <v>0</v>
      </c>
    </row>
    <row r="644" spans="1:14" x14ac:dyDescent="0.25">
      <c r="A644">
        <v>240.012766</v>
      </c>
      <c r="B644" s="1">
        <f>DATE(2010,12,27) + TIME(0,18,22)</f>
        <v>40539.012754629628</v>
      </c>
      <c r="C644">
        <v>80</v>
      </c>
      <c r="D644">
        <v>73.998840332</v>
      </c>
      <c r="E644">
        <v>50</v>
      </c>
      <c r="F644">
        <v>49.959831238</v>
      </c>
      <c r="G644">
        <v>1328.3966064000001</v>
      </c>
      <c r="H644">
        <v>1327.3864745999999</v>
      </c>
      <c r="I644">
        <v>1338.5421143000001</v>
      </c>
      <c r="J644">
        <v>1336.0338135</v>
      </c>
      <c r="K644">
        <v>0</v>
      </c>
      <c r="L644">
        <v>2400</v>
      </c>
      <c r="M644">
        <v>2400</v>
      </c>
      <c r="N644">
        <v>0</v>
      </c>
    </row>
    <row r="645" spans="1:14" x14ac:dyDescent="0.25">
      <c r="A645">
        <v>241.36983499999999</v>
      </c>
      <c r="B645" s="1">
        <f>DATE(2010,12,28) + TIME(8,52,33)</f>
        <v>40540.369826388887</v>
      </c>
      <c r="C645">
        <v>80</v>
      </c>
      <c r="D645">
        <v>73.893928528000004</v>
      </c>
      <c r="E645">
        <v>50</v>
      </c>
      <c r="F645">
        <v>49.959934234999999</v>
      </c>
      <c r="G645">
        <v>1328.3597411999999</v>
      </c>
      <c r="H645">
        <v>1327.3391113</v>
      </c>
      <c r="I645">
        <v>1338.534668</v>
      </c>
      <c r="J645">
        <v>1336.026001</v>
      </c>
      <c r="K645">
        <v>0</v>
      </c>
      <c r="L645">
        <v>2400</v>
      </c>
      <c r="M645">
        <v>2400</v>
      </c>
      <c r="N645">
        <v>0</v>
      </c>
    </row>
    <row r="646" spans="1:14" x14ac:dyDescent="0.25">
      <c r="A646">
        <v>242.73782199999999</v>
      </c>
      <c r="B646" s="1">
        <f>DATE(2010,12,29) + TIME(17,42,27)</f>
        <v>40541.737812500003</v>
      </c>
      <c r="C646">
        <v>80</v>
      </c>
      <c r="D646">
        <v>73.789268493999998</v>
      </c>
      <c r="E646">
        <v>50</v>
      </c>
      <c r="F646">
        <v>49.960037231000001</v>
      </c>
      <c r="G646">
        <v>1328.3225098</v>
      </c>
      <c r="H646">
        <v>1327.2912598</v>
      </c>
      <c r="I646">
        <v>1338.5274658000001</v>
      </c>
      <c r="J646">
        <v>1336.0181885</v>
      </c>
      <c r="K646">
        <v>0</v>
      </c>
      <c r="L646">
        <v>2400</v>
      </c>
      <c r="M646">
        <v>2400</v>
      </c>
      <c r="N646">
        <v>0</v>
      </c>
    </row>
    <row r="647" spans="1:14" x14ac:dyDescent="0.25">
      <c r="A647">
        <v>244.124269</v>
      </c>
      <c r="B647" s="1">
        <f>DATE(2010,12,31) + TIME(2,58,56)</f>
        <v>40543.124259259261</v>
      </c>
      <c r="C647">
        <v>80</v>
      </c>
      <c r="D647">
        <v>73.684776306000003</v>
      </c>
      <c r="E647">
        <v>50</v>
      </c>
      <c r="F647">
        <v>49.960144043</v>
      </c>
      <c r="G647">
        <v>1328.2849120999999</v>
      </c>
      <c r="H647">
        <v>1327.2429199000001</v>
      </c>
      <c r="I647">
        <v>1338.5205077999999</v>
      </c>
      <c r="J647">
        <v>1336.0106201000001</v>
      </c>
      <c r="K647">
        <v>0</v>
      </c>
      <c r="L647">
        <v>2400</v>
      </c>
      <c r="M647">
        <v>2400</v>
      </c>
      <c r="N647">
        <v>0</v>
      </c>
    </row>
    <row r="648" spans="1:14" x14ac:dyDescent="0.25">
      <c r="A648">
        <v>245</v>
      </c>
      <c r="B648" s="1">
        <f>DATE(2011,1,1) + TIME(0,0,0)</f>
        <v>40544</v>
      </c>
      <c r="C648">
        <v>80</v>
      </c>
      <c r="D648">
        <v>73.601448059000006</v>
      </c>
      <c r="E648">
        <v>50</v>
      </c>
      <c r="F648">
        <v>49.960205078000001</v>
      </c>
      <c r="G648">
        <v>1328.2481689000001</v>
      </c>
      <c r="H648">
        <v>1327.1956786999999</v>
      </c>
      <c r="I648">
        <v>1338.5134277</v>
      </c>
      <c r="J648">
        <v>1336.0032959</v>
      </c>
      <c r="K648">
        <v>0</v>
      </c>
      <c r="L648">
        <v>2400</v>
      </c>
      <c r="M648">
        <v>2400</v>
      </c>
      <c r="N648">
        <v>0</v>
      </c>
    </row>
    <row r="649" spans="1:14" x14ac:dyDescent="0.25">
      <c r="A649">
        <v>246.41261600000001</v>
      </c>
      <c r="B649" s="1">
        <f>DATE(2011,1,2) + TIME(9,54,10)</f>
        <v>40545.412615740737</v>
      </c>
      <c r="C649">
        <v>80</v>
      </c>
      <c r="D649">
        <v>73.507675171000002</v>
      </c>
      <c r="E649">
        <v>50</v>
      </c>
      <c r="F649">
        <v>49.960315704000003</v>
      </c>
      <c r="G649">
        <v>1328.2189940999999</v>
      </c>
      <c r="H649">
        <v>1327.1577147999999</v>
      </c>
      <c r="I649">
        <v>1338.5091553</v>
      </c>
      <c r="J649">
        <v>1335.9982910000001</v>
      </c>
      <c r="K649">
        <v>0</v>
      </c>
      <c r="L649">
        <v>2400</v>
      </c>
      <c r="M649">
        <v>2400</v>
      </c>
      <c r="N649">
        <v>0</v>
      </c>
    </row>
    <row r="650" spans="1:14" x14ac:dyDescent="0.25">
      <c r="A650">
        <v>247.88612699999999</v>
      </c>
      <c r="B650" s="1">
        <f>DATE(2011,1,3) + TIME(21,16,1)</f>
        <v>40546.886122685188</v>
      </c>
      <c r="C650">
        <v>80</v>
      </c>
      <c r="D650">
        <v>73.406669617000006</v>
      </c>
      <c r="E650">
        <v>50</v>
      </c>
      <c r="F650">
        <v>49.960426331000001</v>
      </c>
      <c r="G650">
        <v>1328.1828613</v>
      </c>
      <c r="H650">
        <v>1327.1114502</v>
      </c>
      <c r="I650">
        <v>1338.5024414</v>
      </c>
      <c r="J650">
        <v>1335.9912108999999</v>
      </c>
      <c r="K650">
        <v>0</v>
      </c>
      <c r="L650">
        <v>2400</v>
      </c>
      <c r="M650">
        <v>2400</v>
      </c>
      <c r="N650">
        <v>0</v>
      </c>
    </row>
    <row r="651" spans="1:14" x14ac:dyDescent="0.25">
      <c r="A651">
        <v>249.394417</v>
      </c>
      <c r="B651" s="1">
        <f>DATE(2011,1,5) + TIME(9,27,57)</f>
        <v>40548.394409722219</v>
      </c>
      <c r="C651">
        <v>80</v>
      </c>
      <c r="D651">
        <v>73.301536560000002</v>
      </c>
      <c r="E651">
        <v>50</v>
      </c>
      <c r="F651">
        <v>49.960536957000002</v>
      </c>
      <c r="G651">
        <v>1328.1437988</v>
      </c>
      <c r="H651">
        <v>1327.0611572</v>
      </c>
      <c r="I651">
        <v>1338.4954834</v>
      </c>
      <c r="J651">
        <v>1335.9838867000001</v>
      </c>
      <c r="K651">
        <v>0</v>
      </c>
      <c r="L651">
        <v>2400</v>
      </c>
      <c r="M651">
        <v>2400</v>
      </c>
      <c r="N651">
        <v>0</v>
      </c>
    </row>
    <row r="652" spans="1:14" x14ac:dyDescent="0.25">
      <c r="A652">
        <v>250.93231800000001</v>
      </c>
      <c r="B652" s="1">
        <f>DATE(2011,1,6) + TIME(22,22,32)</f>
        <v>40549.932314814818</v>
      </c>
      <c r="C652">
        <v>80</v>
      </c>
      <c r="D652">
        <v>73.194190978999998</v>
      </c>
      <c r="E652">
        <v>50</v>
      </c>
      <c r="F652">
        <v>49.960647582999997</v>
      </c>
      <c r="G652">
        <v>1328.1030272999999</v>
      </c>
      <c r="H652">
        <v>1327.0086670000001</v>
      </c>
      <c r="I652">
        <v>1338.4886475000001</v>
      </c>
      <c r="J652">
        <v>1335.9764404</v>
      </c>
      <c r="K652">
        <v>0</v>
      </c>
      <c r="L652">
        <v>2400</v>
      </c>
      <c r="M652">
        <v>2400</v>
      </c>
      <c r="N652">
        <v>0</v>
      </c>
    </row>
    <row r="653" spans="1:14" x14ac:dyDescent="0.25">
      <c r="A653">
        <v>252.47601399999999</v>
      </c>
      <c r="B653" s="1">
        <f>DATE(2011,1,8) + TIME(11,25,27)</f>
        <v>40551.476006944446</v>
      </c>
      <c r="C653">
        <v>80</v>
      </c>
      <c r="D653">
        <v>73.086181640999996</v>
      </c>
      <c r="E653">
        <v>50</v>
      </c>
      <c r="F653">
        <v>49.960758208999998</v>
      </c>
      <c r="G653">
        <v>1328.0612793</v>
      </c>
      <c r="H653">
        <v>1326.9548339999999</v>
      </c>
      <c r="I653">
        <v>1338.4818115</v>
      </c>
      <c r="J653">
        <v>1335.9691161999999</v>
      </c>
      <c r="K653">
        <v>0</v>
      </c>
      <c r="L653">
        <v>2400</v>
      </c>
      <c r="M653">
        <v>2400</v>
      </c>
      <c r="N653">
        <v>0</v>
      </c>
    </row>
    <row r="654" spans="1:14" x14ac:dyDescent="0.25">
      <c r="A654">
        <v>254.03436300000001</v>
      </c>
      <c r="B654" s="1">
        <f>DATE(2011,1,10) + TIME(0,49,28)</f>
        <v>40553.034351851849</v>
      </c>
      <c r="C654">
        <v>80</v>
      </c>
      <c r="D654">
        <v>72.978233337000006</v>
      </c>
      <c r="E654">
        <v>50</v>
      </c>
      <c r="F654">
        <v>49.960868834999999</v>
      </c>
      <c r="G654">
        <v>1328.019043</v>
      </c>
      <c r="H654">
        <v>1326.9002685999999</v>
      </c>
      <c r="I654">
        <v>1338.4752197</v>
      </c>
      <c r="J654">
        <v>1335.9620361</v>
      </c>
      <c r="K654">
        <v>0</v>
      </c>
      <c r="L654">
        <v>2400</v>
      </c>
      <c r="M654">
        <v>2400</v>
      </c>
      <c r="N654">
        <v>0</v>
      </c>
    </row>
    <row r="655" spans="1:14" x14ac:dyDescent="0.25">
      <c r="A655">
        <v>255.61624699999999</v>
      </c>
      <c r="B655" s="1">
        <f>DATE(2011,1,11) + TIME(14,47,23)</f>
        <v>40554.616238425922</v>
      </c>
      <c r="C655">
        <v>80</v>
      </c>
      <c r="D655">
        <v>72.870254517000006</v>
      </c>
      <c r="E655">
        <v>50</v>
      </c>
      <c r="F655">
        <v>49.960983276</v>
      </c>
      <c r="G655">
        <v>1327.9764404</v>
      </c>
      <c r="H655">
        <v>1326.8452147999999</v>
      </c>
      <c r="I655">
        <v>1338.4686279</v>
      </c>
      <c r="J655">
        <v>1335.9549560999999</v>
      </c>
      <c r="K655">
        <v>0</v>
      </c>
      <c r="L655">
        <v>2400</v>
      </c>
      <c r="M655">
        <v>2400</v>
      </c>
      <c r="N655">
        <v>0</v>
      </c>
    </row>
    <row r="656" spans="1:14" x14ac:dyDescent="0.25">
      <c r="A656">
        <v>257.23082099999999</v>
      </c>
      <c r="B656" s="1">
        <f>DATE(2011,1,13) + TIME(5,32,22)</f>
        <v>40556.230810185189</v>
      </c>
      <c r="C656">
        <v>80</v>
      </c>
      <c r="D656">
        <v>72.761810303000004</v>
      </c>
      <c r="E656">
        <v>50</v>
      </c>
      <c r="F656">
        <v>49.961097717000001</v>
      </c>
      <c r="G656">
        <v>1327.9333495999999</v>
      </c>
      <c r="H656">
        <v>1326.7893065999999</v>
      </c>
      <c r="I656">
        <v>1338.4621582</v>
      </c>
      <c r="J656">
        <v>1335.9479980000001</v>
      </c>
      <c r="K656">
        <v>0</v>
      </c>
      <c r="L656">
        <v>2400</v>
      </c>
      <c r="M656">
        <v>2400</v>
      </c>
      <c r="N656">
        <v>0</v>
      </c>
    </row>
    <row r="657" spans="1:14" x14ac:dyDescent="0.25">
      <c r="A657">
        <v>258.88789600000001</v>
      </c>
      <c r="B657" s="1">
        <f>DATE(2011,1,14) + TIME(21,18,34)</f>
        <v>40557.88789351852</v>
      </c>
      <c r="C657">
        <v>80</v>
      </c>
      <c r="D657">
        <v>72.652351378999995</v>
      </c>
      <c r="E657">
        <v>50</v>
      </c>
      <c r="F657">
        <v>49.961215973000002</v>
      </c>
      <c r="G657">
        <v>1327.8892822</v>
      </c>
      <c r="H657">
        <v>1326.7322998</v>
      </c>
      <c r="I657">
        <v>1338.4556885</v>
      </c>
      <c r="J657">
        <v>1335.9410399999999</v>
      </c>
      <c r="K657">
        <v>0</v>
      </c>
      <c r="L657">
        <v>2400</v>
      </c>
      <c r="M657">
        <v>2400</v>
      </c>
      <c r="N657">
        <v>0</v>
      </c>
    </row>
    <row r="658" spans="1:14" x14ac:dyDescent="0.25">
      <c r="A658">
        <v>260.576797</v>
      </c>
      <c r="B658" s="1">
        <f>DATE(2011,1,16) + TIME(13,50,35)</f>
        <v>40559.576793981483</v>
      </c>
      <c r="C658">
        <v>80</v>
      </c>
      <c r="D658">
        <v>72.541732788000004</v>
      </c>
      <c r="E658">
        <v>50</v>
      </c>
      <c r="F658">
        <v>49.961330414000003</v>
      </c>
      <c r="G658">
        <v>1327.8443603999999</v>
      </c>
      <c r="H658">
        <v>1326.6740723</v>
      </c>
      <c r="I658">
        <v>1338.4492187999999</v>
      </c>
      <c r="J658">
        <v>1335.934082</v>
      </c>
      <c r="K658">
        <v>0</v>
      </c>
      <c r="L658">
        <v>2400</v>
      </c>
      <c r="M658">
        <v>2400</v>
      </c>
      <c r="N658">
        <v>0</v>
      </c>
    </row>
    <row r="659" spans="1:14" x14ac:dyDescent="0.25">
      <c r="A659">
        <v>262.303293</v>
      </c>
      <c r="B659" s="1">
        <f>DATE(2011,1,18) + TIME(7,16,44)</f>
        <v>40561.303287037037</v>
      </c>
      <c r="C659">
        <v>80</v>
      </c>
      <c r="D659">
        <v>72.429939270000006</v>
      </c>
      <c r="E659">
        <v>50</v>
      </c>
      <c r="F659">
        <v>49.961452483999999</v>
      </c>
      <c r="G659">
        <v>1327.7984618999999</v>
      </c>
      <c r="H659">
        <v>1326.6145019999999</v>
      </c>
      <c r="I659">
        <v>1338.442749</v>
      </c>
      <c r="J659">
        <v>1335.9272461</v>
      </c>
      <c r="K659">
        <v>0</v>
      </c>
      <c r="L659">
        <v>2400</v>
      </c>
      <c r="M659">
        <v>2400</v>
      </c>
      <c r="N659">
        <v>0</v>
      </c>
    </row>
    <row r="660" spans="1:14" x14ac:dyDescent="0.25">
      <c r="A660">
        <v>264.05038300000001</v>
      </c>
      <c r="B660" s="1">
        <f>DATE(2011,1,20) + TIME(1,12,33)</f>
        <v>40563.050381944442</v>
      </c>
      <c r="C660">
        <v>80</v>
      </c>
      <c r="D660">
        <v>72.317214965999995</v>
      </c>
      <c r="E660">
        <v>50</v>
      </c>
      <c r="F660">
        <v>49.961570739999999</v>
      </c>
      <c r="G660">
        <v>1327.7517089999999</v>
      </c>
      <c r="H660">
        <v>1326.5537108999999</v>
      </c>
      <c r="I660">
        <v>1338.4364014</v>
      </c>
      <c r="J660">
        <v>1335.9204102000001</v>
      </c>
      <c r="K660">
        <v>0</v>
      </c>
      <c r="L660">
        <v>2400</v>
      </c>
      <c r="M660">
        <v>2400</v>
      </c>
      <c r="N660">
        <v>0</v>
      </c>
    </row>
    <row r="661" spans="1:14" x14ac:dyDescent="0.25">
      <c r="A661">
        <v>265.81331799999998</v>
      </c>
      <c r="B661" s="1">
        <f>DATE(2011,1,21) + TIME(19,31,10)</f>
        <v>40564.813310185185</v>
      </c>
      <c r="C661">
        <v>80</v>
      </c>
      <c r="D661">
        <v>72.204025268999999</v>
      </c>
      <c r="E661">
        <v>50</v>
      </c>
      <c r="F661">
        <v>49.961688995000003</v>
      </c>
      <c r="G661">
        <v>1327.7041016000001</v>
      </c>
      <c r="H661">
        <v>1326.4918213000001</v>
      </c>
      <c r="I661">
        <v>1338.4300536999999</v>
      </c>
      <c r="J661">
        <v>1335.9136963000001</v>
      </c>
      <c r="K661">
        <v>0</v>
      </c>
      <c r="L661">
        <v>2400</v>
      </c>
      <c r="M661">
        <v>2400</v>
      </c>
      <c r="N661">
        <v>0</v>
      </c>
    </row>
    <row r="662" spans="1:14" x14ac:dyDescent="0.25">
      <c r="A662">
        <v>267.60253999999998</v>
      </c>
      <c r="B662" s="1">
        <f>DATE(2011,1,23) + TIME(14,27,39)</f>
        <v>40566.602534722224</v>
      </c>
      <c r="C662">
        <v>80</v>
      </c>
      <c r="D662">
        <v>72.090332031000003</v>
      </c>
      <c r="E662">
        <v>50</v>
      </c>
      <c r="F662">
        <v>49.961811066000003</v>
      </c>
      <c r="G662">
        <v>1327.6561279</v>
      </c>
      <c r="H662">
        <v>1326.4293213000001</v>
      </c>
      <c r="I662">
        <v>1338.4238281</v>
      </c>
      <c r="J662">
        <v>1335.9071045000001</v>
      </c>
      <c r="K662">
        <v>0</v>
      </c>
      <c r="L662">
        <v>2400</v>
      </c>
      <c r="M662">
        <v>2400</v>
      </c>
      <c r="N662">
        <v>0</v>
      </c>
    </row>
    <row r="663" spans="1:14" x14ac:dyDescent="0.25">
      <c r="A663">
        <v>269.41982300000001</v>
      </c>
      <c r="B663" s="1">
        <f>DATE(2011,1,25) + TIME(10,4,32)</f>
        <v>40568.419814814813</v>
      </c>
      <c r="C663">
        <v>80</v>
      </c>
      <c r="D663">
        <v>71.975814818999993</v>
      </c>
      <c r="E663">
        <v>50</v>
      </c>
      <c r="F663">
        <v>49.961929321</v>
      </c>
      <c r="G663">
        <v>1327.6074219</v>
      </c>
      <c r="H663">
        <v>1326.3658447</v>
      </c>
      <c r="I663">
        <v>1338.4177245999999</v>
      </c>
      <c r="J663">
        <v>1335.9006348</v>
      </c>
      <c r="K663">
        <v>0</v>
      </c>
      <c r="L663">
        <v>2400</v>
      </c>
      <c r="M663">
        <v>2400</v>
      </c>
      <c r="N663">
        <v>0</v>
      </c>
    </row>
    <row r="664" spans="1:14" x14ac:dyDescent="0.25">
      <c r="A664">
        <v>271.26451400000002</v>
      </c>
      <c r="B664" s="1">
        <f>DATE(2011,1,27) + TIME(6,20,54)</f>
        <v>40570.264513888891</v>
      </c>
      <c r="C664">
        <v>80</v>
      </c>
      <c r="D664">
        <v>71.860244750999996</v>
      </c>
      <c r="E664">
        <v>50</v>
      </c>
      <c r="F664">
        <v>49.962051391999999</v>
      </c>
      <c r="G664">
        <v>1327.5579834</v>
      </c>
      <c r="H664">
        <v>1326.3013916</v>
      </c>
      <c r="I664">
        <v>1338.4116211</v>
      </c>
      <c r="J664">
        <v>1335.8941649999999</v>
      </c>
      <c r="K664">
        <v>0</v>
      </c>
      <c r="L664">
        <v>2400</v>
      </c>
      <c r="M664">
        <v>2400</v>
      </c>
      <c r="N664">
        <v>0</v>
      </c>
    </row>
    <row r="665" spans="1:14" x14ac:dyDescent="0.25">
      <c r="A665">
        <v>273.14712100000003</v>
      </c>
      <c r="B665" s="1">
        <f>DATE(2011,1,29) + TIME(3,31,51)</f>
        <v>40572.147118055553</v>
      </c>
      <c r="C665">
        <v>80</v>
      </c>
      <c r="D665">
        <v>71.743255614999995</v>
      </c>
      <c r="E665">
        <v>50</v>
      </c>
      <c r="F665">
        <v>49.962173462000003</v>
      </c>
      <c r="G665">
        <v>1327.5079346</v>
      </c>
      <c r="H665">
        <v>1326.2359618999999</v>
      </c>
      <c r="I665">
        <v>1338.4055175999999</v>
      </c>
      <c r="J665">
        <v>1335.8876952999999</v>
      </c>
      <c r="K665">
        <v>0</v>
      </c>
      <c r="L665">
        <v>2400</v>
      </c>
      <c r="M665">
        <v>2400</v>
      </c>
      <c r="N665">
        <v>0</v>
      </c>
    </row>
    <row r="666" spans="1:14" x14ac:dyDescent="0.25">
      <c r="A666">
        <v>275.07888600000001</v>
      </c>
      <c r="B666" s="1">
        <f>DATE(2011,1,31) + TIME(1,53,35)</f>
        <v>40574.078877314816</v>
      </c>
      <c r="C666">
        <v>80</v>
      </c>
      <c r="D666">
        <v>71.624160767000006</v>
      </c>
      <c r="E666">
        <v>50</v>
      </c>
      <c r="F666">
        <v>49.962299346999998</v>
      </c>
      <c r="G666">
        <v>1327.4569091999999</v>
      </c>
      <c r="H666">
        <v>1326.1693115</v>
      </c>
      <c r="I666">
        <v>1338.3995361</v>
      </c>
      <c r="J666">
        <v>1335.8813477000001</v>
      </c>
      <c r="K666">
        <v>0</v>
      </c>
      <c r="L666">
        <v>2400</v>
      </c>
      <c r="M666">
        <v>2400</v>
      </c>
      <c r="N666">
        <v>0</v>
      </c>
    </row>
    <row r="667" spans="1:14" x14ac:dyDescent="0.25">
      <c r="A667">
        <v>276</v>
      </c>
      <c r="B667" s="1">
        <f>DATE(2011,2,1) + TIME(0,0,0)</f>
        <v>40575</v>
      </c>
      <c r="C667">
        <v>80</v>
      </c>
      <c r="D667">
        <v>71.533531189000001</v>
      </c>
      <c r="E667">
        <v>50</v>
      </c>
      <c r="F667">
        <v>49.962356567</v>
      </c>
      <c r="G667">
        <v>1327.4069824000001</v>
      </c>
      <c r="H667">
        <v>1326.104126</v>
      </c>
      <c r="I667">
        <v>1338.3934326000001</v>
      </c>
      <c r="J667">
        <v>1335.8752440999999</v>
      </c>
      <c r="K667">
        <v>0</v>
      </c>
      <c r="L667">
        <v>2400</v>
      </c>
      <c r="M667">
        <v>2400</v>
      </c>
      <c r="N667">
        <v>0</v>
      </c>
    </row>
    <row r="668" spans="1:14" x14ac:dyDescent="0.25">
      <c r="A668">
        <v>277.97576800000002</v>
      </c>
      <c r="B668" s="1">
        <f>DATE(2011,2,2) + TIME(23,25,6)</f>
        <v>40576.975763888891</v>
      </c>
      <c r="C668">
        <v>80</v>
      </c>
      <c r="D668">
        <v>71.434547424000002</v>
      </c>
      <c r="E668">
        <v>50</v>
      </c>
      <c r="F668">
        <v>49.962486267000003</v>
      </c>
      <c r="G668">
        <v>1327.3718262</v>
      </c>
      <c r="H668">
        <v>1326.0568848</v>
      </c>
      <c r="I668">
        <v>1338.3905029</v>
      </c>
      <c r="J668">
        <v>1335.8717041</v>
      </c>
      <c r="K668">
        <v>0</v>
      </c>
      <c r="L668">
        <v>2400</v>
      </c>
      <c r="M668">
        <v>2400</v>
      </c>
      <c r="N668">
        <v>0</v>
      </c>
    </row>
    <row r="669" spans="1:14" x14ac:dyDescent="0.25">
      <c r="A669">
        <v>279.97349800000001</v>
      </c>
      <c r="B669" s="1">
        <f>DATE(2011,2,4) + TIME(23,21,50)</f>
        <v>40578.973495370374</v>
      </c>
      <c r="C669">
        <v>80</v>
      </c>
      <c r="D669">
        <v>71.317131042</v>
      </c>
      <c r="E669">
        <v>50</v>
      </c>
      <c r="F669">
        <v>49.962608336999999</v>
      </c>
      <c r="G669">
        <v>1327.3243408000001</v>
      </c>
      <c r="H669">
        <v>1325.9952393000001</v>
      </c>
      <c r="I669">
        <v>1338.3846435999999</v>
      </c>
      <c r="J669">
        <v>1335.8658447</v>
      </c>
      <c r="K669">
        <v>0</v>
      </c>
      <c r="L669">
        <v>2400</v>
      </c>
      <c r="M669">
        <v>2400</v>
      </c>
      <c r="N669">
        <v>0</v>
      </c>
    </row>
    <row r="670" spans="1:14" x14ac:dyDescent="0.25">
      <c r="A670">
        <v>281.98838599999999</v>
      </c>
      <c r="B670" s="1">
        <f>DATE(2011,2,6) + TIME(23,43,16)</f>
        <v>40580.988379629627</v>
      </c>
      <c r="C670">
        <v>80</v>
      </c>
      <c r="D670">
        <v>71.192893982000001</v>
      </c>
      <c r="E670">
        <v>50</v>
      </c>
      <c r="F670">
        <v>49.962734222000002</v>
      </c>
      <c r="G670">
        <v>1327.2717285000001</v>
      </c>
      <c r="H670">
        <v>1325.9263916</v>
      </c>
      <c r="I670">
        <v>1338.3786620999999</v>
      </c>
      <c r="J670">
        <v>1335.8597411999999</v>
      </c>
      <c r="K670">
        <v>0</v>
      </c>
      <c r="L670">
        <v>2400</v>
      </c>
      <c r="M670">
        <v>2400</v>
      </c>
      <c r="N670">
        <v>0</v>
      </c>
    </row>
    <row r="671" spans="1:14" x14ac:dyDescent="0.25">
      <c r="A671">
        <v>284.03204499999998</v>
      </c>
      <c r="B671" s="1">
        <f>DATE(2011,2,9) + TIME(0,46,8)</f>
        <v>40583.032037037039</v>
      </c>
      <c r="C671">
        <v>80</v>
      </c>
      <c r="D671">
        <v>71.065109253000003</v>
      </c>
      <c r="E671">
        <v>50</v>
      </c>
      <c r="F671">
        <v>49.962856293000002</v>
      </c>
      <c r="G671">
        <v>1327.2175293</v>
      </c>
      <c r="H671">
        <v>1325.8551024999999</v>
      </c>
      <c r="I671">
        <v>1338.3729248</v>
      </c>
      <c r="J671">
        <v>1335.8537598</v>
      </c>
      <c r="K671">
        <v>0</v>
      </c>
      <c r="L671">
        <v>2400</v>
      </c>
      <c r="M671">
        <v>2400</v>
      </c>
      <c r="N671">
        <v>0</v>
      </c>
    </row>
    <row r="672" spans="1:14" x14ac:dyDescent="0.25">
      <c r="A672">
        <v>286.116264</v>
      </c>
      <c r="B672" s="1">
        <f>DATE(2011,2,11) + TIME(2,47,25)</f>
        <v>40585.116261574076</v>
      </c>
      <c r="C672">
        <v>80</v>
      </c>
      <c r="D672">
        <v>70.934043884000005</v>
      </c>
      <c r="E672">
        <v>50</v>
      </c>
      <c r="F672">
        <v>49.962982177999997</v>
      </c>
      <c r="G672">
        <v>1327.1624756000001</v>
      </c>
      <c r="H672">
        <v>1325.7825928</v>
      </c>
      <c r="I672">
        <v>1338.3670654</v>
      </c>
      <c r="J672">
        <v>1335.8479004000001</v>
      </c>
      <c r="K672">
        <v>0</v>
      </c>
      <c r="L672">
        <v>2400</v>
      </c>
      <c r="M672">
        <v>2400</v>
      </c>
      <c r="N672">
        <v>0</v>
      </c>
    </row>
    <row r="673" spans="1:14" x14ac:dyDescent="0.25">
      <c r="A673">
        <v>288.25363800000002</v>
      </c>
      <c r="B673" s="1">
        <f>DATE(2011,2,13) + TIME(6,5,14)</f>
        <v>40587.253634259258</v>
      </c>
      <c r="C673">
        <v>80</v>
      </c>
      <c r="D673">
        <v>70.798973083000007</v>
      </c>
      <c r="E673">
        <v>50</v>
      </c>
      <c r="F673">
        <v>49.963111877000003</v>
      </c>
      <c r="G673">
        <v>1327.1064452999999</v>
      </c>
      <c r="H673">
        <v>1325.7086182</v>
      </c>
      <c r="I673">
        <v>1338.3613281</v>
      </c>
      <c r="J673">
        <v>1335.8420410000001</v>
      </c>
      <c r="K673">
        <v>0</v>
      </c>
      <c r="L673">
        <v>2400</v>
      </c>
      <c r="M673">
        <v>2400</v>
      </c>
      <c r="N673">
        <v>0</v>
      </c>
    </row>
    <row r="674" spans="1:14" x14ac:dyDescent="0.25">
      <c r="A674">
        <v>290.44049699999999</v>
      </c>
      <c r="B674" s="1">
        <f>DATE(2011,2,15) + TIME(10,34,18)</f>
        <v>40589.440486111111</v>
      </c>
      <c r="C674">
        <v>80</v>
      </c>
      <c r="D674">
        <v>70.659111022999994</v>
      </c>
      <c r="E674">
        <v>50</v>
      </c>
      <c r="F674">
        <v>49.963241576999998</v>
      </c>
      <c r="G674">
        <v>1327.0491943</v>
      </c>
      <c r="H674">
        <v>1325.6330565999999</v>
      </c>
      <c r="I674">
        <v>1338.3554687999999</v>
      </c>
      <c r="J674">
        <v>1335.8361815999999</v>
      </c>
      <c r="K674">
        <v>0</v>
      </c>
      <c r="L674">
        <v>2400</v>
      </c>
      <c r="M674">
        <v>2400</v>
      </c>
      <c r="N674">
        <v>0</v>
      </c>
    </row>
    <row r="675" spans="1:14" x14ac:dyDescent="0.25">
      <c r="A675">
        <v>292.64619399999998</v>
      </c>
      <c r="B675" s="1">
        <f>DATE(2011,2,17) + TIME(15,30,31)</f>
        <v>40591.646192129629</v>
      </c>
      <c r="C675">
        <v>80</v>
      </c>
      <c r="D675">
        <v>70.514533997000001</v>
      </c>
      <c r="E675">
        <v>50</v>
      </c>
      <c r="F675">
        <v>49.963367462000001</v>
      </c>
      <c r="G675">
        <v>1326.9907227000001</v>
      </c>
      <c r="H675">
        <v>1325.5557861</v>
      </c>
      <c r="I675">
        <v>1338.3496094</v>
      </c>
      <c r="J675">
        <v>1335.8303223</v>
      </c>
      <c r="K675">
        <v>0</v>
      </c>
      <c r="L675">
        <v>2400</v>
      </c>
      <c r="M675">
        <v>2400</v>
      </c>
      <c r="N675">
        <v>0</v>
      </c>
    </row>
    <row r="676" spans="1:14" x14ac:dyDescent="0.25">
      <c r="A676">
        <v>294.87256600000001</v>
      </c>
      <c r="B676" s="1">
        <f>DATE(2011,2,19) + TIME(20,56,29)</f>
        <v>40593.872557870367</v>
      </c>
      <c r="C676">
        <v>80</v>
      </c>
      <c r="D676">
        <v>70.365943908999995</v>
      </c>
      <c r="E676">
        <v>50</v>
      </c>
      <c r="F676">
        <v>49.963497162000003</v>
      </c>
      <c r="G676">
        <v>1326.9316406</v>
      </c>
      <c r="H676">
        <v>1325.4774170000001</v>
      </c>
      <c r="I676">
        <v>1338.3438721</v>
      </c>
      <c r="J676">
        <v>1335.8245850000001</v>
      </c>
      <c r="K676">
        <v>0</v>
      </c>
      <c r="L676">
        <v>2400</v>
      </c>
      <c r="M676">
        <v>2400</v>
      </c>
      <c r="N676">
        <v>0</v>
      </c>
    </row>
    <row r="677" spans="1:14" x14ac:dyDescent="0.25">
      <c r="A677">
        <v>297.12485299999997</v>
      </c>
      <c r="B677" s="1">
        <f>DATE(2011,2,22) + TIME(2,59,47)</f>
        <v>40596.124849537038</v>
      </c>
      <c r="C677">
        <v>80</v>
      </c>
      <c r="D677">
        <v>70.213020325000002</v>
      </c>
      <c r="E677">
        <v>50</v>
      </c>
      <c r="F677">
        <v>49.963623046999999</v>
      </c>
      <c r="G677">
        <v>1326.8719481999999</v>
      </c>
      <c r="H677">
        <v>1325.3983154</v>
      </c>
      <c r="I677">
        <v>1338.3381348</v>
      </c>
      <c r="J677">
        <v>1335.8189697</v>
      </c>
      <c r="K677">
        <v>0</v>
      </c>
      <c r="L677">
        <v>2400</v>
      </c>
      <c r="M677">
        <v>2400</v>
      </c>
      <c r="N677">
        <v>0</v>
      </c>
    </row>
    <row r="678" spans="1:14" x14ac:dyDescent="0.25">
      <c r="A678">
        <v>299.41623700000002</v>
      </c>
      <c r="B678" s="1">
        <f>DATE(2011,2,24) + TIME(9,59,22)</f>
        <v>40598.416226851848</v>
      </c>
      <c r="C678">
        <v>80</v>
      </c>
      <c r="D678">
        <v>70.054924010999997</v>
      </c>
      <c r="E678">
        <v>50</v>
      </c>
      <c r="F678">
        <v>49.963752747000001</v>
      </c>
      <c r="G678">
        <v>1326.8118896000001</v>
      </c>
      <c r="H678">
        <v>1325.3184814000001</v>
      </c>
      <c r="I678">
        <v>1338.3325195</v>
      </c>
      <c r="J678">
        <v>1335.8133545000001</v>
      </c>
      <c r="K678">
        <v>0</v>
      </c>
      <c r="L678">
        <v>2400</v>
      </c>
      <c r="M678">
        <v>2400</v>
      </c>
      <c r="N678">
        <v>0</v>
      </c>
    </row>
    <row r="679" spans="1:14" x14ac:dyDescent="0.25">
      <c r="A679">
        <v>301.76058799999998</v>
      </c>
      <c r="B679" s="1">
        <f>DATE(2011,2,26) + TIME(18,15,14)</f>
        <v>40600.760578703703</v>
      </c>
      <c r="C679">
        <v>80</v>
      </c>
      <c r="D679">
        <v>69.890281677000004</v>
      </c>
      <c r="E679">
        <v>50</v>
      </c>
      <c r="F679">
        <v>49.963882446</v>
      </c>
      <c r="G679">
        <v>1326.7512207</v>
      </c>
      <c r="H679">
        <v>1325.2375488</v>
      </c>
      <c r="I679">
        <v>1338.3267822</v>
      </c>
      <c r="J679">
        <v>1335.8078613</v>
      </c>
      <c r="K679">
        <v>0</v>
      </c>
      <c r="L679">
        <v>2400</v>
      </c>
      <c r="M679">
        <v>2400</v>
      </c>
      <c r="N679">
        <v>0</v>
      </c>
    </row>
    <row r="680" spans="1:14" x14ac:dyDescent="0.25">
      <c r="A680">
        <v>304</v>
      </c>
      <c r="B680" s="1">
        <f>DATE(2011,3,1) + TIME(0,0,0)</f>
        <v>40603</v>
      </c>
      <c r="C680">
        <v>80</v>
      </c>
      <c r="D680">
        <v>69.720634459999999</v>
      </c>
      <c r="E680">
        <v>50</v>
      </c>
      <c r="F680">
        <v>49.964004516999999</v>
      </c>
      <c r="G680">
        <v>1326.6895752</v>
      </c>
      <c r="H680">
        <v>1325.1553954999999</v>
      </c>
      <c r="I680">
        <v>1338.3211670000001</v>
      </c>
      <c r="J680">
        <v>1335.8024902</v>
      </c>
      <c r="K680">
        <v>0</v>
      </c>
      <c r="L680">
        <v>2400</v>
      </c>
      <c r="M680">
        <v>2400</v>
      </c>
      <c r="N680">
        <v>0</v>
      </c>
    </row>
    <row r="681" spans="1:14" x14ac:dyDescent="0.25">
      <c r="A681">
        <v>306.38068299999998</v>
      </c>
      <c r="B681" s="1">
        <f>DATE(2011,3,3) + TIME(9,8,11)</f>
        <v>40605.380682870367</v>
      </c>
      <c r="C681">
        <v>80</v>
      </c>
      <c r="D681">
        <v>69.547790527000004</v>
      </c>
      <c r="E681">
        <v>50</v>
      </c>
      <c r="F681">
        <v>49.964134215999998</v>
      </c>
      <c r="G681">
        <v>1326.6292725000001</v>
      </c>
      <c r="H681">
        <v>1325.0744629000001</v>
      </c>
      <c r="I681">
        <v>1338.3157959</v>
      </c>
      <c r="J681">
        <v>1335.7972411999999</v>
      </c>
      <c r="K681">
        <v>0</v>
      </c>
      <c r="L681">
        <v>2400</v>
      </c>
      <c r="M681">
        <v>2400</v>
      </c>
      <c r="N681">
        <v>0</v>
      </c>
    </row>
    <row r="682" spans="1:14" x14ac:dyDescent="0.25">
      <c r="A682">
        <v>308.84439700000001</v>
      </c>
      <c r="B682" s="1">
        <f>DATE(2011,3,5) + TIME(20,15,55)</f>
        <v>40607.844386574077</v>
      </c>
      <c r="C682">
        <v>80</v>
      </c>
      <c r="D682">
        <v>69.363311768000003</v>
      </c>
      <c r="E682">
        <v>50</v>
      </c>
      <c r="F682">
        <v>49.964263916</v>
      </c>
      <c r="G682">
        <v>1326.567749</v>
      </c>
      <c r="H682">
        <v>1324.9921875</v>
      </c>
      <c r="I682">
        <v>1338.3101807</v>
      </c>
      <c r="J682">
        <v>1335.7921143000001</v>
      </c>
      <c r="K682">
        <v>0</v>
      </c>
      <c r="L682">
        <v>2400</v>
      </c>
      <c r="M682">
        <v>2400</v>
      </c>
      <c r="N682">
        <v>0</v>
      </c>
    </row>
    <row r="683" spans="1:14" x14ac:dyDescent="0.25">
      <c r="A683">
        <v>311.33078699999999</v>
      </c>
      <c r="B683" s="1">
        <f>DATE(2011,3,8) + TIME(7,56,19)</f>
        <v>40610.330775462964</v>
      </c>
      <c r="C683">
        <v>80</v>
      </c>
      <c r="D683">
        <v>69.167678832999997</v>
      </c>
      <c r="E683">
        <v>50</v>
      </c>
      <c r="F683">
        <v>49.964393616000002</v>
      </c>
      <c r="G683">
        <v>1326.5042725000001</v>
      </c>
      <c r="H683">
        <v>1324.9071045000001</v>
      </c>
      <c r="I683">
        <v>1338.3045654</v>
      </c>
      <c r="J683">
        <v>1335.7867432</v>
      </c>
      <c r="K683">
        <v>0</v>
      </c>
      <c r="L683">
        <v>2400</v>
      </c>
      <c r="M683">
        <v>2400</v>
      </c>
      <c r="N683">
        <v>0</v>
      </c>
    </row>
    <row r="684" spans="1:14" x14ac:dyDescent="0.25">
      <c r="A684">
        <v>313.85491500000001</v>
      </c>
      <c r="B684" s="1">
        <f>DATE(2011,3,10) + TIME(20,31,4)</f>
        <v>40612.854907407411</v>
      </c>
      <c r="C684">
        <v>80</v>
      </c>
      <c r="D684">
        <v>68.962944031000006</v>
      </c>
      <c r="E684">
        <v>50</v>
      </c>
      <c r="F684">
        <v>49.964523315000001</v>
      </c>
      <c r="G684">
        <v>1326.4399414</v>
      </c>
      <c r="H684">
        <v>1324.8206786999999</v>
      </c>
      <c r="I684">
        <v>1338.2988281</v>
      </c>
      <c r="J684">
        <v>1335.7816161999999</v>
      </c>
      <c r="K684">
        <v>0</v>
      </c>
      <c r="L684">
        <v>2400</v>
      </c>
      <c r="M684">
        <v>2400</v>
      </c>
      <c r="N684">
        <v>0</v>
      </c>
    </row>
    <row r="685" spans="1:14" x14ac:dyDescent="0.25">
      <c r="A685">
        <v>316.414354</v>
      </c>
      <c r="B685" s="1">
        <f>DATE(2011,3,13) + TIME(9,56,40)</f>
        <v>40615.414351851854</v>
      </c>
      <c r="C685">
        <v>80</v>
      </c>
      <c r="D685">
        <v>68.748481749999996</v>
      </c>
      <c r="E685">
        <v>50</v>
      </c>
      <c r="F685">
        <v>49.964656830000003</v>
      </c>
      <c r="G685">
        <v>1326.3751221</v>
      </c>
      <c r="H685">
        <v>1324.7332764</v>
      </c>
      <c r="I685">
        <v>1338.2932129000001</v>
      </c>
      <c r="J685">
        <v>1335.7763672000001</v>
      </c>
      <c r="K685">
        <v>0</v>
      </c>
      <c r="L685">
        <v>2400</v>
      </c>
      <c r="M685">
        <v>2400</v>
      </c>
      <c r="N685">
        <v>0</v>
      </c>
    </row>
    <row r="686" spans="1:14" x14ac:dyDescent="0.25">
      <c r="A686">
        <v>319.01012100000003</v>
      </c>
      <c r="B686" s="1">
        <f>DATE(2011,3,16) + TIME(0,14,34)</f>
        <v>40618.010115740741</v>
      </c>
      <c r="C686">
        <v>80</v>
      </c>
      <c r="D686">
        <v>68.523788452000005</v>
      </c>
      <c r="E686">
        <v>50</v>
      </c>
      <c r="F686">
        <v>49.964786529999998</v>
      </c>
      <c r="G686">
        <v>1326.3099365</v>
      </c>
      <c r="H686">
        <v>1324.6451416</v>
      </c>
      <c r="I686">
        <v>1338.2875977000001</v>
      </c>
      <c r="J686">
        <v>1335.7712402</v>
      </c>
      <c r="K686">
        <v>0</v>
      </c>
      <c r="L686">
        <v>2400</v>
      </c>
      <c r="M686">
        <v>2400</v>
      </c>
      <c r="N686">
        <v>0</v>
      </c>
    </row>
    <row r="687" spans="1:14" x14ac:dyDescent="0.25">
      <c r="A687">
        <v>321.65728999999999</v>
      </c>
      <c r="B687" s="1">
        <f>DATE(2011,3,18) + TIME(15,46,29)</f>
        <v>40620.657280092593</v>
      </c>
      <c r="C687">
        <v>80</v>
      </c>
      <c r="D687">
        <v>68.287963867000002</v>
      </c>
      <c r="E687">
        <v>50</v>
      </c>
      <c r="F687">
        <v>49.964916229000004</v>
      </c>
      <c r="G687">
        <v>1326.2442627</v>
      </c>
      <c r="H687">
        <v>1324.5562743999999</v>
      </c>
      <c r="I687">
        <v>1338.2818603999999</v>
      </c>
      <c r="J687">
        <v>1335.7662353999999</v>
      </c>
      <c r="K687">
        <v>0</v>
      </c>
      <c r="L687">
        <v>2400</v>
      </c>
      <c r="M687">
        <v>2400</v>
      </c>
      <c r="N687">
        <v>0</v>
      </c>
    </row>
    <row r="688" spans="1:14" x14ac:dyDescent="0.25">
      <c r="A688">
        <v>324.37196999999998</v>
      </c>
      <c r="B688" s="1">
        <f>DATE(2011,3,21) + TIME(8,55,38)</f>
        <v>40623.371967592589</v>
      </c>
      <c r="C688">
        <v>80</v>
      </c>
      <c r="D688">
        <v>68.039230347</v>
      </c>
      <c r="E688">
        <v>50</v>
      </c>
      <c r="F688">
        <v>49.965049743999998</v>
      </c>
      <c r="G688">
        <v>1326.1782227000001</v>
      </c>
      <c r="H688">
        <v>1324.4665527</v>
      </c>
      <c r="I688">
        <v>1338.2762451000001</v>
      </c>
      <c r="J688">
        <v>1335.7612305</v>
      </c>
      <c r="K688">
        <v>0</v>
      </c>
      <c r="L688">
        <v>2400</v>
      </c>
      <c r="M688">
        <v>2400</v>
      </c>
      <c r="N688">
        <v>0</v>
      </c>
    </row>
    <row r="689" spans="1:14" x14ac:dyDescent="0.25">
      <c r="A689">
        <v>327.10669799999999</v>
      </c>
      <c r="B689" s="1">
        <f>DATE(2011,3,24) + TIME(2,33,38)</f>
        <v>40626.106689814813</v>
      </c>
      <c r="C689">
        <v>80</v>
      </c>
      <c r="D689">
        <v>67.776611328000001</v>
      </c>
      <c r="E689">
        <v>50</v>
      </c>
      <c r="F689">
        <v>49.965179442999997</v>
      </c>
      <c r="G689">
        <v>1326.1112060999999</v>
      </c>
      <c r="H689">
        <v>1324.3754882999999</v>
      </c>
      <c r="I689">
        <v>1338.2705077999999</v>
      </c>
      <c r="J689">
        <v>1335.7562256000001</v>
      </c>
      <c r="K689">
        <v>0</v>
      </c>
      <c r="L689">
        <v>2400</v>
      </c>
      <c r="M689">
        <v>2400</v>
      </c>
      <c r="N689">
        <v>0</v>
      </c>
    </row>
    <row r="690" spans="1:14" x14ac:dyDescent="0.25">
      <c r="A690">
        <v>329.876867</v>
      </c>
      <c r="B690" s="1">
        <f>DATE(2011,3,26) + TIME(21,2,41)</f>
        <v>40628.876863425925</v>
      </c>
      <c r="C690">
        <v>80</v>
      </c>
      <c r="D690">
        <v>67.501945496000005</v>
      </c>
      <c r="E690">
        <v>50</v>
      </c>
      <c r="F690">
        <v>49.965312957999998</v>
      </c>
      <c r="G690">
        <v>1326.0441894999999</v>
      </c>
      <c r="H690">
        <v>1324.2839355000001</v>
      </c>
      <c r="I690">
        <v>1338.2647704999999</v>
      </c>
      <c r="J690">
        <v>1335.7513428</v>
      </c>
      <c r="K690">
        <v>0</v>
      </c>
      <c r="L690">
        <v>2400</v>
      </c>
      <c r="M690">
        <v>2400</v>
      </c>
      <c r="N690">
        <v>0</v>
      </c>
    </row>
    <row r="691" spans="1:14" x14ac:dyDescent="0.25">
      <c r="A691">
        <v>332.67878200000001</v>
      </c>
      <c r="B691" s="1">
        <f>DATE(2011,3,29) + TIME(16,17,26)</f>
        <v>40631.678773148145</v>
      </c>
      <c r="C691">
        <v>80</v>
      </c>
      <c r="D691">
        <v>67.214462280000006</v>
      </c>
      <c r="E691">
        <v>50</v>
      </c>
      <c r="F691">
        <v>49.965442656999997</v>
      </c>
      <c r="G691">
        <v>1325.9771728999999</v>
      </c>
      <c r="H691">
        <v>1324.1922606999999</v>
      </c>
      <c r="I691">
        <v>1338.2590332</v>
      </c>
      <c r="J691">
        <v>1335.7464600000001</v>
      </c>
      <c r="K691">
        <v>0</v>
      </c>
      <c r="L691">
        <v>2400</v>
      </c>
      <c r="M691">
        <v>2400</v>
      </c>
      <c r="N691">
        <v>0</v>
      </c>
    </row>
    <row r="692" spans="1:14" x14ac:dyDescent="0.25">
      <c r="A692">
        <v>335</v>
      </c>
      <c r="B692" s="1">
        <f>DATE(2011,4,1) + TIME(0,0,0)</f>
        <v>40634</v>
      </c>
      <c r="C692">
        <v>80</v>
      </c>
      <c r="D692">
        <v>66.925872803000004</v>
      </c>
      <c r="E692">
        <v>50</v>
      </c>
      <c r="F692">
        <v>49.965545654000003</v>
      </c>
      <c r="G692">
        <v>1325.9106445</v>
      </c>
      <c r="H692">
        <v>1324.1013184000001</v>
      </c>
      <c r="I692">
        <v>1338.2532959</v>
      </c>
      <c r="J692">
        <v>1335.7415771000001</v>
      </c>
      <c r="K692">
        <v>0</v>
      </c>
      <c r="L692">
        <v>2400</v>
      </c>
      <c r="M692">
        <v>2400</v>
      </c>
      <c r="N692">
        <v>0</v>
      </c>
    </row>
    <row r="693" spans="1:14" x14ac:dyDescent="0.25">
      <c r="A693">
        <v>337.84079500000001</v>
      </c>
      <c r="B693" s="1">
        <f>DATE(2011,4,3) + TIME(20,10,44)</f>
        <v>40636.840787037036</v>
      </c>
      <c r="C693">
        <v>80</v>
      </c>
      <c r="D693">
        <v>66.649230957</v>
      </c>
      <c r="E693">
        <v>50</v>
      </c>
      <c r="F693">
        <v>49.965679168999998</v>
      </c>
      <c r="G693">
        <v>1325.8510742000001</v>
      </c>
      <c r="H693">
        <v>1324.0183105000001</v>
      </c>
      <c r="I693">
        <v>1338.2485352000001</v>
      </c>
      <c r="J693">
        <v>1335.7375488</v>
      </c>
      <c r="K693">
        <v>0</v>
      </c>
      <c r="L693">
        <v>2400</v>
      </c>
      <c r="M693">
        <v>2400</v>
      </c>
      <c r="N693">
        <v>0</v>
      </c>
    </row>
    <row r="694" spans="1:14" x14ac:dyDescent="0.25">
      <c r="A694">
        <v>340.79718800000001</v>
      </c>
      <c r="B694" s="1">
        <f>DATE(2011,4,6) + TIME(19,7,57)</f>
        <v>40639.7971875</v>
      </c>
      <c r="C694">
        <v>80</v>
      </c>
      <c r="D694">
        <v>66.330879210999996</v>
      </c>
      <c r="E694">
        <v>50</v>
      </c>
      <c r="F694">
        <v>49.965808868000003</v>
      </c>
      <c r="G694">
        <v>1325.7885742000001</v>
      </c>
      <c r="H694">
        <v>1323.9327393000001</v>
      </c>
      <c r="I694">
        <v>1338.2427978999999</v>
      </c>
      <c r="J694">
        <v>1335.7329102000001</v>
      </c>
      <c r="K694">
        <v>0</v>
      </c>
      <c r="L694">
        <v>2400</v>
      </c>
      <c r="M694">
        <v>2400</v>
      </c>
      <c r="N694">
        <v>0</v>
      </c>
    </row>
    <row r="695" spans="1:14" x14ac:dyDescent="0.25">
      <c r="A695">
        <v>343.78345000000002</v>
      </c>
      <c r="B695" s="1">
        <f>DATE(2011,4,9) + TIME(18,48,10)</f>
        <v>40642.783449074072</v>
      </c>
      <c r="C695">
        <v>80</v>
      </c>
      <c r="D695">
        <v>65.987152100000003</v>
      </c>
      <c r="E695">
        <v>50</v>
      </c>
      <c r="F695">
        <v>49.965942382999998</v>
      </c>
      <c r="G695">
        <v>1325.7226562000001</v>
      </c>
      <c r="H695">
        <v>1323.8416748</v>
      </c>
      <c r="I695">
        <v>1338.2369385</v>
      </c>
      <c r="J695">
        <v>1335.7281493999999</v>
      </c>
      <c r="K695">
        <v>0</v>
      </c>
      <c r="L695">
        <v>2400</v>
      </c>
      <c r="M695">
        <v>2400</v>
      </c>
      <c r="N695">
        <v>0</v>
      </c>
    </row>
    <row r="696" spans="1:14" x14ac:dyDescent="0.25">
      <c r="A696">
        <v>346.81455099999999</v>
      </c>
      <c r="B696" s="1">
        <f>DATE(2011,4,12) + TIME(19,32,57)</f>
        <v>40645.81454861111</v>
      </c>
      <c r="C696">
        <v>80</v>
      </c>
      <c r="D696">
        <v>65.627235412999994</v>
      </c>
      <c r="E696">
        <v>50</v>
      </c>
      <c r="F696">
        <v>49.966072083</v>
      </c>
      <c r="G696">
        <v>1325.6560059000001</v>
      </c>
      <c r="H696">
        <v>1323.7491454999999</v>
      </c>
      <c r="I696">
        <v>1338.2310791</v>
      </c>
      <c r="J696">
        <v>1335.7235106999999</v>
      </c>
      <c r="K696">
        <v>0</v>
      </c>
      <c r="L696">
        <v>2400</v>
      </c>
      <c r="M696">
        <v>2400</v>
      </c>
      <c r="N696">
        <v>0</v>
      </c>
    </row>
    <row r="697" spans="1:14" x14ac:dyDescent="0.25">
      <c r="A697">
        <v>349.88068199999998</v>
      </c>
      <c r="B697" s="1">
        <f>DATE(2011,4,15) + TIME(21,8,10)</f>
        <v>40648.880671296298</v>
      </c>
      <c r="C697">
        <v>80</v>
      </c>
      <c r="D697">
        <v>65.251739502000007</v>
      </c>
      <c r="E697">
        <v>50</v>
      </c>
      <c r="F697">
        <v>49.966201781999999</v>
      </c>
      <c r="G697">
        <v>1325.5895995999999</v>
      </c>
      <c r="H697">
        <v>1323.6568603999999</v>
      </c>
      <c r="I697">
        <v>1338.2250977000001</v>
      </c>
      <c r="J697">
        <v>1335.71875</v>
      </c>
      <c r="K697">
        <v>0</v>
      </c>
      <c r="L697">
        <v>2400</v>
      </c>
      <c r="M697">
        <v>2400</v>
      </c>
      <c r="N697">
        <v>0</v>
      </c>
    </row>
    <row r="698" spans="1:14" x14ac:dyDescent="0.25">
      <c r="A698">
        <v>352.98613999999998</v>
      </c>
      <c r="B698" s="1">
        <f>DATE(2011,4,18) + TIME(23,40,2)</f>
        <v>40651.986134259256</v>
      </c>
      <c r="C698">
        <v>80</v>
      </c>
      <c r="D698">
        <v>64.861549377000003</v>
      </c>
      <c r="E698">
        <v>50</v>
      </c>
      <c r="F698">
        <v>49.966331482000001</v>
      </c>
      <c r="G698">
        <v>1325.5239257999999</v>
      </c>
      <c r="H698">
        <v>1323.5649414</v>
      </c>
      <c r="I698">
        <v>1338.2191161999999</v>
      </c>
      <c r="J698">
        <v>1335.7141113</v>
      </c>
      <c r="K698">
        <v>0</v>
      </c>
      <c r="L698">
        <v>2400</v>
      </c>
      <c r="M698">
        <v>2400</v>
      </c>
      <c r="N698">
        <v>0</v>
      </c>
    </row>
    <row r="699" spans="1:14" x14ac:dyDescent="0.25">
      <c r="A699">
        <v>356.14961599999998</v>
      </c>
      <c r="B699" s="1">
        <f>DATE(2011,4,22) + TIME(3,35,26)</f>
        <v>40655.149606481478</v>
      </c>
      <c r="C699">
        <v>80</v>
      </c>
      <c r="D699">
        <v>64.456306458</v>
      </c>
      <c r="E699">
        <v>50</v>
      </c>
      <c r="F699">
        <v>49.966464995999999</v>
      </c>
      <c r="G699">
        <v>1325.4588623</v>
      </c>
      <c r="H699">
        <v>1323.4738769999999</v>
      </c>
      <c r="I699">
        <v>1338.2131348</v>
      </c>
      <c r="J699">
        <v>1335.7094727000001</v>
      </c>
      <c r="K699">
        <v>0</v>
      </c>
      <c r="L699">
        <v>2400</v>
      </c>
      <c r="M699">
        <v>2400</v>
      </c>
      <c r="N699">
        <v>0</v>
      </c>
    </row>
    <row r="700" spans="1:14" x14ac:dyDescent="0.25">
      <c r="A700">
        <v>359.37100900000002</v>
      </c>
      <c r="B700" s="1">
        <f>DATE(2011,4,25) + TIME(8,54,15)</f>
        <v>40658.371006944442</v>
      </c>
      <c r="C700">
        <v>80</v>
      </c>
      <c r="D700">
        <v>64.034538268999995</v>
      </c>
      <c r="E700">
        <v>50</v>
      </c>
      <c r="F700">
        <v>49.966594696000001</v>
      </c>
      <c r="G700">
        <v>1325.3944091999999</v>
      </c>
      <c r="H700">
        <v>1323.3833007999999</v>
      </c>
      <c r="I700">
        <v>1338.2070312000001</v>
      </c>
      <c r="J700">
        <v>1335.7047118999999</v>
      </c>
      <c r="K700">
        <v>0</v>
      </c>
      <c r="L700">
        <v>2400</v>
      </c>
      <c r="M700">
        <v>2400</v>
      </c>
      <c r="N700">
        <v>0</v>
      </c>
    </row>
    <row r="701" spans="1:14" x14ac:dyDescent="0.25">
      <c r="A701">
        <v>362.62273900000002</v>
      </c>
      <c r="B701" s="1">
        <f>DATE(2011,4,28) + TIME(14,56,44)</f>
        <v>40661.622731481482</v>
      </c>
      <c r="C701">
        <v>80</v>
      </c>
      <c r="D701">
        <v>63.596687316999997</v>
      </c>
      <c r="E701">
        <v>50</v>
      </c>
      <c r="F701">
        <v>49.966728209999999</v>
      </c>
      <c r="G701">
        <v>1325.3306885</v>
      </c>
      <c r="H701">
        <v>1323.293457</v>
      </c>
      <c r="I701">
        <v>1338.2009277</v>
      </c>
      <c r="J701">
        <v>1335.7000731999999</v>
      </c>
      <c r="K701">
        <v>0</v>
      </c>
      <c r="L701">
        <v>2400</v>
      </c>
      <c r="M701">
        <v>2400</v>
      </c>
      <c r="N701">
        <v>0</v>
      </c>
    </row>
    <row r="702" spans="1:14" x14ac:dyDescent="0.25">
      <c r="A702">
        <v>365</v>
      </c>
      <c r="B702" s="1">
        <f>DATE(2011,5,1) + TIME(0,0,0)</f>
        <v>40664</v>
      </c>
      <c r="C702">
        <v>80</v>
      </c>
      <c r="D702">
        <v>63.171218871999997</v>
      </c>
      <c r="E702">
        <v>50</v>
      </c>
      <c r="F702">
        <v>49.966815947999997</v>
      </c>
      <c r="G702">
        <v>1325.2681885</v>
      </c>
      <c r="H702">
        <v>1323.2058105000001</v>
      </c>
      <c r="I702">
        <v>1338.1947021000001</v>
      </c>
      <c r="J702">
        <v>1335.6954346</v>
      </c>
      <c r="K702">
        <v>0</v>
      </c>
      <c r="L702">
        <v>2400</v>
      </c>
      <c r="M702">
        <v>2400</v>
      </c>
      <c r="N702">
        <v>0</v>
      </c>
    </row>
    <row r="703" spans="1:14" x14ac:dyDescent="0.25">
      <c r="A703">
        <v>365.000001</v>
      </c>
      <c r="B703" s="1">
        <f>DATE(2011,5,1) + TIME(0,0,0)</f>
        <v>40664</v>
      </c>
      <c r="C703">
        <v>80</v>
      </c>
      <c r="D703">
        <v>63.171291351000001</v>
      </c>
      <c r="E703">
        <v>50</v>
      </c>
      <c r="F703">
        <v>49.966800689999999</v>
      </c>
      <c r="G703">
        <v>1328.0831298999999</v>
      </c>
      <c r="H703">
        <v>1325.2834473</v>
      </c>
      <c r="I703">
        <v>1335.6856689000001</v>
      </c>
      <c r="J703">
        <v>1334.3497314000001</v>
      </c>
      <c r="K703">
        <v>2400</v>
      </c>
      <c r="L703">
        <v>0</v>
      </c>
      <c r="M703">
        <v>0</v>
      </c>
      <c r="N703">
        <v>2400</v>
      </c>
    </row>
    <row r="704" spans="1:14" x14ac:dyDescent="0.25">
      <c r="A704">
        <v>365.00000399999999</v>
      </c>
      <c r="B704" s="1">
        <f>DATE(2011,5,1) + TIME(0,0,0)</f>
        <v>40664</v>
      </c>
      <c r="C704">
        <v>80</v>
      </c>
      <c r="D704">
        <v>63.171501159999998</v>
      </c>
      <c r="E704">
        <v>50</v>
      </c>
      <c r="F704">
        <v>49.966754913000003</v>
      </c>
      <c r="G704">
        <v>1328.1158447</v>
      </c>
      <c r="H704">
        <v>1325.3282471</v>
      </c>
      <c r="I704">
        <v>1335.6567382999999</v>
      </c>
      <c r="J704">
        <v>1334.3206786999999</v>
      </c>
      <c r="K704">
        <v>2400</v>
      </c>
      <c r="L704">
        <v>0</v>
      </c>
      <c r="M704">
        <v>0</v>
      </c>
      <c r="N704">
        <v>2400</v>
      </c>
    </row>
    <row r="705" spans="1:14" x14ac:dyDescent="0.25">
      <c r="A705">
        <v>365.00001300000002</v>
      </c>
      <c r="B705" s="1">
        <f>DATE(2011,5,1) + TIME(0,0,1)</f>
        <v>40664.000011574077</v>
      </c>
      <c r="C705">
        <v>80</v>
      </c>
      <c r="D705">
        <v>63.172122954999999</v>
      </c>
      <c r="E705">
        <v>50</v>
      </c>
      <c r="F705">
        <v>49.966621398999997</v>
      </c>
      <c r="G705">
        <v>1328.2098389</v>
      </c>
      <c r="H705">
        <v>1325.4553223</v>
      </c>
      <c r="I705">
        <v>1335.5733643000001</v>
      </c>
      <c r="J705">
        <v>1334.2373047000001</v>
      </c>
      <c r="K705">
        <v>2400</v>
      </c>
      <c r="L705">
        <v>0</v>
      </c>
      <c r="M705">
        <v>0</v>
      </c>
      <c r="N705">
        <v>2400</v>
      </c>
    </row>
    <row r="706" spans="1:14" x14ac:dyDescent="0.25">
      <c r="A706">
        <v>365.00004000000001</v>
      </c>
      <c r="B706" s="1">
        <f>DATE(2011,5,1) + TIME(0,0,3)</f>
        <v>40664.000034722223</v>
      </c>
      <c r="C706">
        <v>80</v>
      </c>
      <c r="D706">
        <v>63.173835754000002</v>
      </c>
      <c r="E706">
        <v>50</v>
      </c>
      <c r="F706">
        <v>49.966262817</v>
      </c>
      <c r="G706">
        <v>1328.4615478999999</v>
      </c>
      <c r="H706">
        <v>1325.7827147999999</v>
      </c>
      <c r="I706">
        <v>1335.3500977000001</v>
      </c>
      <c r="J706">
        <v>1334.0140381000001</v>
      </c>
      <c r="K706">
        <v>2400</v>
      </c>
      <c r="L706">
        <v>0</v>
      </c>
      <c r="M706">
        <v>0</v>
      </c>
      <c r="N706">
        <v>2400</v>
      </c>
    </row>
    <row r="707" spans="1:14" x14ac:dyDescent="0.25">
      <c r="A707">
        <v>365.00012099999998</v>
      </c>
      <c r="B707" s="1">
        <f>DATE(2011,5,1) + TIME(0,0,10)</f>
        <v>40664.000115740739</v>
      </c>
      <c r="C707">
        <v>80</v>
      </c>
      <c r="D707">
        <v>63.178199767999999</v>
      </c>
      <c r="E707">
        <v>50</v>
      </c>
      <c r="F707">
        <v>49.965457915999998</v>
      </c>
      <c r="G707">
        <v>1329.0360106999999</v>
      </c>
      <c r="H707">
        <v>1326.4703368999999</v>
      </c>
      <c r="I707">
        <v>1334.8450928</v>
      </c>
      <c r="J707">
        <v>1333.5090332</v>
      </c>
      <c r="K707">
        <v>2400</v>
      </c>
      <c r="L707">
        <v>0</v>
      </c>
      <c r="M707">
        <v>0</v>
      </c>
      <c r="N707">
        <v>2400</v>
      </c>
    </row>
    <row r="708" spans="1:14" x14ac:dyDescent="0.25">
      <c r="A708">
        <v>365.00036399999999</v>
      </c>
      <c r="B708" s="1">
        <f>DATE(2011,5,1) + TIME(0,0,31)</f>
        <v>40664.000358796293</v>
      </c>
      <c r="C708">
        <v>80</v>
      </c>
      <c r="D708">
        <v>63.188869476000001</v>
      </c>
      <c r="E708">
        <v>50</v>
      </c>
      <c r="F708">
        <v>49.964084624999998</v>
      </c>
      <c r="G708">
        <v>1330.0433350000001</v>
      </c>
      <c r="H708">
        <v>1327.5422363</v>
      </c>
      <c r="I708">
        <v>1333.9904785000001</v>
      </c>
      <c r="J708">
        <v>1332.6542969</v>
      </c>
      <c r="K708">
        <v>2400</v>
      </c>
      <c r="L708">
        <v>0</v>
      </c>
      <c r="M708">
        <v>0</v>
      </c>
      <c r="N708">
        <v>2400</v>
      </c>
    </row>
    <row r="709" spans="1:14" x14ac:dyDescent="0.25">
      <c r="A709">
        <v>365.00109300000003</v>
      </c>
      <c r="B709" s="1">
        <f>DATE(2011,5,1) + TIME(0,1,34)</f>
        <v>40664.001087962963</v>
      </c>
      <c r="C709">
        <v>80</v>
      </c>
      <c r="D709">
        <v>63.216728209999999</v>
      </c>
      <c r="E709">
        <v>50</v>
      </c>
      <c r="F709">
        <v>49.962329865000001</v>
      </c>
      <c r="G709">
        <v>1331.3580322</v>
      </c>
      <c r="H709">
        <v>1328.8302002</v>
      </c>
      <c r="I709">
        <v>1332.9337158000001</v>
      </c>
      <c r="J709">
        <v>1331.5980225000001</v>
      </c>
      <c r="K709">
        <v>2400</v>
      </c>
      <c r="L709">
        <v>0</v>
      </c>
      <c r="M709">
        <v>0</v>
      </c>
      <c r="N709">
        <v>2400</v>
      </c>
    </row>
    <row r="710" spans="1:14" x14ac:dyDescent="0.25">
      <c r="A710">
        <v>365.00328000000002</v>
      </c>
      <c r="B710" s="1">
        <f>DATE(2011,5,1) + TIME(0,4,43)</f>
        <v>40664.003275462965</v>
      </c>
      <c r="C710">
        <v>80</v>
      </c>
      <c r="D710">
        <v>63.295726776000002</v>
      </c>
      <c r="E710">
        <v>50</v>
      </c>
      <c r="F710">
        <v>49.960315704000003</v>
      </c>
      <c r="G710">
        <v>1332.7667236</v>
      </c>
      <c r="H710">
        <v>1330.1920166</v>
      </c>
      <c r="I710">
        <v>1331.8374022999999</v>
      </c>
      <c r="J710">
        <v>1330.5028076000001</v>
      </c>
      <c r="K710">
        <v>2400</v>
      </c>
      <c r="L710">
        <v>0</v>
      </c>
      <c r="M710">
        <v>0</v>
      </c>
      <c r="N710">
        <v>2400</v>
      </c>
    </row>
    <row r="711" spans="1:14" x14ac:dyDescent="0.25">
      <c r="A711">
        <v>365.00984099999999</v>
      </c>
      <c r="B711" s="1">
        <f>DATE(2011,5,1) + TIME(0,14,10)</f>
        <v>40664.009837962964</v>
      </c>
      <c r="C711">
        <v>80</v>
      </c>
      <c r="D711">
        <v>63.526885986000003</v>
      </c>
      <c r="E711">
        <v>50</v>
      </c>
      <c r="F711">
        <v>49.957698821999998</v>
      </c>
      <c r="G711">
        <v>1334.1905518000001</v>
      </c>
      <c r="H711">
        <v>1331.5844727000001</v>
      </c>
      <c r="I711">
        <v>1330.7352295000001</v>
      </c>
      <c r="J711">
        <v>1329.4005127</v>
      </c>
      <c r="K711">
        <v>2400</v>
      </c>
      <c r="L711">
        <v>0</v>
      </c>
      <c r="M711">
        <v>0</v>
      </c>
      <c r="N711">
        <v>2400</v>
      </c>
    </row>
    <row r="712" spans="1:14" x14ac:dyDescent="0.25">
      <c r="A712">
        <v>365.02952399999998</v>
      </c>
      <c r="B712" s="1">
        <f>DATE(2011,5,1) + TIME(0,42,30)</f>
        <v>40664.029513888891</v>
      </c>
      <c r="C712">
        <v>80</v>
      </c>
      <c r="D712">
        <v>64.194885253999999</v>
      </c>
      <c r="E712">
        <v>50</v>
      </c>
      <c r="F712">
        <v>49.953285217000001</v>
      </c>
      <c r="G712">
        <v>1335.6242675999999</v>
      </c>
      <c r="H712">
        <v>1333.0085449000001</v>
      </c>
      <c r="I712">
        <v>1329.6066894999999</v>
      </c>
      <c r="J712">
        <v>1328.2567139</v>
      </c>
      <c r="K712">
        <v>2400</v>
      </c>
      <c r="L712">
        <v>0</v>
      </c>
      <c r="M712">
        <v>0</v>
      </c>
      <c r="N712">
        <v>2400</v>
      </c>
    </row>
    <row r="713" spans="1:14" x14ac:dyDescent="0.25">
      <c r="A713">
        <v>365.05014699999998</v>
      </c>
      <c r="B713" s="1">
        <f>DATE(2011,5,1) + TIME(1,12,12)</f>
        <v>40664.050138888888</v>
      </c>
      <c r="C713">
        <v>80</v>
      </c>
      <c r="D713">
        <v>64.871475219999994</v>
      </c>
      <c r="E713">
        <v>50</v>
      </c>
      <c r="F713">
        <v>49.949512482000003</v>
      </c>
      <c r="G713">
        <v>1336.4254149999999</v>
      </c>
      <c r="H713">
        <v>1333.8031006000001</v>
      </c>
      <c r="I713">
        <v>1328.9833983999999</v>
      </c>
      <c r="J713">
        <v>1327.6116943</v>
      </c>
      <c r="K713">
        <v>2400</v>
      </c>
      <c r="L713">
        <v>0</v>
      </c>
      <c r="M713">
        <v>0</v>
      </c>
      <c r="N713">
        <v>2400</v>
      </c>
    </row>
    <row r="714" spans="1:14" x14ac:dyDescent="0.25">
      <c r="A714">
        <v>365.07136100000002</v>
      </c>
      <c r="B714" s="1">
        <f>DATE(2011,5,1) + TIME(1,42,45)</f>
        <v>40664.07135416667</v>
      </c>
      <c r="C714">
        <v>80</v>
      </c>
      <c r="D714">
        <v>65.542060852000006</v>
      </c>
      <c r="E714">
        <v>50</v>
      </c>
      <c r="F714">
        <v>49.945972443000002</v>
      </c>
      <c r="G714">
        <v>1336.9504394999999</v>
      </c>
      <c r="H714">
        <v>1334.3294678</v>
      </c>
      <c r="I714">
        <v>1328.5698242000001</v>
      </c>
      <c r="J714">
        <v>1327.1756591999999</v>
      </c>
      <c r="K714">
        <v>2400</v>
      </c>
      <c r="L714">
        <v>0</v>
      </c>
      <c r="M714">
        <v>0</v>
      </c>
      <c r="N714">
        <v>2400</v>
      </c>
    </row>
    <row r="715" spans="1:14" x14ac:dyDescent="0.25">
      <c r="A715">
        <v>365.09312999999997</v>
      </c>
      <c r="B715" s="1">
        <f>DATE(2011,5,1) + TIME(2,14,6)</f>
        <v>40664.093124999999</v>
      </c>
      <c r="C715">
        <v>80</v>
      </c>
      <c r="D715">
        <v>66.203277588000006</v>
      </c>
      <c r="E715">
        <v>50</v>
      </c>
      <c r="F715">
        <v>49.942520141999999</v>
      </c>
      <c r="G715">
        <v>1337.3305664</v>
      </c>
      <c r="H715">
        <v>1334.7147216999999</v>
      </c>
      <c r="I715">
        <v>1328.2679443</v>
      </c>
      <c r="J715">
        <v>1326.8529053</v>
      </c>
      <c r="K715">
        <v>2400</v>
      </c>
      <c r="L715">
        <v>0</v>
      </c>
      <c r="M715">
        <v>0</v>
      </c>
      <c r="N715">
        <v>2400</v>
      </c>
    </row>
    <row r="716" spans="1:14" x14ac:dyDescent="0.25">
      <c r="A716">
        <v>365.11544600000002</v>
      </c>
      <c r="B716" s="1">
        <f>DATE(2011,5,1) + TIME(2,46,14)</f>
        <v>40664.115439814814</v>
      </c>
      <c r="C716">
        <v>80</v>
      </c>
      <c r="D716">
        <v>66.853118895999998</v>
      </c>
      <c r="E716">
        <v>50</v>
      </c>
      <c r="F716">
        <v>49.939094543000003</v>
      </c>
      <c r="G716">
        <v>1337.6228027</v>
      </c>
      <c r="H716">
        <v>1335.0141602000001</v>
      </c>
      <c r="I716">
        <v>1328.0352783000001</v>
      </c>
      <c r="J716">
        <v>1326.6016846</v>
      </c>
      <c r="K716">
        <v>2400</v>
      </c>
      <c r="L716">
        <v>0</v>
      </c>
      <c r="M716">
        <v>0</v>
      </c>
      <c r="N716">
        <v>2400</v>
      </c>
    </row>
    <row r="717" spans="1:14" x14ac:dyDescent="0.25">
      <c r="A717">
        <v>365.13831399999998</v>
      </c>
      <c r="B717" s="1">
        <f>DATE(2011,5,1) + TIME(3,19,10)</f>
        <v>40664.138310185182</v>
      </c>
      <c r="C717">
        <v>80</v>
      </c>
      <c r="D717">
        <v>67.490310668999996</v>
      </c>
      <c r="E717">
        <v>50</v>
      </c>
      <c r="F717">
        <v>49.935661316000001</v>
      </c>
      <c r="G717">
        <v>1337.8570557</v>
      </c>
      <c r="H717">
        <v>1335.2564697</v>
      </c>
      <c r="I717">
        <v>1327.8499756000001</v>
      </c>
      <c r="J717">
        <v>1326.3999022999999</v>
      </c>
      <c r="K717">
        <v>2400</v>
      </c>
      <c r="L717">
        <v>0</v>
      </c>
      <c r="M717">
        <v>0</v>
      </c>
      <c r="N717">
        <v>2400</v>
      </c>
    </row>
    <row r="718" spans="1:14" x14ac:dyDescent="0.25">
      <c r="A718">
        <v>365.16174699999999</v>
      </c>
      <c r="B718" s="1">
        <f>DATE(2011,5,1) + TIME(3,52,54)</f>
        <v>40664.161736111113</v>
      </c>
      <c r="C718">
        <v>80</v>
      </c>
      <c r="D718">
        <v>68.113983153999996</v>
      </c>
      <c r="E718">
        <v>50</v>
      </c>
      <c r="F718">
        <v>49.932205199999999</v>
      </c>
      <c r="G718">
        <v>1338.0506591999999</v>
      </c>
      <c r="H718">
        <v>1335.4582519999999</v>
      </c>
      <c r="I718">
        <v>1327.6988524999999</v>
      </c>
      <c r="J718">
        <v>1326.2342529</v>
      </c>
      <c r="K718">
        <v>2400</v>
      </c>
      <c r="L718">
        <v>0</v>
      </c>
      <c r="M718">
        <v>0</v>
      </c>
      <c r="N718">
        <v>2400</v>
      </c>
    </row>
    <row r="719" spans="1:14" x14ac:dyDescent="0.25">
      <c r="A719">
        <v>365.18576100000001</v>
      </c>
      <c r="B719" s="1">
        <f>DATE(2011,5,1) + TIME(4,27,29)</f>
        <v>40664.185752314814</v>
      </c>
      <c r="C719">
        <v>80</v>
      </c>
      <c r="D719">
        <v>68.723526000999996</v>
      </c>
      <c r="E719">
        <v>50</v>
      </c>
      <c r="F719">
        <v>49.928710938000002</v>
      </c>
      <c r="G719">
        <v>1338.2145995999999</v>
      </c>
      <c r="H719">
        <v>1335.630249</v>
      </c>
      <c r="I719">
        <v>1327.5732422000001</v>
      </c>
      <c r="J719">
        <v>1326.0960693</v>
      </c>
      <c r="K719">
        <v>2400</v>
      </c>
      <c r="L719">
        <v>0</v>
      </c>
      <c r="M719">
        <v>0</v>
      </c>
      <c r="N719">
        <v>2400</v>
      </c>
    </row>
    <row r="720" spans="1:14" x14ac:dyDescent="0.25">
      <c r="A720">
        <v>365.210374</v>
      </c>
      <c r="B720" s="1">
        <f>DATE(2011,5,1) + TIME(5,2,56)</f>
        <v>40664.210370370369</v>
      </c>
      <c r="C720">
        <v>80</v>
      </c>
      <c r="D720">
        <v>69.318374633999994</v>
      </c>
      <c r="E720">
        <v>50</v>
      </c>
      <c r="F720">
        <v>49.925174712999997</v>
      </c>
      <c r="G720">
        <v>1338.3565673999999</v>
      </c>
      <c r="H720">
        <v>1335.7794189000001</v>
      </c>
      <c r="I720">
        <v>1327.4676514</v>
      </c>
      <c r="J720">
        <v>1325.979126</v>
      </c>
      <c r="K720">
        <v>2400</v>
      </c>
      <c r="L720">
        <v>0</v>
      </c>
      <c r="M720">
        <v>0</v>
      </c>
      <c r="N720">
        <v>2400</v>
      </c>
    </row>
    <row r="721" spans="1:14" x14ac:dyDescent="0.25">
      <c r="A721">
        <v>365.23561599999999</v>
      </c>
      <c r="B721" s="1">
        <f>DATE(2011,5,1) + TIME(5,39,17)</f>
        <v>40664.235613425924</v>
      </c>
      <c r="C721">
        <v>80</v>
      </c>
      <c r="D721">
        <v>69.898300171000002</v>
      </c>
      <c r="E721">
        <v>50</v>
      </c>
      <c r="F721">
        <v>49.921585082999997</v>
      </c>
      <c r="G721">
        <v>1338.4814452999999</v>
      </c>
      <c r="H721">
        <v>1335.9110106999999</v>
      </c>
      <c r="I721">
        <v>1327.3778076000001</v>
      </c>
      <c r="J721">
        <v>1325.8791504000001</v>
      </c>
      <c r="K721">
        <v>2400</v>
      </c>
      <c r="L721">
        <v>0</v>
      </c>
      <c r="M721">
        <v>0</v>
      </c>
      <c r="N721">
        <v>2400</v>
      </c>
    </row>
    <row r="722" spans="1:14" x14ac:dyDescent="0.25">
      <c r="A722">
        <v>365.26151700000003</v>
      </c>
      <c r="B722" s="1">
        <f>DATE(2011,5,1) + TIME(6,16,35)</f>
        <v>40664.261516203704</v>
      </c>
      <c r="C722">
        <v>80</v>
      </c>
      <c r="D722">
        <v>70.462699889999996</v>
      </c>
      <c r="E722">
        <v>50</v>
      </c>
      <c r="F722">
        <v>49.917934418000002</v>
      </c>
      <c r="G722">
        <v>1338.5930175999999</v>
      </c>
      <c r="H722">
        <v>1336.0285644999999</v>
      </c>
      <c r="I722">
        <v>1327.3009033000001</v>
      </c>
      <c r="J722">
        <v>1325.7930908000001</v>
      </c>
      <c r="K722">
        <v>2400</v>
      </c>
      <c r="L722">
        <v>0</v>
      </c>
      <c r="M722">
        <v>0</v>
      </c>
      <c r="N722">
        <v>2400</v>
      </c>
    </row>
    <row r="723" spans="1:14" x14ac:dyDescent="0.25">
      <c r="A723">
        <v>365.28806100000003</v>
      </c>
      <c r="B723" s="1">
        <f>DATE(2011,5,1) + TIME(6,54,48)</f>
        <v>40664.288055555553</v>
      </c>
      <c r="C723">
        <v>80</v>
      </c>
      <c r="D723">
        <v>71.010673522999994</v>
      </c>
      <c r="E723">
        <v>50</v>
      </c>
      <c r="F723">
        <v>49.914222717000001</v>
      </c>
      <c r="G723">
        <v>1338.6942139</v>
      </c>
      <c r="H723">
        <v>1336.1347656</v>
      </c>
      <c r="I723">
        <v>1327.2346190999999</v>
      </c>
      <c r="J723">
        <v>1325.7186279</v>
      </c>
      <c r="K723">
        <v>2400</v>
      </c>
      <c r="L723">
        <v>0</v>
      </c>
      <c r="M723">
        <v>0</v>
      </c>
      <c r="N723">
        <v>2400</v>
      </c>
    </row>
    <row r="724" spans="1:14" x14ac:dyDescent="0.25">
      <c r="A724">
        <v>365.31524200000001</v>
      </c>
      <c r="B724" s="1">
        <f>DATE(2011,5,1) + TIME(7,33,56)</f>
        <v>40664.31523148148</v>
      </c>
      <c r="C724">
        <v>80</v>
      </c>
      <c r="D724">
        <v>71.541412354000002</v>
      </c>
      <c r="E724">
        <v>50</v>
      </c>
      <c r="F724">
        <v>49.910453795999999</v>
      </c>
      <c r="G724">
        <v>1338.7867432</v>
      </c>
      <c r="H724">
        <v>1336.2314452999999</v>
      </c>
      <c r="I724">
        <v>1327.1773682</v>
      </c>
      <c r="J724">
        <v>1325.6539307</v>
      </c>
      <c r="K724">
        <v>2400</v>
      </c>
      <c r="L724">
        <v>0</v>
      </c>
      <c r="M724">
        <v>0</v>
      </c>
      <c r="N724">
        <v>2400</v>
      </c>
    </row>
    <row r="725" spans="1:14" x14ac:dyDescent="0.25">
      <c r="A725">
        <v>365.34308900000002</v>
      </c>
      <c r="B725" s="1">
        <f>DATE(2011,5,1) + TIME(8,14,2)</f>
        <v>40664.343078703707</v>
      </c>
      <c r="C725">
        <v>80</v>
      </c>
      <c r="D725">
        <v>72.054878235000004</v>
      </c>
      <c r="E725">
        <v>50</v>
      </c>
      <c r="F725">
        <v>49.906623840000002</v>
      </c>
      <c r="G725">
        <v>1338.8723144999999</v>
      </c>
      <c r="H725">
        <v>1336.3203125</v>
      </c>
      <c r="I725">
        <v>1327.1278076000001</v>
      </c>
      <c r="J725">
        <v>1325.5975341999999</v>
      </c>
      <c r="K725">
        <v>2400</v>
      </c>
      <c r="L725">
        <v>0</v>
      </c>
      <c r="M725">
        <v>0</v>
      </c>
      <c r="N725">
        <v>2400</v>
      </c>
    </row>
    <row r="726" spans="1:14" x14ac:dyDescent="0.25">
      <c r="A726">
        <v>365.37163900000002</v>
      </c>
      <c r="B726" s="1">
        <f>DATE(2011,5,1) + TIME(8,55,9)</f>
        <v>40664.371631944443</v>
      </c>
      <c r="C726">
        <v>80</v>
      </c>
      <c r="D726">
        <v>72.551025390999996</v>
      </c>
      <c r="E726">
        <v>50</v>
      </c>
      <c r="F726">
        <v>49.902725220000001</v>
      </c>
      <c r="G726">
        <v>1338.9520264</v>
      </c>
      <c r="H726">
        <v>1336.4027100000001</v>
      </c>
      <c r="I726">
        <v>1327.0848389</v>
      </c>
      <c r="J726">
        <v>1325.5483397999999</v>
      </c>
      <c r="K726">
        <v>2400</v>
      </c>
      <c r="L726">
        <v>0</v>
      </c>
      <c r="M726">
        <v>0</v>
      </c>
      <c r="N726">
        <v>2400</v>
      </c>
    </row>
    <row r="727" spans="1:14" x14ac:dyDescent="0.25">
      <c r="A727">
        <v>365.40092399999997</v>
      </c>
      <c r="B727" s="1">
        <f>DATE(2011,5,1) + TIME(9,37,19)</f>
        <v>40664.400914351849</v>
      </c>
      <c r="C727">
        <v>80</v>
      </c>
      <c r="D727">
        <v>73.029777526999993</v>
      </c>
      <c r="E727">
        <v>50</v>
      </c>
      <c r="F727">
        <v>49.89875412</v>
      </c>
      <c r="G727">
        <v>1339.0270995999999</v>
      </c>
      <c r="H727">
        <v>1336.4793701000001</v>
      </c>
      <c r="I727">
        <v>1327.0476074000001</v>
      </c>
      <c r="J727">
        <v>1325.5053711</v>
      </c>
      <c r="K727">
        <v>2400</v>
      </c>
      <c r="L727">
        <v>0</v>
      </c>
      <c r="M727">
        <v>0</v>
      </c>
      <c r="N727">
        <v>2400</v>
      </c>
    </row>
    <row r="728" spans="1:14" x14ac:dyDescent="0.25">
      <c r="A728">
        <v>365.43097999999998</v>
      </c>
      <c r="B728" s="1">
        <f>DATE(2011,5,1) + TIME(10,20,36)</f>
        <v>40664.430972222224</v>
      </c>
      <c r="C728">
        <v>80</v>
      </c>
      <c r="D728">
        <v>73.491058350000003</v>
      </c>
      <c r="E728">
        <v>50</v>
      </c>
      <c r="F728">
        <v>49.894710541000002</v>
      </c>
      <c r="G728">
        <v>1339.0980225000001</v>
      </c>
      <c r="H728">
        <v>1336.5515137</v>
      </c>
      <c r="I728">
        <v>1327.0153809000001</v>
      </c>
      <c r="J728">
        <v>1325.4678954999999</v>
      </c>
      <c r="K728">
        <v>2400</v>
      </c>
      <c r="L728">
        <v>0</v>
      </c>
      <c r="M728">
        <v>0</v>
      </c>
      <c r="N728">
        <v>2400</v>
      </c>
    </row>
    <row r="729" spans="1:14" x14ac:dyDescent="0.25">
      <c r="A729">
        <v>365.46185300000002</v>
      </c>
      <c r="B729" s="1">
        <f>DATE(2011,5,1) + TIME(11,5,4)</f>
        <v>40664.461851851855</v>
      </c>
      <c r="C729">
        <v>80</v>
      </c>
      <c r="D729">
        <v>73.934898376000007</v>
      </c>
      <c r="E729">
        <v>50</v>
      </c>
      <c r="F729">
        <v>49.890583038000003</v>
      </c>
      <c r="G729">
        <v>1339.1656493999999</v>
      </c>
      <c r="H729">
        <v>1336.6193848</v>
      </c>
      <c r="I729">
        <v>1326.9875488</v>
      </c>
      <c r="J729">
        <v>1325.4351807</v>
      </c>
      <c r="K729">
        <v>2400</v>
      </c>
      <c r="L729">
        <v>0</v>
      </c>
      <c r="M729">
        <v>0</v>
      </c>
      <c r="N729">
        <v>2400</v>
      </c>
    </row>
    <row r="730" spans="1:14" x14ac:dyDescent="0.25">
      <c r="A730">
        <v>365.49358799999999</v>
      </c>
      <c r="B730" s="1">
        <f>DATE(2011,5,1) + TIME(11,50,45)</f>
        <v>40664.493576388886</v>
      </c>
      <c r="C730">
        <v>80</v>
      </c>
      <c r="D730">
        <v>74.361289978000002</v>
      </c>
      <c r="E730">
        <v>50</v>
      </c>
      <c r="F730">
        <v>49.886371613000001</v>
      </c>
      <c r="G730">
        <v>1339.2304687999999</v>
      </c>
      <c r="H730">
        <v>1336.6838379000001</v>
      </c>
      <c r="I730">
        <v>1326.9636230000001</v>
      </c>
      <c r="J730">
        <v>1325.4068603999999</v>
      </c>
      <c r="K730">
        <v>2400</v>
      </c>
      <c r="L730">
        <v>0</v>
      </c>
      <c r="M730">
        <v>0</v>
      </c>
      <c r="N730">
        <v>2400</v>
      </c>
    </row>
    <row r="731" spans="1:14" x14ac:dyDescent="0.25">
      <c r="A731">
        <v>365.526231</v>
      </c>
      <c r="B731" s="1">
        <f>DATE(2011,5,1) + TIME(12,37,46)</f>
        <v>40664.526226851849</v>
      </c>
      <c r="C731">
        <v>80</v>
      </c>
      <c r="D731">
        <v>74.770202636999997</v>
      </c>
      <c r="E731">
        <v>50</v>
      </c>
      <c r="F731">
        <v>49.882072448999999</v>
      </c>
      <c r="G731">
        <v>1339.2927245999999</v>
      </c>
      <c r="H731">
        <v>1336.7451172000001</v>
      </c>
      <c r="I731">
        <v>1326.9432373</v>
      </c>
      <c r="J731">
        <v>1325.3822021000001</v>
      </c>
      <c r="K731">
        <v>2400</v>
      </c>
      <c r="L731">
        <v>0</v>
      </c>
      <c r="M731">
        <v>0</v>
      </c>
      <c r="N731">
        <v>2400</v>
      </c>
    </row>
    <row r="732" spans="1:14" x14ac:dyDescent="0.25">
      <c r="A732">
        <v>365.55983500000002</v>
      </c>
      <c r="B732" s="1">
        <f>DATE(2011,5,1) + TIME(13,26,9)</f>
        <v>40664.55982638889</v>
      </c>
      <c r="C732">
        <v>80</v>
      </c>
      <c r="D732">
        <v>75.161514281999999</v>
      </c>
      <c r="E732">
        <v>50</v>
      </c>
      <c r="F732">
        <v>49.877677917</v>
      </c>
      <c r="G732">
        <v>1339.3529053</v>
      </c>
      <c r="H732">
        <v>1336.8037108999999</v>
      </c>
      <c r="I732">
        <v>1326.9260254000001</v>
      </c>
      <c r="J732">
        <v>1325.3610839999999</v>
      </c>
      <c r="K732">
        <v>2400</v>
      </c>
      <c r="L732">
        <v>0</v>
      </c>
      <c r="M732">
        <v>0</v>
      </c>
      <c r="N732">
        <v>2400</v>
      </c>
    </row>
    <row r="733" spans="1:14" x14ac:dyDescent="0.25">
      <c r="A733">
        <v>365.59445399999998</v>
      </c>
      <c r="B733" s="1">
        <f>DATE(2011,5,1) + TIME(14,16,0)</f>
        <v>40664.594444444447</v>
      </c>
      <c r="C733">
        <v>80</v>
      </c>
      <c r="D733">
        <v>75.535202025999993</v>
      </c>
      <c r="E733">
        <v>50</v>
      </c>
      <c r="F733">
        <v>49.873180388999998</v>
      </c>
      <c r="G733">
        <v>1339.4111327999999</v>
      </c>
      <c r="H733">
        <v>1336.8597411999999</v>
      </c>
      <c r="I733">
        <v>1326.911499</v>
      </c>
      <c r="J733">
        <v>1325.3428954999999</v>
      </c>
      <c r="K733">
        <v>2400</v>
      </c>
      <c r="L733">
        <v>0</v>
      </c>
      <c r="M733">
        <v>0</v>
      </c>
      <c r="N733">
        <v>2400</v>
      </c>
    </row>
    <row r="734" spans="1:14" x14ac:dyDescent="0.25">
      <c r="A734">
        <v>365.63014900000002</v>
      </c>
      <c r="B734" s="1">
        <f>DATE(2011,5,1) + TIME(15,7,24)</f>
        <v>40664.63013888889</v>
      </c>
      <c r="C734">
        <v>80</v>
      </c>
      <c r="D734">
        <v>75.891448975000003</v>
      </c>
      <c r="E734">
        <v>50</v>
      </c>
      <c r="F734">
        <v>49.868579865000001</v>
      </c>
      <c r="G734">
        <v>1339.4676514</v>
      </c>
      <c r="H734">
        <v>1336.9136963000001</v>
      </c>
      <c r="I734">
        <v>1326.8995361</v>
      </c>
      <c r="J734">
        <v>1325.3276367000001</v>
      </c>
      <c r="K734">
        <v>2400</v>
      </c>
      <c r="L734">
        <v>0</v>
      </c>
      <c r="M734">
        <v>0</v>
      </c>
      <c r="N734">
        <v>2400</v>
      </c>
    </row>
    <row r="735" spans="1:14" x14ac:dyDescent="0.25">
      <c r="A735">
        <v>365.66698200000002</v>
      </c>
      <c r="B735" s="1">
        <f>DATE(2011,5,1) + TIME(16,0,27)</f>
        <v>40664.666979166665</v>
      </c>
      <c r="C735">
        <v>80</v>
      </c>
      <c r="D735">
        <v>76.230308532999999</v>
      </c>
      <c r="E735">
        <v>50</v>
      </c>
      <c r="F735">
        <v>49.863864898999999</v>
      </c>
      <c r="G735">
        <v>1339.5225829999999</v>
      </c>
      <c r="H735">
        <v>1336.9654541</v>
      </c>
      <c r="I735">
        <v>1326.8898925999999</v>
      </c>
      <c r="J735">
        <v>1325.3146973</v>
      </c>
      <c r="K735">
        <v>2400</v>
      </c>
      <c r="L735">
        <v>0</v>
      </c>
      <c r="M735">
        <v>0</v>
      </c>
      <c r="N735">
        <v>2400</v>
      </c>
    </row>
    <row r="736" spans="1:14" x14ac:dyDescent="0.25">
      <c r="A736">
        <v>365.70502499999998</v>
      </c>
      <c r="B736" s="1">
        <f>DATE(2011,5,1) + TIME(16,55,14)</f>
        <v>40664.705023148148</v>
      </c>
      <c r="C736">
        <v>80</v>
      </c>
      <c r="D736">
        <v>76.551864624000004</v>
      </c>
      <c r="E736">
        <v>50</v>
      </c>
      <c r="F736">
        <v>49.859027863000001</v>
      </c>
      <c r="G736">
        <v>1339.5762939000001</v>
      </c>
      <c r="H736">
        <v>1337.0155029</v>
      </c>
      <c r="I736">
        <v>1326.8822021000001</v>
      </c>
      <c r="J736">
        <v>1325.3039550999999</v>
      </c>
      <c r="K736">
        <v>2400</v>
      </c>
      <c r="L736">
        <v>0</v>
      </c>
      <c r="M736">
        <v>0</v>
      </c>
      <c r="N736">
        <v>2400</v>
      </c>
    </row>
    <row r="737" spans="1:14" x14ac:dyDescent="0.25">
      <c r="A737">
        <v>365.74435299999999</v>
      </c>
      <c r="B737" s="1">
        <f>DATE(2011,5,1) + TIME(17,51,52)</f>
        <v>40664.744351851848</v>
      </c>
      <c r="C737">
        <v>80</v>
      </c>
      <c r="D737">
        <v>76.856231688999998</v>
      </c>
      <c r="E737">
        <v>50</v>
      </c>
      <c r="F737">
        <v>49.854068755999997</v>
      </c>
      <c r="G737">
        <v>1339.6286620999999</v>
      </c>
      <c r="H737">
        <v>1337.0638428</v>
      </c>
      <c r="I737">
        <v>1326.8763428</v>
      </c>
      <c r="J737">
        <v>1325.2952881000001</v>
      </c>
      <c r="K737">
        <v>2400</v>
      </c>
      <c r="L737">
        <v>0</v>
      </c>
      <c r="M737">
        <v>0</v>
      </c>
      <c r="N737">
        <v>2400</v>
      </c>
    </row>
    <row r="738" spans="1:14" x14ac:dyDescent="0.25">
      <c r="A738">
        <v>365.78501299999999</v>
      </c>
      <c r="B738" s="1">
        <f>DATE(2011,5,1) + TIME(18,50,25)</f>
        <v>40664.785011574073</v>
      </c>
      <c r="C738">
        <v>80</v>
      </c>
      <c r="D738">
        <v>77.143310546999999</v>
      </c>
      <c r="E738">
        <v>50</v>
      </c>
      <c r="F738">
        <v>49.848976135000001</v>
      </c>
      <c r="G738">
        <v>1339.6798096</v>
      </c>
      <c r="H738">
        <v>1337.1105957</v>
      </c>
      <c r="I738">
        <v>1326.8721923999999</v>
      </c>
      <c r="J738">
        <v>1325.2883300999999</v>
      </c>
      <c r="K738">
        <v>2400</v>
      </c>
      <c r="L738">
        <v>0</v>
      </c>
      <c r="M738">
        <v>0</v>
      </c>
      <c r="N738">
        <v>2400</v>
      </c>
    </row>
    <row r="739" spans="1:14" x14ac:dyDescent="0.25">
      <c r="A739">
        <v>365.82706899999999</v>
      </c>
      <c r="B739" s="1">
        <f>DATE(2011,5,1) + TIME(19,50,58)</f>
        <v>40664.827060185184</v>
      </c>
      <c r="C739">
        <v>80</v>
      </c>
      <c r="D739">
        <v>77.413200377999999</v>
      </c>
      <c r="E739">
        <v>50</v>
      </c>
      <c r="F739">
        <v>49.84375</v>
      </c>
      <c r="G739">
        <v>1339.7298584</v>
      </c>
      <c r="H739">
        <v>1337.1558838000001</v>
      </c>
      <c r="I739">
        <v>1326.8693848</v>
      </c>
      <c r="J739">
        <v>1325.2829589999999</v>
      </c>
      <c r="K739">
        <v>2400</v>
      </c>
      <c r="L739">
        <v>0</v>
      </c>
      <c r="M739">
        <v>0</v>
      </c>
      <c r="N739">
        <v>2400</v>
      </c>
    </row>
    <row r="740" spans="1:14" x14ac:dyDescent="0.25">
      <c r="A740">
        <v>365.870609</v>
      </c>
      <c r="B740" s="1">
        <f>DATE(2011,5,1) + TIME(20,53,40)</f>
        <v>40664.87060185185</v>
      </c>
      <c r="C740">
        <v>80</v>
      </c>
      <c r="D740">
        <v>77.666152953999998</v>
      </c>
      <c r="E740">
        <v>50</v>
      </c>
      <c r="F740">
        <v>49.838375092</v>
      </c>
      <c r="G740">
        <v>1339.7788086</v>
      </c>
      <c r="H740">
        <v>1337.199707</v>
      </c>
      <c r="I740">
        <v>1326.8679199000001</v>
      </c>
      <c r="J740">
        <v>1325.2790527</v>
      </c>
      <c r="K740">
        <v>2400</v>
      </c>
      <c r="L740">
        <v>0</v>
      </c>
      <c r="M740">
        <v>0</v>
      </c>
      <c r="N740">
        <v>2400</v>
      </c>
    </row>
    <row r="741" spans="1:14" x14ac:dyDescent="0.25">
      <c r="A741">
        <v>365.915728</v>
      </c>
      <c r="B741" s="1">
        <f>DATE(2011,5,1) + TIME(21,58,38)</f>
        <v>40664.915717592594</v>
      </c>
      <c r="C741">
        <v>80</v>
      </c>
      <c r="D741">
        <v>77.902465820000003</v>
      </c>
      <c r="E741">
        <v>50</v>
      </c>
      <c r="F741">
        <v>49.832851410000004</v>
      </c>
      <c r="G741">
        <v>1339.8266602000001</v>
      </c>
      <c r="H741">
        <v>1337.2420654</v>
      </c>
      <c r="I741">
        <v>1326.8674315999999</v>
      </c>
      <c r="J741">
        <v>1325.2762451000001</v>
      </c>
      <c r="K741">
        <v>2400</v>
      </c>
      <c r="L741">
        <v>0</v>
      </c>
      <c r="M741">
        <v>0</v>
      </c>
      <c r="N741">
        <v>2400</v>
      </c>
    </row>
    <row r="742" spans="1:14" x14ac:dyDescent="0.25">
      <c r="A742">
        <v>365.96253100000001</v>
      </c>
      <c r="B742" s="1">
        <f>DATE(2011,5,1) + TIME(23,6,2)</f>
        <v>40664.962523148148</v>
      </c>
      <c r="C742">
        <v>80</v>
      </c>
      <c r="D742">
        <v>78.122459411999998</v>
      </c>
      <c r="E742">
        <v>50</v>
      </c>
      <c r="F742">
        <v>49.827163696</v>
      </c>
      <c r="G742">
        <v>1339.8734131000001</v>
      </c>
      <c r="H742">
        <v>1337.2830810999999</v>
      </c>
      <c r="I742">
        <v>1326.8680420000001</v>
      </c>
      <c r="J742">
        <v>1325.2745361</v>
      </c>
      <c r="K742">
        <v>2400</v>
      </c>
      <c r="L742">
        <v>0</v>
      </c>
      <c r="M742">
        <v>0</v>
      </c>
      <c r="N742">
        <v>2400</v>
      </c>
    </row>
    <row r="743" spans="1:14" x14ac:dyDescent="0.25">
      <c r="A743">
        <v>366.01113900000001</v>
      </c>
      <c r="B743" s="1">
        <f>DATE(2011,5,2) + TIME(0,16,2)</f>
        <v>40665.011134259257</v>
      </c>
      <c r="C743">
        <v>80</v>
      </c>
      <c r="D743">
        <v>78.326538085999999</v>
      </c>
      <c r="E743">
        <v>50</v>
      </c>
      <c r="F743">
        <v>49.821304321</v>
      </c>
      <c r="G743">
        <v>1339.9191894999999</v>
      </c>
      <c r="H743">
        <v>1337.322876</v>
      </c>
      <c r="I743">
        <v>1326.8693848</v>
      </c>
      <c r="J743">
        <v>1325.2736815999999</v>
      </c>
      <c r="K743">
        <v>2400</v>
      </c>
      <c r="L743">
        <v>0</v>
      </c>
      <c r="M743">
        <v>0</v>
      </c>
      <c r="N743">
        <v>2400</v>
      </c>
    </row>
    <row r="744" spans="1:14" x14ac:dyDescent="0.25">
      <c r="A744">
        <v>366.06168300000002</v>
      </c>
      <c r="B744" s="1">
        <f>DATE(2011,5,2) + TIME(1,28,49)</f>
        <v>40665.061678240738</v>
      </c>
      <c r="C744">
        <v>80</v>
      </c>
      <c r="D744">
        <v>78.515136718999997</v>
      </c>
      <c r="E744">
        <v>50</v>
      </c>
      <c r="F744">
        <v>49.815254211000003</v>
      </c>
      <c r="G744">
        <v>1339.9638672000001</v>
      </c>
      <c r="H744">
        <v>1337.3614502</v>
      </c>
      <c r="I744">
        <v>1326.8714600000001</v>
      </c>
      <c r="J744">
        <v>1325.2736815999999</v>
      </c>
      <c r="K744">
        <v>2400</v>
      </c>
      <c r="L744">
        <v>0</v>
      </c>
      <c r="M744">
        <v>0</v>
      </c>
      <c r="N744">
        <v>2400</v>
      </c>
    </row>
    <row r="745" spans="1:14" x14ac:dyDescent="0.25">
      <c r="A745">
        <v>366.114285</v>
      </c>
      <c r="B745" s="1">
        <f>DATE(2011,5,2) + TIME(2,44,34)</f>
        <v>40665.114282407405</v>
      </c>
      <c r="C745">
        <v>80</v>
      </c>
      <c r="D745">
        <v>78.688636779999996</v>
      </c>
      <c r="E745">
        <v>50</v>
      </c>
      <c r="F745">
        <v>49.809009551999999</v>
      </c>
      <c r="G745">
        <v>1340.0075684000001</v>
      </c>
      <c r="H745">
        <v>1337.3988036999999</v>
      </c>
      <c r="I745">
        <v>1326.8741454999999</v>
      </c>
      <c r="J745">
        <v>1325.2742920000001</v>
      </c>
      <c r="K745">
        <v>2400</v>
      </c>
      <c r="L745">
        <v>0</v>
      </c>
      <c r="M745">
        <v>0</v>
      </c>
      <c r="N745">
        <v>2400</v>
      </c>
    </row>
    <row r="746" spans="1:14" x14ac:dyDescent="0.25">
      <c r="A746">
        <v>366.16909399999997</v>
      </c>
      <c r="B746" s="1">
        <f>DATE(2011,5,2) + TIME(4,3,29)</f>
        <v>40665.169085648151</v>
      </c>
      <c r="C746">
        <v>80</v>
      </c>
      <c r="D746">
        <v>78.847549438000001</v>
      </c>
      <c r="E746">
        <v>50</v>
      </c>
      <c r="F746">
        <v>49.802551270000002</v>
      </c>
      <c r="G746">
        <v>1340.0501709</v>
      </c>
      <c r="H746">
        <v>1337.4349365</v>
      </c>
      <c r="I746">
        <v>1326.8773193</v>
      </c>
      <c r="J746">
        <v>1325.2753906</v>
      </c>
      <c r="K746">
        <v>2400</v>
      </c>
      <c r="L746">
        <v>0</v>
      </c>
      <c r="M746">
        <v>0</v>
      </c>
      <c r="N746">
        <v>2400</v>
      </c>
    </row>
    <row r="747" spans="1:14" x14ac:dyDescent="0.25">
      <c r="A747">
        <v>366.22627499999999</v>
      </c>
      <c r="B747" s="1">
        <f>DATE(2011,5,2) + TIME(5,25,50)</f>
        <v>40665.226273148146</v>
      </c>
      <c r="C747">
        <v>80</v>
      </c>
      <c r="D747">
        <v>78.992393493999998</v>
      </c>
      <c r="E747">
        <v>50</v>
      </c>
      <c r="F747">
        <v>49.795871734999999</v>
      </c>
      <c r="G747">
        <v>1340.0917969</v>
      </c>
      <c r="H747">
        <v>1337.4698486</v>
      </c>
      <c r="I747">
        <v>1326.8808594</v>
      </c>
      <c r="J747">
        <v>1325.2769774999999</v>
      </c>
      <c r="K747">
        <v>2400</v>
      </c>
      <c r="L747">
        <v>0</v>
      </c>
      <c r="M747">
        <v>0</v>
      </c>
      <c r="N747">
        <v>2400</v>
      </c>
    </row>
    <row r="748" spans="1:14" x14ac:dyDescent="0.25">
      <c r="A748">
        <v>366.28600999999998</v>
      </c>
      <c r="B748" s="1">
        <f>DATE(2011,5,2) + TIME(6,51,51)</f>
        <v>40665.286006944443</v>
      </c>
      <c r="C748">
        <v>80</v>
      </c>
      <c r="D748">
        <v>79.123748778999996</v>
      </c>
      <c r="E748">
        <v>50</v>
      </c>
      <c r="F748">
        <v>49.788944244</v>
      </c>
      <c r="G748">
        <v>1340.1323242000001</v>
      </c>
      <c r="H748">
        <v>1337.5036620999999</v>
      </c>
      <c r="I748">
        <v>1326.8846435999999</v>
      </c>
      <c r="J748">
        <v>1325.2789307</v>
      </c>
      <c r="K748">
        <v>2400</v>
      </c>
      <c r="L748">
        <v>0</v>
      </c>
      <c r="M748">
        <v>0</v>
      </c>
      <c r="N748">
        <v>2400</v>
      </c>
    </row>
    <row r="749" spans="1:14" x14ac:dyDescent="0.25">
      <c r="A749">
        <v>366.34850299999999</v>
      </c>
      <c r="B749" s="1">
        <f>DATE(2011,5,2) + TIME(8,21,50)</f>
        <v>40665.348495370374</v>
      </c>
      <c r="C749">
        <v>80</v>
      </c>
      <c r="D749">
        <v>79.242218018000003</v>
      </c>
      <c r="E749">
        <v>50</v>
      </c>
      <c r="F749">
        <v>49.781761168999999</v>
      </c>
      <c r="G749">
        <v>1340.171875</v>
      </c>
      <c r="H749">
        <v>1337.5362548999999</v>
      </c>
      <c r="I749">
        <v>1326.8886719</v>
      </c>
      <c r="J749">
        <v>1325.2810059000001</v>
      </c>
      <c r="K749">
        <v>2400</v>
      </c>
      <c r="L749">
        <v>0</v>
      </c>
      <c r="M749">
        <v>0</v>
      </c>
      <c r="N749">
        <v>2400</v>
      </c>
    </row>
    <row r="750" spans="1:14" x14ac:dyDescent="0.25">
      <c r="A750">
        <v>366.41397999999998</v>
      </c>
      <c r="B750" s="1">
        <f>DATE(2011,5,2) + TIME(9,56,7)</f>
        <v>40665.413969907408</v>
      </c>
      <c r="C750">
        <v>80</v>
      </c>
      <c r="D750">
        <v>79.348442078000005</v>
      </c>
      <c r="E750">
        <v>50</v>
      </c>
      <c r="F750">
        <v>49.774291992000002</v>
      </c>
      <c r="G750">
        <v>1340.2102050999999</v>
      </c>
      <c r="H750">
        <v>1337.5676269999999</v>
      </c>
      <c r="I750">
        <v>1326.8928223</v>
      </c>
      <c r="J750">
        <v>1325.2833252</v>
      </c>
      <c r="K750">
        <v>2400</v>
      </c>
      <c r="L750">
        <v>0</v>
      </c>
      <c r="M750">
        <v>0</v>
      </c>
      <c r="N750">
        <v>2400</v>
      </c>
    </row>
    <row r="751" spans="1:14" x14ac:dyDescent="0.25">
      <c r="A751">
        <v>366.48269499999998</v>
      </c>
      <c r="B751" s="1">
        <f>DATE(2011,5,2) + TIME(11,35,4)</f>
        <v>40665.482685185183</v>
      </c>
      <c r="C751">
        <v>80</v>
      </c>
      <c r="D751">
        <v>79.443092346</v>
      </c>
      <c r="E751">
        <v>50</v>
      </c>
      <c r="F751">
        <v>49.766521453999999</v>
      </c>
      <c r="G751">
        <v>1340.2474365</v>
      </c>
      <c r="H751">
        <v>1337.5980225000001</v>
      </c>
      <c r="I751">
        <v>1326.8969727000001</v>
      </c>
      <c r="J751">
        <v>1325.2856445</v>
      </c>
      <c r="K751">
        <v>2400</v>
      </c>
      <c r="L751">
        <v>0</v>
      </c>
      <c r="M751">
        <v>0</v>
      </c>
      <c r="N751">
        <v>2400</v>
      </c>
    </row>
    <row r="752" spans="1:14" x14ac:dyDescent="0.25">
      <c r="A752">
        <v>366.554934</v>
      </c>
      <c r="B752" s="1">
        <f>DATE(2011,5,2) + TIME(13,19,6)</f>
        <v>40665.554930555554</v>
      </c>
      <c r="C752">
        <v>80</v>
      </c>
      <c r="D752">
        <v>79.526870728000006</v>
      </c>
      <c r="E752">
        <v>50</v>
      </c>
      <c r="F752">
        <v>49.758422852000002</v>
      </c>
      <c r="G752">
        <v>1340.2835693</v>
      </c>
      <c r="H752">
        <v>1337.6270752</v>
      </c>
      <c r="I752">
        <v>1326.9012451000001</v>
      </c>
      <c r="J752">
        <v>1325.2880858999999</v>
      </c>
      <c r="K752">
        <v>2400</v>
      </c>
      <c r="L752">
        <v>0</v>
      </c>
      <c r="M752">
        <v>0</v>
      </c>
      <c r="N752">
        <v>2400</v>
      </c>
    </row>
    <row r="753" spans="1:14" x14ac:dyDescent="0.25">
      <c r="A753">
        <v>366.63102300000003</v>
      </c>
      <c r="B753" s="1">
        <f>DATE(2011,5,2) + TIME(15,8,40)</f>
        <v>40665.631018518521</v>
      </c>
      <c r="C753">
        <v>80</v>
      </c>
      <c r="D753">
        <v>79.600479125999996</v>
      </c>
      <c r="E753">
        <v>50</v>
      </c>
      <c r="F753">
        <v>49.749965668000002</v>
      </c>
      <c r="G753">
        <v>1340.3184814000001</v>
      </c>
      <c r="H753">
        <v>1337.6550293</v>
      </c>
      <c r="I753">
        <v>1326.9053954999999</v>
      </c>
      <c r="J753">
        <v>1325.2904053</v>
      </c>
      <c r="K753">
        <v>2400</v>
      </c>
      <c r="L753">
        <v>0</v>
      </c>
      <c r="M753">
        <v>0</v>
      </c>
      <c r="N753">
        <v>2400</v>
      </c>
    </row>
    <row r="754" spans="1:14" x14ac:dyDescent="0.25">
      <c r="A754">
        <v>366.71138400000001</v>
      </c>
      <c r="B754" s="1">
        <f>DATE(2011,5,2) + TIME(17,4,23)</f>
        <v>40665.711377314816</v>
      </c>
      <c r="C754">
        <v>80</v>
      </c>
      <c r="D754">
        <v>79.66468811</v>
      </c>
      <c r="E754">
        <v>50</v>
      </c>
      <c r="F754">
        <v>49.741111754999999</v>
      </c>
      <c r="G754">
        <v>1340.3521728999999</v>
      </c>
      <c r="H754">
        <v>1337.6817627</v>
      </c>
      <c r="I754">
        <v>1326.9095459</v>
      </c>
      <c r="J754">
        <v>1325.2927245999999</v>
      </c>
      <c r="K754">
        <v>2400</v>
      </c>
      <c r="L754">
        <v>0</v>
      </c>
      <c r="M754">
        <v>0</v>
      </c>
      <c r="N754">
        <v>2400</v>
      </c>
    </row>
    <row r="755" spans="1:14" x14ac:dyDescent="0.25">
      <c r="A755">
        <v>366.796402</v>
      </c>
      <c r="B755" s="1">
        <f>DATE(2011,5,2) + TIME(19,6,49)</f>
        <v>40665.796400462961</v>
      </c>
      <c r="C755">
        <v>80</v>
      </c>
      <c r="D755">
        <v>79.720191955999994</v>
      </c>
      <c r="E755">
        <v>50</v>
      </c>
      <c r="F755">
        <v>49.731826781999999</v>
      </c>
      <c r="G755">
        <v>1340.3846435999999</v>
      </c>
      <c r="H755">
        <v>1337.7073975000001</v>
      </c>
      <c r="I755">
        <v>1326.9134521000001</v>
      </c>
      <c r="J755">
        <v>1325.2949219</v>
      </c>
      <c r="K755">
        <v>2400</v>
      </c>
      <c r="L755">
        <v>0</v>
      </c>
      <c r="M755">
        <v>0</v>
      </c>
      <c r="N755">
        <v>2400</v>
      </c>
    </row>
    <row r="756" spans="1:14" x14ac:dyDescent="0.25">
      <c r="A756">
        <v>366.88656300000002</v>
      </c>
      <c r="B756" s="1">
        <f>DATE(2011,5,2) + TIME(21,16,39)</f>
        <v>40665.886562500003</v>
      </c>
      <c r="C756">
        <v>80</v>
      </c>
      <c r="D756">
        <v>79.767738342000001</v>
      </c>
      <c r="E756">
        <v>50</v>
      </c>
      <c r="F756">
        <v>49.722072601000001</v>
      </c>
      <c r="G756">
        <v>1340.4158935999999</v>
      </c>
      <c r="H756">
        <v>1337.7318115</v>
      </c>
      <c r="I756">
        <v>1326.9172363</v>
      </c>
      <c r="J756">
        <v>1325.2969971</v>
      </c>
      <c r="K756">
        <v>2400</v>
      </c>
      <c r="L756">
        <v>0</v>
      </c>
      <c r="M756">
        <v>0</v>
      </c>
      <c r="N756">
        <v>2400</v>
      </c>
    </row>
    <row r="757" spans="1:14" x14ac:dyDescent="0.25">
      <c r="A757">
        <v>366.97753399999999</v>
      </c>
      <c r="B757" s="1">
        <f>DATE(2011,5,2) + TIME(23,27,38)</f>
        <v>40665.977523148147</v>
      </c>
      <c r="C757">
        <v>80</v>
      </c>
      <c r="D757">
        <v>79.806404114000003</v>
      </c>
      <c r="E757">
        <v>50</v>
      </c>
      <c r="F757">
        <v>49.712272644000002</v>
      </c>
      <c r="G757">
        <v>1340.4460449000001</v>
      </c>
      <c r="H757">
        <v>1337.7550048999999</v>
      </c>
      <c r="I757">
        <v>1326.9206543</v>
      </c>
      <c r="J757">
        <v>1325.2988281</v>
      </c>
      <c r="K757">
        <v>2400</v>
      </c>
      <c r="L757">
        <v>0</v>
      </c>
      <c r="M757">
        <v>0</v>
      </c>
      <c r="N757">
        <v>2400</v>
      </c>
    </row>
    <row r="758" spans="1:14" x14ac:dyDescent="0.25">
      <c r="A758">
        <v>367.06931300000002</v>
      </c>
      <c r="B758" s="1">
        <f>DATE(2011,5,3) + TIME(1,39,48)</f>
        <v>40666.069305555553</v>
      </c>
      <c r="C758">
        <v>80</v>
      </c>
      <c r="D758">
        <v>79.837776184000006</v>
      </c>
      <c r="E758">
        <v>50</v>
      </c>
      <c r="F758">
        <v>49.702434539999999</v>
      </c>
      <c r="G758">
        <v>1340.4736327999999</v>
      </c>
      <c r="H758">
        <v>1337.776001</v>
      </c>
      <c r="I758">
        <v>1326.9238281</v>
      </c>
      <c r="J758">
        <v>1325.300293</v>
      </c>
      <c r="K758">
        <v>2400</v>
      </c>
      <c r="L758">
        <v>0</v>
      </c>
      <c r="M758">
        <v>0</v>
      </c>
      <c r="N758">
        <v>2400</v>
      </c>
    </row>
    <row r="759" spans="1:14" x14ac:dyDescent="0.25">
      <c r="A759">
        <v>367.16212400000001</v>
      </c>
      <c r="B759" s="1">
        <f>DATE(2011,5,3) + TIME(3,53,27)</f>
        <v>40666.162118055552</v>
      </c>
      <c r="C759">
        <v>80</v>
      </c>
      <c r="D759">
        <v>79.863227843999994</v>
      </c>
      <c r="E759">
        <v>50</v>
      </c>
      <c r="F759">
        <v>49.692527771000002</v>
      </c>
      <c r="G759">
        <v>1340.4986572</v>
      </c>
      <c r="H759">
        <v>1337.7950439000001</v>
      </c>
      <c r="I759">
        <v>1326.9266356999999</v>
      </c>
      <c r="J759">
        <v>1325.3016356999999</v>
      </c>
      <c r="K759">
        <v>2400</v>
      </c>
      <c r="L759">
        <v>0</v>
      </c>
      <c r="M759">
        <v>0</v>
      </c>
      <c r="N759">
        <v>2400</v>
      </c>
    </row>
    <row r="760" spans="1:14" x14ac:dyDescent="0.25">
      <c r="A760">
        <v>367.25618800000001</v>
      </c>
      <c r="B760" s="1">
        <f>DATE(2011,5,3) + TIME(6,8,54)</f>
        <v>40666.256180555552</v>
      </c>
      <c r="C760">
        <v>80</v>
      </c>
      <c r="D760">
        <v>79.883857727000006</v>
      </c>
      <c r="E760">
        <v>50</v>
      </c>
      <c r="F760">
        <v>49.682537078999999</v>
      </c>
      <c r="G760">
        <v>1340.5213623</v>
      </c>
      <c r="H760">
        <v>1337.8122559000001</v>
      </c>
      <c r="I760">
        <v>1326.9290771000001</v>
      </c>
      <c r="J760">
        <v>1325.3027344</v>
      </c>
      <c r="K760">
        <v>2400</v>
      </c>
      <c r="L760">
        <v>0</v>
      </c>
      <c r="M760">
        <v>0</v>
      </c>
      <c r="N760">
        <v>2400</v>
      </c>
    </row>
    <row r="761" spans="1:14" x14ac:dyDescent="0.25">
      <c r="A761">
        <v>367.35171300000002</v>
      </c>
      <c r="B761" s="1">
        <f>DATE(2011,5,3) + TIME(8,26,28)</f>
        <v>40666.351712962962</v>
      </c>
      <c r="C761">
        <v>80</v>
      </c>
      <c r="D761">
        <v>79.900558472</v>
      </c>
      <c r="E761">
        <v>50</v>
      </c>
      <c r="F761">
        <v>49.672439574999999</v>
      </c>
      <c r="G761">
        <v>1340.5421143000001</v>
      </c>
      <c r="H761">
        <v>1337.8278809000001</v>
      </c>
      <c r="I761">
        <v>1326.9313964999999</v>
      </c>
      <c r="J761">
        <v>1325.3035889</v>
      </c>
      <c r="K761">
        <v>2400</v>
      </c>
      <c r="L761">
        <v>0</v>
      </c>
      <c r="M761">
        <v>0</v>
      </c>
      <c r="N761">
        <v>2400</v>
      </c>
    </row>
    <row r="762" spans="1:14" x14ac:dyDescent="0.25">
      <c r="A762">
        <v>367.44890600000002</v>
      </c>
      <c r="B762" s="1">
        <f>DATE(2011,5,3) + TIME(10,46,25)</f>
        <v>40666.448900462965</v>
      </c>
      <c r="C762">
        <v>80</v>
      </c>
      <c r="D762">
        <v>79.9140625</v>
      </c>
      <c r="E762">
        <v>50</v>
      </c>
      <c r="F762">
        <v>49.662212371999999</v>
      </c>
      <c r="G762">
        <v>1340.5610352000001</v>
      </c>
      <c r="H762">
        <v>1337.8420410000001</v>
      </c>
      <c r="I762">
        <v>1326.9333495999999</v>
      </c>
      <c r="J762">
        <v>1325.3043213000001</v>
      </c>
      <c r="K762">
        <v>2400</v>
      </c>
      <c r="L762">
        <v>0</v>
      </c>
      <c r="M762">
        <v>0</v>
      </c>
      <c r="N762">
        <v>2400</v>
      </c>
    </row>
    <row r="763" spans="1:14" x14ac:dyDescent="0.25">
      <c r="A763">
        <v>367.548</v>
      </c>
      <c r="B763" s="1">
        <f>DATE(2011,5,3) + TIME(13,9,7)</f>
        <v>40666.547997685186</v>
      </c>
      <c r="C763">
        <v>80</v>
      </c>
      <c r="D763">
        <v>79.924964904999996</v>
      </c>
      <c r="E763">
        <v>50</v>
      </c>
      <c r="F763">
        <v>49.651836394999997</v>
      </c>
      <c r="G763">
        <v>1340.5782471</v>
      </c>
      <c r="H763">
        <v>1337.8549805</v>
      </c>
      <c r="I763">
        <v>1326.9351807</v>
      </c>
      <c r="J763">
        <v>1325.3048096</v>
      </c>
      <c r="K763">
        <v>2400</v>
      </c>
      <c r="L763">
        <v>0</v>
      </c>
      <c r="M763">
        <v>0</v>
      </c>
      <c r="N763">
        <v>2400</v>
      </c>
    </row>
    <row r="764" spans="1:14" x14ac:dyDescent="0.25">
      <c r="A764">
        <v>367.64924100000002</v>
      </c>
      <c r="B764" s="1">
        <f>DATE(2011,5,3) + TIME(15,34,54)</f>
        <v>40666.649236111109</v>
      </c>
      <c r="C764">
        <v>80</v>
      </c>
      <c r="D764">
        <v>79.933738708000007</v>
      </c>
      <c r="E764">
        <v>50</v>
      </c>
      <c r="F764">
        <v>49.641288756999998</v>
      </c>
      <c r="G764">
        <v>1340.5939940999999</v>
      </c>
      <c r="H764">
        <v>1337.8665771000001</v>
      </c>
      <c r="I764">
        <v>1326.9367675999999</v>
      </c>
      <c r="J764">
        <v>1325.3051757999999</v>
      </c>
      <c r="K764">
        <v>2400</v>
      </c>
      <c r="L764">
        <v>0</v>
      </c>
      <c r="M764">
        <v>0</v>
      </c>
      <c r="N764">
        <v>2400</v>
      </c>
    </row>
    <row r="765" spans="1:14" x14ac:dyDescent="0.25">
      <c r="A765">
        <v>367.75289199999997</v>
      </c>
      <c r="B765" s="1">
        <f>DATE(2011,5,3) + TIME(18,4,9)</f>
        <v>40666.752881944441</v>
      </c>
      <c r="C765">
        <v>80</v>
      </c>
      <c r="D765">
        <v>79.940788268999995</v>
      </c>
      <c r="E765">
        <v>50</v>
      </c>
      <c r="F765">
        <v>49.63054657</v>
      </c>
      <c r="G765">
        <v>1340.6082764</v>
      </c>
      <c r="H765">
        <v>1337.8769531</v>
      </c>
      <c r="I765">
        <v>1326.9382324000001</v>
      </c>
      <c r="J765">
        <v>1325.3054199000001</v>
      </c>
      <c r="K765">
        <v>2400</v>
      </c>
      <c r="L765">
        <v>0</v>
      </c>
      <c r="M765">
        <v>0</v>
      </c>
      <c r="N765">
        <v>2400</v>
      </c>
    </row>
    <row r="766" spans="1:14" x14ac:dyDescent="0.25">
      <c r="A766">
        <v>367.85923700000001</v>
      </c>
      <c r="B766" s="1">
        <f>DATE(2011,5,3) + TIME(20,37,18)</f>
        <v>40666.859236111108</v>
      </c>
      <c r="C766">
        <v>80</v>
      </c>
      <c r="D766">
        <v>79.946449279999996</v>
      </c>
      <c r="E766">
        <v>50</v>
      </c>
      <c r="F766">
        <v>49.619579315000003</v>
      </c>
      <c r="G766">
        <v>1340.6212158000001</v>
      </c>
      <c r="H766">
        <v>1337.8864745999999</v>
      </c>
      <c r="I766">
        <v>1326.9394531</v>
      </c>
      <c r="J766">
        <v>1325.3055420000001</v>
      </c>
      <c r="K766">
        <v>2400</v>
      </c>
      <c r="L766">
        <v>0</v>
      </c>
      <c r="M766">
        <v>0</v>
      </c>
      <c r="N766">
        <v>2400</v>
      </c>
    </row>
    <row r="767" spans="1:14" x14ac:dyDescent="0.25">
      <c r="A767">
        <v>367.96858600000002</v>
      </c>
      <c r="B767" s="1">
        <f>DATE(2011,5,3) + TIME(23,14,45)</f>
        <v>40666.968576388892</v>
      </c>
      <c r="C767">
        <v>80</v>
      </c>
      <c r="D767">
        <v>79.950965881000002</v>
      </c>
      <c r="E767">
        <v>50</v>
      </c>
      <c r="F767">
        <v>49.608364105</v>
      </c>
      <c r="G767">
        <v>1340.6330565999999</v>
      </c>
      <c r="H767">
        <v>1337.8950195</v>
      </c>
      <c r="I767">
        <v>1326.9405518000001</v>
      </c>
      <c r="J767">
        <v>1325.3055420000001</v>
      </c>
      <c r="K767">
        <v>2400</v>
      </c>
      <c r="L767">
        <v>0</v>
      </c>
      <c r="M767">
        <v>0</v>
      </c>
      <c r="N767">
        <v>2400</v>
      </c>
    </row>
    <row r="768" spans="1:14" x14ac:dyDescent="0.25">
      <c r="A768">
        <v>368.08119299999998</v>
      </c>
      <c r="B768" s="1">
        <f>DATE(2011,5,4) + TIME(1,56,55)</f>
        <v>40667.081192129626</v>
      </c>
      <c r="C768">
        <v>80</v>
      </c>
      <c r="D768">
        <v>79.954566955999994</v>
      </c>
      <c r="E768">
        <v>50</v>
      </c>
      <c r="F768">
        <v>49.596874237000002</v>
      </c>
      <c r="G768">
        <v>1340.6436768000001</v>
      </c>
      <c r="H768">
        <v>1337.9025879000001</v>
      </c>
      <c r="I768">
        <v>1326.9415283000001</v>
      </c>
      <c r="J768">
        <v>1325.3055420000001</v>
      </c>
      <c r="K768">
        <v>2400</v>
      </c>
      <c r="L768">
        <v>0</v>
      </c>
      <c r="M768">
        <v>0</v>
      </c>
      <c r="N768">
        <v>2400</v>
      </c>
    </row>
    <row r="769" spans="1:14" x14ac:dyDescent="0.25">
      <c r="A769">
        <v>368.195717</v>
      </c>
      <c r="B769" s="1">
        <f>DATE(2011,5,4) + TIME(4,41,49)</f>
        <v>40667.195706018516</v>
      </c>
      <c r="C769">
        <v>80</v>
      </c>
      <c r="D769">
        <v>79.957397460999999</v>
      </c>
      <c r="E769">
        <v>50</v>
      </c>
      <c r="F769">
        <v>49.585231780999997</v>
      </c>
      <c r="G769">
        <v>1340.6531981999999</v>
      </c>
      <c r="H769">
        <v>1337.9093018000001</v>
      </c>
      <c r="I769">
        <v>1326.9422606999999</v>
      </c>
      <c r="J769">
        <v>1325.3052978999999</v>
      </c>
      <c r="K769">
        <v>2400</v>
      </c>
      <c r="L769">
        <v>0</v>
      </c>
      <c r="M769">
        <v>0</v>
      </c>
      <c r="N769">
        <v>2400</v>
      </c>
    </row>
    <row r="770" spans="1:14" x14ac:dyDescent="0.25">
      <c r="A770">
        <v>368.31242400000002</v>
      </c>
      <c r="B770" s="1">
        <f>DATE(2011,5,4) + TIME(7,29,53)</f>
        <v>40667.312418981484</v>
      </c>
      <c r="C770">
        <v>80</v>
      </c>
      <c r="D770">
        <v>79.959617614999999</v>
      </c>
      <c r="E770">
        <v>50</v>
      </c>
      <c r="F770">
        <v>49.573413848999998</v>
      </c>
      <c r="G770">
        <v>1340.6617432</v>
      </c>
      <c r="H770">
        <v>1337.9152832</v>
      </c>
      <c r="I770">
        <v>1326.9429932</v>
      </c>
      <c r="J770">
        <v>1325.3050536999999</v>
      </c>
      <c r="K770">
        <v>2400</v>
      </c>
      <c r="L770">
        <v>0</v>
      </c>
      <c r="M770">
        <v>0</v>
      </c>
      <c r="N770">
        <v>2400</v>
      </c>
    </row>
    <row r="771" spans="1:14" x14ac:dyDescent="0.25">
      <c r="A771">
        <v>368.43159100000003</v>
      </c>
      <c r="B771" s="1">
        <f>DATE(2011,5,4) + TIME(10,21,29)</f>
        <v>40667.431585648148</v>
      </c>
      <c r="C771">
        <v>80</v>
      </c>
      <c r="D771">
        <v>79.961364746000001</v>
      </c>
      <c r="E771">
        <v>50</v>
      </c>
      <c r="F771">
        <v>49.561401367000002</v>
      </c>
      <c r="G771">
        <v>1340.6691894999999</v>
      </c>
      <c r="H771">
        <v>1337.9204102000001</v>
      </c>
      <c r="I771">
        <v>1326.9436035000001</v>
      </c>
      <c r="J771">
        <v>1325.3046875</v>
      </c>
      <c r="K771">
        <v>2400</v>
      </c>
      <c r="L771">
        <v>0</v>
      </c>
      <c r="M771">
        <v>0</v>
      </c>
      <c r="N771">
        <v>2400</v>
      </c>
    </row>
    <row r="772" spans="1:14" x14ac:dyDescent="0.25">
      <c r="A772">
        <v>368.55340699999999</v>
      </c>
      <c r="B772" s="1">
        <f>DATE(2011,5,4) + TIME(13,16,54)</f>
        <v>40667.553402777776</v>
      </c>
      <c r="C772">
        <v>80</v>
      </c>
      <c r="D772">
        <v>79.962730407999999</v>
      </c>
      <c r="E772">
        <v>50</v>
      </c>
      <c r="F772">
        <v>49.549167633000003</v>
      </c>
      <c r="G772">
        <v>1340.6756591999999</v>
      </c>
      <c r="H772">
        <v>1337.9249268000001</v>
      </c>
      <c r="I772">
        <v>1326.9440918</v>
      </c>
      <c r="J772">
        <v>1325.3041992000001</v>
      </c>
      <c r="K772">
        <v>2400</v>
      </c>
      <c r="L772">
        <v>0</v>
      </c>
      <c r="M772">
        <v>0</v>
      </c>
      <c r="N772">
        <v>2400</v>
      </c>
    </row>
    <row r="773" spans="1:14" x14ac:dyDescent="0.25">
      <c r="A773">
        <v>368.678134</v>
      </c>
      <c r="B773" s="1">
        <f>DATE(2011,5,4) + TIME(16,16,30)</f>
        <v>40667.678124999999</v>
      </c>
      <c r="C773">
        <v>80</v>
      </c>
      <c r="D773">
        <v>79.963806152000004</v>
      </c>
      <c r="E773">
        <v>50</v>
      </c>
      <c r="F773">
        <v>49.536701202000003</v>
      </c>
      <c r="G773">
        <v>1340.6813964999999</v>
      </c>
      <c r="H773">
        <v>1337.9287108999999</v>
      </c>
      <c r="I773">
        <v>1326.9444579999999</v>
      </c>
      <c r="J773">
        <v>1325.3038329999999</v>
      </c>
      <c r="K773">
        <v>2400</v>
      </c>
      <c r="L773">
        <v>0</v>
      </c>
      <c r="M773">
        <v>0</v>
      </c>
      <c r="N773">
        <v>2400</v>
      </c>
    </row>
    <row r="774" spans="1:14" x14ac:dyDescent="0.25">
      <c r="A774">
        <v>368.80605300000002</v>
      </c>
      <c r="B774" s="1">
        <f>DATE(2011,5,4) + TIME(19,20,42)</f>
        <v>40667.806041666663</v>
      </c>
      <c r="C774">
        <v>80</v>
      </c>
      <c r="D774">
        <v>79.964653014999996</v>
      </c>
      <c r="E774">
        <v>50</v>
      </c>
      <c r="F774">
        <v>49.523971558</v>
      </c>
      <c r="G774">
        <v>1340.6861572</v>
      </c>
      <c r="H774">
        <v>1337.9318848</v>
      </c>
      <c r="I774">
        <v>1326.9447021000001</v>
      </c>
      <c r="J774">
        <v>1325.3032227000001</v>
      </c>
      <c r="K774">
        <v>2400</v>
      </c>
      <c r="L774">
        <v>0</v>
      </c>
      <c r="M774">
        <v>0</v>
      </c>
      <c r="N774">
        <v>2400</v>
      </c>
    </row>
    <row r="775" spans="1:14" x14ac:dyDescent="0.25">
      <c r="A775">
        <v>368.93747200000001</v>
      </c>
      <c r="B775" s="1">
        <f>DATE(2011,5,4) + TIME(22,29,57)</f>
        <v>40667.937465277777</v>
      </c>
      <c r="C775">
        <v>80</v>
      </c>
      <c r="D775">
        <v>79.965324401999993</v>
      </c>
      <c r="E775">
        <v>50</v>
      </c>
      <c r="F775">
        <v>49.510951996000003</v>
      </c>
      <c r="G775">
        <v>1340.6903076000001</v>
      </c>
      <c r="H775">
        <v>1337.9345702999999</v>
      </c>
      <c r="I775">
        <v>1326.9449463000001</v>
      </c>
      <c r="J775">
        <v>1325.3027344</v>
      </c>
      <c r="K775">
        <v>2400</v>
      </c>
      <c r="L775">
        <v>0</v>
      </c>
      <c r="M775">
        <v>0</v>
      </c>
      <c r="N775">
        <v>2400</v>
      </c>
    </row>
    <row r="776" spans="1:14" x14ac:dyDescent="0.25">
      <c r="A776">
        <v>369.072722</v>
      </c>
      <c r="B776" s="1">
        <f>DATE(2011,5,5) + TIME(1,44,43)</f>
        <v>40668.07271990741</v>
      </c>
      <c r="C776">
        <v>80</v>
      </c>
      <c r="D776">
        <v>79.965843200999998</v>
      </c>
      <c r="E776">
        <v>50</v>
      </c>
      <c r="F776">
        <v>49.497615814</v>
      </c>
      <c r="G776">
        <v>1340.6936035000001</v>
      </c>
      <c r="H776">
        <v>1337.9366454999999</v>
      </c>
      <c r="I776">
        <v>1326.9451904</v>
      </c>
      <c r="J776">
        <v>1325.302124</v>
      </c>
      <c r="K776">
        <v>2400</v>
      </c>
      <c r="L776">
        <v>0</v>
      </c>
      <c r="M776">
        <v>0</v>
      </c>
      <c r="N776">
        <v>2400</v>
      </c>
    </row>
    <row r="777" spans="1:14" x14ac:dyDescent="0.25">
      <c r="A777">
        <v>369.21213999999998</v>
      </c>
      <c r="B777" s="1">
        <f>DATE(2011,5,5) + TIME(5,5,28)</f>
        <v>40668.212129629632</v>
      </c>
      <c r="C777">
        <v>80</v>
      </c>
      <c r="D777">
        <v>79.966262817</v>
      </c>
      <c r="E777">
        <v>50</v>
      </c>
      <c r="F777">
        <v>49.483936309999997</v>
      </c>
      <c r="G777">
        <v>1340.6962891000001</v>
      </c>
      <c r="H777">
        <v>1337.9382324000001</v>
      </c>
      <c r="I777">
        <v>1326.9451904</v>
      </c>
      <c r="J777">
        <v>1325.3013916</v>
      </c>
      <c r="K777">
        <v>2400</v>
      </c>
      <c r="L777">
        <v>0</v>
      </c>
      <c r="M777">
        <v>0</v>
      </c>
      <c r="N777">
        <v>2400</v>
      </c>
    </row>
    <row r="778" spans="1:14" x14ac:dyDescent="0.25">
      <c r="A778">
        <v>369.35613599999999</v>
      </c>
      <c r="B778" s="1">
        <f>DATE(2011,5,5) + TIME(8,32,50)</f>
        <v>40668.356134259258</v>
      </c>
      <c r="C778">
        <v>80</v>
      </c>
      <c r="D778">
        <v>79.966590881000002</v>
      </c>
      <c r="E778">
        <v>50</v>
      </c>
      <c r="F778">
        <v>49.469875336000001</v>
      </c>
      <c r="G778">
        <v>1340.6983643000001</v>
      </c>
      <c r="H778">
        <v>1337.9393310999999</v>
      </c>
      <c r="I778">
        <v>1326.9453125</v>
      </c>
      <c r="J778">
        <v>1325.3006591999999</v>
      </c>
      <c r="K778">
        <v>2400</v>
      </c>
      <c r="L778">
        <v>0</v>
      </c>
      <c r="M778">
        <v>0</v>
      </c>
      <c r="N778">
        <v>2400</v>
      </c>
    </row>
    <row r="779" spans="1:14" x14ac:dyDescent="0.25">
      <c r="A779">
        <v>369.50516699999997</v>
      </c>
      <c r="B779" s="1">
        <f>DATE(2011,5,5) + TIME(12,7,26)</f>
        <v>40668.505162037036</v>
      </c>
      <c r="C779">
        <v>80</v>
      </c>
      <c r="D779">
        <v>79.966850281000006</v>
      </c>
      <c r="E779">
        <v>50</v>
      </c>
      <c r="F779">
        <v>49.455398559999999</v>
      </c>
      <c r="G779">
        <v>1340.6998291</v>
      </c>
      <c r="H779">
        <v>1337.9399414</v>
      </c>
      <c r="I779">
        <v>1326.9453125</v>
      </c>
      <c r="J779">
        <v>1325.2999268000001</v>
      </c>
      <c r="K779">
        <v>2400</v>
      </c>
      <c r="L779">
        <v>0</v>
      </c>
      <c r="M779">
        <v>0</v>
      </c>
      <c r="N779">
        <v>2400</v>
      </c>
    </row>
    <row r="780" spans="1:14" x14ac:dyDescent="0.25">
      <c r="A780">
        <v>369.65974799999998</v>
      </c>
      <c r="B780" s="1">
        <f>DATE(2011,5,5) + TIME(15,50,2)</f>
        <v>40668.659745370373</v>
      </c>
      <c r="C780">
        <v>80</v>
      </c>
      <c r="D780">
        <v>79.967063904</v>
      </c>
      <c r="E780">
        <v>50</v>
      </c>
      <c r="F780">
        <v>49.44046402</v>
      </c>
      <c r="G780">
        <v>1340.7005615</v>
      </c>
      <c r="H780">
        <v>1337.9400635</v>
      </c>
      <c r="I780">
        <v>1326.9451904</v>
      </c>
      <c r="J780">
        <v>1325.2990723</v>
      </c>
      <c r="K780">
        <v>2400</v>
      </c>
      <c r="L780">
        <v>0</v>
      </c>
      <c r="M780">
        <v>0</v>
      </c>
      <c r="N780">
        <v>2400</v>
      </c>
    </row>
    <row r="781" spans="1:14" x14ac:dyDescent="0.25">
      <c r="A781">
        <v>369.82053999999999</v>
      </c>
      <c r="B781" s="1">
        <f>DATE(2011,5,5) + TIME(19,41,34)</f>
        <v>40668.820532407408</v>
      </c>
      <c r="C781">
        <v>80</v>
      </c>
      <c r="D781">
        <v>79.967231749999996</v>
      </c>
      <c r="E781">
        <v>50</v>
      </c>
      <c r="F781">
        <v>49.425018311000002</v>
      </c>
      <c r="G781">
        <v>1340.7008057</v>
      </c>
      <c r="H781">
        <v>1337.9398193</v>
      </c>
      <c r="I781">
        <v>1326.9450684000001</v>
      </c>
      <c r="J781">
        <v>1325.2982178</v>
      </c>
      <c r="K781">
        <v>2400</v>
      </c>
      <c r="L781">
        <v>0</v>
      </c>
      <c r="M781">
        <v>0</v>
      </c>
      <c r="N781">
        <v>2400</v>
      </c>
    </row>
    <row r="782" spans="1:14" x14ac:dyDescent="0.25">
      <c r="A782">
        <v>369.98682300000002</v>
      </c>
      <c r="B782" s="1">
        <f>DATE(2011,5,5) + TIME(23,41,1)</f>
        <v>40668.986817129633</v>
      </c>
      <c r="C782">
        <v>80</v>
      </c>
      <c r="D782">
        <v>79.967369079999997</v>
      </c>
      <c r="E782">
        <v>50</v>
      </c>
      <c r="F782">
        <v>49.409118651999997</v>
      </c>
      <c r="G782">
        <v>1340.7005615</v>
      </c>
      <c r="H782">
        <v>1337.9392089999999</v>
      </c>
      <c r="I782">
        <v>1326.9448242000001</v>
      </c>
      <c r="J782">
        <v>1325.2973632999999</v>
      </c>
      <c r="K782">
        <v>2400</v>
      </c>
      <c r="L782">
        <v>0</v>
      </c>
      <c r="M782">
        <v>0</v>
      </c>
      <c r="N782">
        <v>2400</v>
      </c>
    </row>
    <row r="783" spans="1:14" x14ac:dyDescent="0.25">
      <c r="A783">
        <v>370.15756699999997</v>
      </c>
      <c r="B783" s="1">
        <f>DATE(2011,5,6) + TIME(3,46,53)</f>
        <v>40669.157557870371</v>
      </c>
      <c r="C783">
        <v>80</v>
      </c>
      <c r="D783">
        <v>79.967475891000007</v>
      </c>
      <c r="E783">
        <v>50</v>
      </c>
      <c r="F783">
        <v>49.392845154</v>
      </c>
      <c r="G783">
        <v>1340.699707</v>
      </c>
      <c r="H783">
        <v>1337.9381103999999</v>
      </c>
      <c r="I783">
        <v>1326.9447021000001</v>
      </c>
      <c r="J783">
        <v>1325.2965088000001</v>
      </c>
      <c r="K783">
        <v>2400</v>
      </c>
      <c r="L783">
        <v>0</v>
      </c>
      <c r="M783">
        <v>0</v>
      </c>
      <c r="N783">
        <v>2400</v>
      </c>
    </row>
    <row r="784" spans="1:14" x14ac:dyDescent="0.25">
      <c r="A784">
        <v>370.33096899999998</v>
      </c>
      <c r="B784" s="1">
        <f>DATE(2011,5,6) + TIME(7,56,35)</f>
        <v>40669.330960648149</v>
      </c>
      <c r="C784">
        <v>80</v>
      </c>
      <c r="D784">
        <v>79.967567443999997</v>
      </c>
      <c r="E784">
        <v>50</v>
      </c>
      <c r="F784">
        <v>49.376350403000004</v>
      </c>
      <c r="G784">
        <v>1340.6983643000001</v>
      </c>
      <c r="H784">
        <v>1337.9367675999999</v>
      </c>
      <c r="I784">
        <v>1326.9443358999999</v>
      </c>
      <c r="J784">
        <v>1325.2955322</v>
      </c>
      <c r="K784">
        <v>2400</v>
      </c>
      <c r="L784">
        <v>0</v>
      </c>
      <c r="M784">
        <v>0</v>
      </c>
      <c r="N784">
        <v>2400</v>
      </c>
    </row>
    <row r="785" spans="1:14" x14ac:dyDescent="0.25">
      <c r="A785">
        <v>370.50629900000001</v>
      </c>
      <c r="B785" s="1">
        <f>DATE(2011,5,6) + TIME(12,9,4)</f>
        <v>40669.506296296298</v>
      </c>
      <c r="C785">
        <v>80</v>
      </c>
      <c r="D785">
        <v>79.967636107999994</v>
      </c>
      <c r="E785">
        <v>50</v>
      </c>
      <c r="F785">
        <v>49.359695434999999</v>
      </c>
      <c r="G785">
        <v>1340.6966553</v>
      </c>
      <c r="H785">
        <v>1337.9350586</v>
      </c>
      <c r="I785">
        <v>1326.9440918</v>
      </c>
      <c r="J785">
        <v>1325.2945557</v>
      </c>
      <c r="K785">
        <v>2400</v>
      </c>
      <c r="L785">
        <v>0</v>
      </c>
      <c r="M785">
        <v>0</v>
      </c>
      <c r="N785">
        <v>2400</v>
      </c>
    </row>
    <row r="786" spans="1:14" x14ac:dyDescent="0.25">
      <c r="A786">
        <v>370.684011</v>
      </c>
      <c r="B786" s="1">
        <f>DATE(2011,5,6) + TIME(16,24,58)</f>
        <v>40669.684004629627</v>
      </c>
      <c r="C786">
        <v>80</v>
      </c>
      <c r="D786">
        <v>79.967689514</v>
      </c>
      <c r="E786">
        <v>50</v>
      </c>
      <c r="F786">
        <v>49.342849731000001</v>
      </c>
      <c r="G786">
        <v>1340.6945800999999</v>
      </c>
      <c r="H786">
        <v>1337.9331055</v>
      </c>
      <c r="I786">
        <v>1326.9437256000001</v>
      </c>
      <c r="J786">
        <v>1325.293457</v>
      </c>
      <c r="K786">
        <v>2400</v>
      </c>
      <c r="L786">
        <v>0</v>
      </c>
      <c r="M786">
        <v>0</v>
      </c>
      <c r="N786">
        <v>2400</v>
      </c>
    </row>
    <row r="787" spans="1:14" x14ac:dyDescent="0.25">
      <c r="A787">
        <v>370.86455699999999</v>
      </c>
      <c r="B787" s="1">
        <f>DATE(2011,5,6) + TIME(20,44,57)</f>
        <v>40669.864548611113</v>
      </c>
      <c r="C787">
        <v>80</v>
      </c>
      <c r="D787">
        <v>79.967735290999997</v>
      </c>
      <c r="E787">
        <v>50</v>
      </c>
      <c r="F787">
        <v>49.325778960999997</v>
      </c>
      <c r="G787">
        <v>1340.6921387</v>
      </c>
      <c r="H787">
        <v>1337.9309082</v>
      </c>
      <c r="I787">
        <v>1326.9432373</v>
      </c>
      <c r="J787">
        <v>1325.2924805</v>
      </c>
      <c r="K787">
        <v>2400</v>
      </c>
      <c r="L787">
        <v>0</v>
      </c>
      <c r="M787">
        <v>0</v>
      </c>
      <c r="N787">
        <v>2400</v>
      </c>
    </row>
    <row r="788" spans="1:14" x14ac:dyDescent="0.25">
      <c r="A788">
        <v>371.04840200000001</v>
      </c>
      <c r="B788" s="1">
        <f>DATE(2011,5,7) + TIME(1,9,41)</f>
        <v>40670.048391203702</v>
      </c>
      <c r="C788">
        <v>80</v>
      </c>
      <c r="D788">
        <v>79.967773437999995</v>
      </c>
      <c r="E788">
        <v>50</v>
      </c>
      <c r="F788">
        <v>49.308456421000002</v>
      </c>
      <c r="G788">
        <v>1340.6893310999999</v>
      </c>
      <c r="H788">
        <v>1337.9284668</v>
      </c>
      <c r="I788">
        <v>1326.9428711</v>
      </c>
      <c r="J788">
        <v>1325.2913818</v>
      </c>
      <c r="K788">
        <v>2400</v>
      </c>
      <c r="L788">
        <v>0</v>
      </c>
      <c r="M788">
        <v>0</v>
      </c>
      <c r="N788">
        <v>2400</v>
      </c>
    </row>
    <row r="789" spans="1:14" x14ac:dyDescent="0.25">
      <c r="A789">
        <v>371.23603800000001</v>
      </c>
      <c r="B789" s="1">
        <f>DATE(2011,5,7) + TIME(5,39,53)</f>
        <v>40670.236030092594</v>
      </c>
      <c r="C789">
        <v>80</v>
      </c>
      <c r="D789">
        <v>79.967803954999994</v>
      </c>
      <c r="E789">
        <v>50</v>
      </c>
      <c r="F789">
        <v>49.290840148999997</v>
      </c>
      <c r="G789">
        <v>1340.6861572</v>
      </c>
      <c r="H789">
        <v>1337.9257812000001</v>
      </c>
      <c r="I789">
        <v>1326.9423827999999</v>
      </c>
      <c r="J789">
        <v>1325.2904053</v>
      </c>
      <c r="K789">
        <v>2400</v>
      </c>
      <c r="L789">
        <v>0</v>
      </c>
      <c r="M789">
        <v>0</v>
      </c>
      <c r="N789">
        <v>2400</v>
      </c>
    </row>
    <row r="790" spans="1:14" x14ac:dyDescent="0.25">
      <c r="A790">
        <v>371.42798900000003</v>
      </c>
      <c r="B790" s="1">
        <f>DATE(2011,5,7) + TIME(10,16,18)</f>
        <v>40670.427986111114</v>
      </c>
      <c r="C790">
        <v>80</v>
      </c>
      <c r="D790">
        <v>79.967826842999997</v>
      </c>
      <c r="E790">
        <v>50</v>
      </c>
      <c r="F790">
        <v>49.272895812999998</v>
      </c>
      <c r="G790">
        <v>1340.6827393000001</v>
      </c>
      <c r="H790">
        <v>1337.9229736</v>
      </c>
      <c r="I790">
        <v>1326.9418945</v>
      </c>
      <c r="J790">
        <v>1325.2893065999999</v>
      </c>
      <c r="K790">
        <v>2400</v>
      </c>
      <c r="L790">
        <v>0</v>
      </c>
      <c r="M790">
        <v>0</v>
      </c>
      <c r="N790">
        <v>2400</v>
      </c>
    </row>
    <row r="791" spans="1:14" x14ac:dyDescent="0.25">
      <c r="A791">
        <v>371.62482</v>
      </c>
      <c r="B791" s="1">
        <f>DATE(2011,5,7) + TIME(14,59,44)</f>
        <v>40670.624814814815</v>
      </c>
      <c r="C791">
        <v>80</v>
      </c>
      <c r="D791">
        <v>79.967849731000001</v>
      </c>
      <c r="E791">
        <v>50</v>
      </c>
      <c r="F791">
        <v>49.254573821999998</v>
      </c>
      <c r="G791">
        <v>1340.6790771000001</v>
      </c>
      <c r="H791">
        <v>1337.9199219</v>
      </c>
      <c r="I791">
        <v>1326.9414062000001</v>
      </c>
      <c r="J791">
        <v>1325.2880858999999</v>
      </c>
      <c r="K791">
        <v>2400</v>
      </c>
      <c r="L791">
        <v>0</v>
      </c>
      <c r="M791">
        <v>0</v>
      </c>
      <c r="N791">
        <v>2400</v>
      </c>
    </row>
    <row r="792" spans="1:14" x14ac:dyDescent="0.25">
      <c r="A792">
        <v>371.82700499999999</v>
      </c>
      <c r="B792" s="1">
        <f>DATE(2011,5,7) + TIME(19,50,53)</f>
        <v>40670.827002314814</v>
      </c>
      <c r="C792">
        <v>80</v>
      </c>
      <c r="D792">
        <v>79.967864989999995</v>
      </c>
      <c r="E792">
        <v>50</v>
      </c>
      <c r="F792">
        <v>49.235843658</v>
      </c>
      <c r="G792">
        <v>1340.6750488</v>
      </c>
      <c r="H792">
        <v>1337.916626</v>
      </c>
      <c r="I792">
        <v>1326.9407959</v>
      </c>
      <c r="J792">
        <v>1325.2869873</v>
      </c>
      <c r="K792">
        <v>2400</v>
      </c>
      <c r="L792">
        <v>0</v>
      </c>
      <c r="M792">
        <v>0</v>
      </c>
      <c r="N792">
        <v>2400</v>
      </c>
    </row>
    <row r="793" spans="1:14" x14ac:dyDescent="0.25">
      <c r="A793">
        <v>372.03093999999999</v>
      </c>
      <c r="B793" s="1">
        <f>DATE(2011,5,8) + TIME(0,44,33)</f>
        <v>40671.0309375</v>
      </c>
      <c r="C793">
        <v>80</v>
      </c>
      <c r="D793">
        <v>79.967872619999994</v>
      </c>
      <c r="E793">
        <v>50</v>
      </c>
      <c r="F793">
        <v>49.216976166000002</v>
      </c>
      <c r="G793">
        <v>1340.6707764</v>
      </c>
      <c r="H793">
        <v>1337.9132079999999</v>
      </c>
      <c r="I793">
        <v>1326.9403076000001</v>
      </c>
      <c r="J793">
        <v>1325.2857666</v>
      </c>
      <c r="K793">
        <v>2400</v>
      </c>
      <c r="L793">
        <v>0</v>
      </c>
      <c r="M793">
        <v>0</v>
      </c>
      <c r="N793">
        <v>2400</v>
      </c>
    </row>
    <row r="794" spans="1:14" x14ac:dyDescent="0.25">
      <c r="A794">
        <v>372.23705699999999</v>
      </c>
      <c r="B794" s="1">
        <f>DATE(2011,5,8) + TIME(5,41,21)</f>
        <v>40671.23704861111</v>
      </c>
      <c r="C794">
        <v>80</v>
      </c>
      <c r="D794">
        <v>79.967880249000004</v>
      </c>
      <c r="E794">
        <v>50</v>
      </c>
      <c r="F794">
        <v>49.197948455999999</v>
      </c>
      <c r="G794">
        <v>1340.6662598</v>
      </c>
      <c r="H794">
        <v>1337.9095459</v>
      </c>
      <c r="I794">
        <v>1326.9396973</v>
      </c>
      <c r="J794">
        <v>1325.2845459</v>
      </c>
      <c r="K794">
        <v>2400</v>
      </c>
      <c r="L794">
        <v>0</v>
      </c>
      <c r="M794">
        <v>0</v>
      </c>
      <c r="N794">
        <v>2400</v>
      </c>
    </row>
    <row r="795" spans="1:14" x14ac:dyDescent="0.25">
      <c r="A795">
        <v>372.44576699999999</v>
      </c>
      <c r="B795" s="1">
        <f>DATE(2011,5,8) + TIME(10,41,54)</f>
        <v>40671.445763888885</v>
      </c>
      <c r="C795">
        <v>80</v>
      </c>
      <c r="D795">
        <v>79.967887877999999</v>
      </c>
      <c r="E795">
        <v>50</v>
      </c>
      <c r="F795">
        <v>49.178733825999998</v>
      </c>
      <c r="G795">
        <v>1340.6607666</v>
      </c>
      <c r="H795">
        <v>1337.9052733999999</v>
      </c>
      <c r="I795">
        <v>1326.9389647999999</v>
      </c>
      <c r="J795">
        <v>1325.2833252</v>
      </c>
      <c r="K795">
        <v>2400</v>
      </c>
      <c r="L795">
        <v>0</v>
      </c>
      <c r="M795">
        <v>0</v>
      </c>
      <c r="N795">
        <v>2400</v>
      </c>
    </row>
    <row r="796" spans="1:14" x14ac:dyDescent="0.25">
      <c r="A796">
        <v>372.65762000000001</v>
      </c>
      <c r="B796" s="1">
        <f>DATE(2011,5,8) + TIME(15,46,58)</f>
        <v>40671.65761574074</v>
      </c>
      <c r="C796">
        <v>80</v>
      </c>
      <c r="D796">
        <v>79.967887877999999</v>
      </c>
      <c r="E796">
        <v>50</v>
      </c>
      <c r="F796">
        <v>49.159297942999999</v>
      </c>
      <c r="G796">
        <v>1340.6551514</v>
      </c>
      <c r="H796">
        <v>1337.9008789</v>
      </c>
      <c r="I796">
        <v>1326.9382324000001</v>
      </c>
      <c r="J796">
        <v>1325.2821045000001</v>
      </c>
      <c r="K796">
        <v>2400</v>
      </c>
      <c r="L796">
        <v>0</v>
      </c>
      <c r="M796">
        <v>0</v>
      </c>
      <c r="N796">
        <v>2400</v>
      </c>
    </row>
    <row r="797" spans="1:14" x14ac:dyDescent="0.25">
      <c r="A797">
        <v>372.872953</v>
      </c>
      <c r="B797" s="1">
        <f>DATE(2011,5,8) + TIME(20,57,3)</f>
        <v>40671.87295138889</v>
      </c>
      <c r="C797">
        <v>80</v>
      </c>
      <c r="D797">
        <v>79.967887877999999</v>
      </c>
      <c r="E797">
        <v>50</v>
      </c>
      <c r="F797">
        <v>49.139614105</v>
      </c>
      <c r="G797">
        <v>1340.6494141000001</v>
      </c>
      <c r="H797">
        <v>1337.8963623</v>
      </c>
      <c r="I797">
        <v>1326.9376221</v>
      </c>
      <c r="J797">
        <v>1325.2807617000001</v>
      </c>
      <c r="K797">
        <v>2400</v>
      </c>
      <c r="L797">
        <v>0</v>
      </c>
      <c r="M797">
        <v>0</v>
      </c>
      <c r="N797">
        <v>2400</v>
      </c>
    </row>
    <row r="798" spans="1:14" x14ac:dyDescent="0.25">
      <c r="A798">
        <v>373.092219</v>
      </c>
      <c r="B798" s="1">
        <f>DATE(2011,5,9) + TIME(2,12,47)</f>
        <v>40672.092210648145</v>
      </c>
      <c r="C798">
        <v>80</v>
      </c>
      <c r="D798">
        <v>79.967887877999999</v>
      </c>
      <c r="E798">
        <v>50</v>
      </c>
      <c r="F798">
        <v>49.119651793999999</v>
      </c>
      <c r="G798">
        <v>1340.6436768000001</v>
      </c>
      <c r="H798">
        <v>1337.8919678</v>
      </c>
      <c r="I798">
        <v>1326.9367675999999</v>
      </c>
      <c r="J798">
        <v>1325.2795410000001</v>
      </c>
      <c r="K798">
        <v>2400</v>
      </c>
      <c r="L798">
        <v>0</v>
      </c>
      <c r="M798">
        <v>0</v>
      </c>
      <c r="N798">
        <v>2400</v>
      </c>
    </row>
    <row r="799" spans="1:14" x14ac:dyDescent="0.25">
      <c r="A799">
        <v>373.31575400000003</v>
      </c>
      <c r="B799" s="1">
        <f>DATE(2011,5,9) + TIME(7,34,41)</f>
        <v>40672.315752314818</v>
      </c>
      <c r="C799">
        <v>80</v>
      </c>
      <c r="D799">
        <v>79.967887877999999</v>
      </c>
      <c r="E799">
        <v>50</v>
      </c>
      <c r="F799">
        <v>49.099384307999998</v>
      </c>
      <c r="G799">
        <v>1340.6378173999999</v>
      </c>
      <c r="H799">
        <v>1337.8873291</v>
      </c>
      <c r="I799">
        <v>1326.9360352000001</v>
      </c>
      <c r="J799">
        <v>1325.2781981999999</v>
      </c>
      <c r="K799">
        <v>2400</v>
      </c>
      <c r="L799">
        <v>0</v>
      </c>
      <c r="M799">
        <v>0</v>
      </c>
      <c r="N799">
        <v>2400</v>
      </c>
    </row>
    <row r="800" spans="1:14" x14ac:dyDescent="0.25">
      <c r="A800">
        <v>373.544061</v>
      </c>
      <c r="B800" s="1">
        <f>DATE(2011,5,9) + TIME(13,3,26)</f>
        <v>40672.544050925928</v>
      </c>
      <c r="C800">
        <v>80</v>
      </c>
      <c r="D800">
        <v>79.967880249000004</v>
      </c>
      <c r="E800">
        <v>50</v>
      </c>
      <c r="F800">
        <v>49.078781128000003</v>
      </c>
      <c r="G800">
        <v>1340.6318358999999</v>
      </c>
      <c r="H800">
        <v>1337.8828125</v>
      </c>
      <c r="I800">
        <v>1326.9353027</v>
      </c>
      <c r="J800">
        <v>1325.2768555</v>
      </c>
      <c r="K800">
        <v>2400</v>
      </c>
      <c r="L800">
        <v>0</v>
      </c>
      <c r="M800">
        <v>0</v>
      </c>
      <c r="N800">
        <v>2400</v>
      </c>
    </row>
    <row r="801" spans="1:14" x14ac:dyDescent="0.25">
      <c r="A801">
        <v>373.77768200000003</v>
      </c>
      <c r="B801" s="1">
        <f>DATE(2011,5,9) + TIME(18,39,51)</f>
        <v>40672.777673611112</v>
      </c>
      <c r="C801">
        <v>80</v>
      </c>
      <c r="D801">
        <v>79.967880249000004</v>
      </c>
      <c r="E801">
        <v>50</v>
      </c>
      <c r="F801">
        <v>49.057800293</v>
      </c>
      <c r="G801">
        <v>1340.6258545000001</v>
      </c>
      <c r="H801">
        <v>1337.8781738</v>
      </c>
      <c r="I801">
        <v>1326.9344481999999</v>
      </c>
      <c r="J801">
        <v>1325.2753906</v>
      </c>
      <c r="K801">
        <v>2400</v>
      </c>
      <c r="L801">
        <v>0</v>
      </c>
      <c r="M801">
        <v>0</v>
      </c>
      <c r="N801">
        <v>2400</v>
      </c>
    </row>
    <row r="802" spans="1:14" x14ac:dyDescent="0.25">
      <c r="A802">
        <v>374.01720399999999</v>
      </c>
      <c r="B802" s="1">
        <f>DATE(2011,5,10) + TIME(0,24,46)</f>
        <v>40673.017199074071</v>
      </c>
      <c r="C802">
        <v>80</v>
      </c>
      <c r="D802">
        <v>79.967872619999994</v>
      </c>
      <c r="E802">
        <v>50</v>
      </c>
      <c r="F802">
        <v>49.036399840999998</v>
      </c>
      <c r="G802">
        <v>1340.619751</v>
      </c>
      <c r="H802">
        <v>1337.8734131000001</v>
      </c>
      <c r="I802">
        <v>1326.9335937999999</v>
      </c>
      <c r="J802">
        <v>1325.2740478999999</v>
      </c>
      <c r="K802">
        <v>2400</v>
      </c>
      <c r="L802">
        <v>0</v>
      </c>
      <c r="M802">
        <v>0</v>
      </c>
      <c r="N802">
        <v>2400</v>
      </c>
    </row>
    <row r="803" spans="1:14" x14ac:dyDescent="0.25">
      <c r="A803">
        <v>374.26327300000003</v>
      </c>
      <c r="B803" s="1">
        <f>DATE(2011,5,10) + TIME(6,19,6)</f>
        <v>40673.26326388889</v>
      </c>
      <c r="C803">
        <v>80</v>
      </c>
      <c r="D803">
        <v>79.967872619999994</v>
      </c>
      <c r="E803">
        <v>50</v>
      </c>
      <c r="F803">
        <v>49.014530182000001</v>
      </c>
      <c r="G803">
        <v>1340.6135254000001</v>
      </c>
      <c r="H803">
        <v>1337.8687743999999</v>
      </c>
      <c r="I803">
        <v>1326.9327393000001</v>
      </c>
      <c r="J803">
        <v>1325.2725829999999</v>
      </c>
      <c r="K803">
        <v>2400</v>
      </c>
      <c r="L803">
        <v>0</v>
      </c>
      <c r="M803">
        <v>0</v>
      </c>
      <c r="N803">
        <v>2400</v>
      </c>
    </row>
    <row r="804" spans="1:14" x14ac:dyDescent="0.25">
      <c r="A804">
        <v>374.51659799999999</v>
      </c>
      <c r="B804" s="1">
        <f>DATE(2011,5,10) + TIME(12,23,54)</f>
        <v>40673.516597222224</v>
      </c>
      <c r="C804">
        <v>80</v>
      </c>
      <c r="D804">
        <v>79.967864989999995</v>
      </c>
      <c r="E804">
        <v>50</v>
      </c>
      <c r="F804">
        <v>48.992137909</v>
      </c>
      <c r="G804">
        <v>1340.6071777</v>
      </c>
      <c r="H804">
        <v>1337.8638916</v>
      </c>
      <c r="I804">
        <v>1326.9317627</v>
      </c>
      <c r="J804">
        <v>1325.2709961</v>
      </c>
      <c r="K804">
        <v>2400</v>
      </c>
      <c r="L804">
        <v>0</v>
      </c>
      <c r="M804">
        <v>0</v>
      </c>
      <c r="N804">
        <v>2400</v>
      </c>
    </row>
    <row r="805" spans="1:14" x14ac:dyDescent="0.25">
      <c r="A805">
        <v>374.77797199999998</v>
      </c>
      <c r="B805" s="1">
        <f>DATE(2011,5,10) + TIME(18,40,16)</f>
        <v>40673.777962962966</v>
      </c>
      <c r="C805">
        <v>80</v>
      </c>
      <c r="D805">
        <v>79.967857361</v>
      </c>
      <c r="E805">
        <v>50</v>
      </c>
      <c r="F805">
        <v>48.969173431000002</v>
      </c>
      <c r="G805">
        <v>1340.6008300999999</v>
      </c>
      <c r="H805">
        <v>1337.8591309000001</v>
      </c>
      <c r="I805">
        <v>1326.9307861</v>
      </c>
      <c r="J805">
        <v>1325.2695312000001</v>
      </c>
      <c r="K805">
        <v>2400</v>
      </c>
      <c r="L805">
        <v>0</v>
      </c>
      <c r="M805">
        <v>0</v>
      </c>
      <c r="N805">
        <v>2400</v>
      </c>
    </row>
    <row r="806" spans="1:14" x14ac:dyDescent="0.25">
      <c r="A806">
        <v>375.04832299999998</v>
      </c>
      <c r="B806" s="1">
        <f>DATE(2011,5,11) + TIME(1,9,35)</f>
        <v>40674.048321759263</v>
      </c>
      <c r="C806">
        <v>80</v>
      </c>
      <c r="D806">
        <v>79.967849731000001</v>
      </c>
      <c r="E806">
        <v>50</v>
      </c>
      <c r="F806">
        <v>48.945560454999999</v>
      </c>
      <c r="G806">
        <v>1340.5942382999999</v>
      </c>
      <c r="H806">
        <v>1337.854126</v>
      </c>
      <c r="I806">
        <v>1326.9298096</v>
      </c>
      <c r="J806">
        <v>1325.2678223</v>
      </c>
      <c r="K806">
        <v>2400</v>
      </c>
      <c r="L806">
        <v>0</v>
      </c>
      <c r="M806">
        <v>0</v>
      </c>
      <c r="N806">
        <v>2400</v>
      </c>
    </row>
    <row r="807" spans="1:14" x14ac:dyDescent="0.25">
      <c r="A807">
        <v>375.322631</v>
      </c>
      <c r="B807" s="1">
        <f>DATE(2011,5,11) + TIME(7,44,35)</f>
        <v>40674.322627314818</v>
      </c>
      <c r="C807">
        <v>80</v>
      </c>
      <c r="D807">
        <v>79.967842102000006</v>
      </c>
      <c r="E807">
        <v>50</v>
      </c>
      <c r="F807">
        <v>48.921634674000003</v>
      </c>
      <c r="G807">
        <v>1340.5876464999999</v>
      </c>
      <c r="H807">
        <v>1337.8491211</v>
      </c>
      <c r="I807">
        <v>1326.9288329999999</v>
      </c>
      <c r="J807">
        <v>1325.2662353999999</v>
      </c>
      <c r="K807">
        <v>2400</v>
      </c>
      <c r="L807">
        <v>0</v>
      </c>
      <c r="M807">
        <v>0</v>
      </c>
      <c r="N807">
        <v>2400</v>
      </c>
    </row>
    <row r="808" spans="1:14" x14ac:dyDescent="0.25">
      <c r="A808">
        <v>375.60171300000002</v>
      </c>
      <c r="B808" s="1">
        <f>DATE(2011,5,11) + TIME(14,26,28)</f>
        <v>40674.601712962962</v>
      </c>
      <c r="C808">
        <v>80</v>
      </c>
      <c r="D808">
        <v>79.967834472999996</v>
      </c>
      <c r="E808">
        <v>50</v>
      </c>
      <c r="F808">
        <v>48.897357941000003</v>
      </c>
      <c r="G808">
        <v>1340.5809326000001</v>
      </c>
      <c r="H808">
        <v>1337.8441161999999</v>
      </c>
      <c r="I808">
        <v>1326.9277344</v>
      </c>
      <c r="J808">
        <v>1325.2645264</v>
      </c>
      <c r="K808">
        <v>2400</v>
      </c>
      <c r="L808">
        <v>0</v>
      </c>
      <c r="M808">
        <v>0</v>
      </c>
      <c r="N808">
        <v>2400</v>
      </c>
    </row>
    <row r="809" spans="1:14" x14ac:dyDescent="0.25">
      <c r="A809">
        <v>375.88617900000003</v>
      </c>
      <c r="B809" s="1">
        <f>DATE(2011,5,11) + TIME(21,16,5)</f>
        <v>40674.88616898148</v>
      </c>
      <c r="C809">
        <v>80</v>
      </c>
      <c r="D809">
        <v>79.967826842999997</v>
      </c>
      <c r="E809">
        <v>50</v>
      </c>
      <c r="F809">
        <v>48.872699738000001</v>
      </c>
      <c r="G809">
        <v>1340.5743408000001</v>
      </c>
      <c r="H809">
        <v>1337.8391113</v>
      </c>
      <c r="I809">
        <v>1326.9266356999999</v>
      </c>
      <c r="J809">
        <v>1325.2626952999999</v>
      </c>
      <c r="K809">
        <v>2400</v>
      </c>
      <c r="L809">
        <v>0</v>
      </c>
      <c r="M809">
        <v>0</v>
      </c>
      <c r="N809">
        <v>2400</v>
      </c>
    </row>
    <row r="810" spans="1:14" x14ac:dyDescent="0.25">
      <c r="A810">
        <v>376.17599300000001</v>
      </c>
      <c r="B810" s="1">
        <f>DATE(2011,5,12) + TIME(4,13,25)</f>
        <v>40675.175983796296</v>
      </c>
      <c r="C810">
        <v>80</v>
      </c>
      <c r="D810">
        <v>79.967819214000002</v>
      </c>
      <c r="E810">
        <v>50</v>
      </c>
      <c r="F810">
        <v>48.847663879000002</v>
      </c>
      <c r="G810">
        <v>1340.5676269999999</v>
      </c>
      <c r="H810">
        <v>1337.8341064000001</v>
      </c>
      <c r="I810">
        <v>1326.9255370999999</v>
      </c>
      <c r="J810">
        <v>1325.2608643000001</v>
      </c>
      <c r="K810">
        <v>2400</v>
      </c>
      <c r="L810">
        <v>0</v>
      </c>
      <c r="M810">
        <v>0</v>
      </c>
      <c r="N810">
        <v>2400</v>
      </c>
    </row>
    <row r="811" spans="1:14" x14ac:dyDescent="0.25">
      <c r="A811">
        <v>376.471678</v>
      </c>
      <c r="B811" s="1">
        <f>DATE(2011,5,12) + TIME(11,19,12)</f>
        <v>40675.471666666665</v>
      </c>
      <c r="C811">
        <v>80</v>
      </c>
      <c r="D811">
        <v>79.967811584000003</v>
      </c>
      <c r="E811">
        <v>50</v>
      </c>
      <c r="F811">
        <v>48.822223663000003</v>
      </c>
      <c r="G811">
        <v>1340.5607910000001</v>
      </c>
      <c r="H811">
        <v>1337.8291016000001</v>
      </c>
      <c r="I811">
        <v>1326.9244385</v>
      </c>
      <c r="J811">
        <v>1325.2590332</v>
      </c>
      <c r="K811">
        <v>2400</v>
      </c>
      <c r="L811">
        <v>0</v>
      </c>
      <c r="M811">
        <v>0</v>
      </c>
      <c r="N811">
        <v>2400</v>
      </c>
    </row>
    <row r="812" spans="1:14" x14ac:dyDescent="0.25">
      <c r="A812">
        <v>376.77384699999999</v>
      </c>
      <c r="B812" s="1">
        <f>DATE(2011,5,12) + TIME(18,34,20)</f>
        <v>40675.773842592593</v>
      </c>
      <c r="C812">
        <v>80</v>
      </c>
      <c r="D812">
        <v>79.967803954999994</v>
      </c>
      <c r="E812">
        <v>50</v>
      </c>
      <c r="F812">
        <v>48.796344757</v>
      </c>
      <c r="G812">
        <v>1340.5540771000001</v>
      </c>
      <c r="H812">
        <v>1337.8240966999999</v>
      </c>
      <c r="I812">
        <v>1326.9232178</v>
      </c>
      <c r="J812">
        <v>1325.2572021000001</v>
      </c>
      <c r="K812">
        <v>2400</v>
      </c>
      <c r="L812">
        <v>0</v>
      </c>
      <c r="M812">
        <v>0</v>
      </c>
      <c r="N812">
        <v>2400</v>
      </c>
    </row>
    <row r="813" spans="1:14" x14ac:dyDescent="0.25">
      <c r="A813">
        <v>377.07903299999998</v>
      </c>
      <c r="B813" s="1">
        <f>DATE(2011,5,13) + TIME(1,53,48)</f>
        <v>40676.079027777778</v>
      </c>
      <c r="C813">
        <v>80</v>
      </c>
      <c r="D813">
        <v>79.967796325999998</v>
      </c>
      <c r="E813">
        <v>50</v>
      </c>
      <c r="F813">
        <v>48.770248412999997</v>
      </c>
      <c r="G813">
        <v>1340.5472411999999</v>
      </c>
      <c r="H813">
        <v>1337.8190918</v>
      </c>
      <c r="I813">
        <v>1326.9219971</v>
      </c>
      <c r="J813">
        <v>1325.255249</v>
      </c>
      <c r="K813">
        <v>2400</v>
      </c>
      <c r="L813">
        <v>0</v>
      </c>
      <c r="M813">
        <v>0</v>
      </c>
      <c r="N813">
        <v>2400</v>
      </c>
    </row>
    <row r="814" spans="1:14" x14ac:dyDescent="0.25">
      <c r="A814">
        <v>377.38618500000001</v>
      </c>
      <c r="B814" s="1">
        <f>DATE(2011,5,13) + TIME(9,16,6)</f>
        <v>40676.386180555557</v>
      </c>
      <c r="C814">
        <v>80</v>
      </c>
      <c r="D814">
        <v>79.967788696</v>
      </c>
      <c r="E814">
        <v>50</v>
      </c>
      <c r="F814">
        <v>48.744022369</v>
      </c>
      <c r="G814">
        <v>1340.5405272999999</v>
      </c>
      <c r="H814">
        <v>1337.8140868999999</v>
      </c>
      <c r="I814">
        <v>1326.9207764</v>
      </c>
      <c r="J814">
        <v>1325.2532959</v>
      </c>
      <c r="K814">
        <v>2400</v>
      </c>
      <c r="L814">
        <v>0</v>
      </c>
      <c r="M814">
        <v>0</v>
      </c>
      <c r="N814">
        <v>2400</v>
      </c>
    </row>
    <row r="815" spans="1:14" x14ac:dyDescent="0.25">
      <c r="A815">
        <v>377.69596999999999</v>
      </c>
      <c r="B815" s="1">
        <f>DATE(2011,5,13) + TIME(16,42,11)</f>
        <v>40676.695960648147</v>
      </c>
      <c r="C815">
        <v>80</v>
      </c>
      <c r="D815">
        <v>79.967773437999995</v>
      </c>
      <c r="E815">
        <v>50</v>
      </c>
      <c r="F815">
        <v>48.717639923</v>
      </c>
      <c r="G815">
        <v>1340.5338135</v>
      </c>
      <c r="H815">
        <v>1337.8092041</v>
      </c>
      <c r="I815">
        <v>1326.9195557</v>
      </c>
      <c r="J815">
        <v>1325.2513428</v>
      </c>
      <c r="K815">
        <v>2400</v>
      </c>
      <c r="L815">
        <v>0</v>
      </c>
      <c r="M815">
        <v>0</v>
      </c>
      <c r="N815">
        <v>2400</v>
      </c>
    </row>
    <row r="816" spans="1:14" x14ac:dyDescent="0.25">
      <c r="A816">
        <v>378.00882300000001</v>
      </c>
      <c r="B816" s="1">
        <f>DATE(2011,5,14) + TIME(0,12,42)</f>
        <v>40677.008819444447</v>
      </c>
      <c r="C816">
        <v>80</v>
      </c>
      <c r="D816">
        <v>79.967765807999996</v>
      </c>
      <c r="E816">
        <v>50</v>
      </c>
      <c r="F816">
        <v>48.69108963</v>
      </c>
      <c r="G816">
        <v>1340.5272216999999</v>
      </c>
      <c r="H816">
        <v>1337.8043213000001</v>
      </c>
      <c r="I816">
        <v>1326.9182129000001</v>
      </c>
      <c r="J816">
        <v>1325.2492675999999</v>
      </c>
      <c r="K816">
        <v>2400</v>
      </c>
      <c r="L816">
        <v>0</v>
      </c>
      <c r="M816">
        <v>0</v>
      </c>
      <c r="N816">
        <v>2400</v>
      </c>
    </row>
    <row r="817" spans="1:14" x14ac:dyDescent="0.25">
      <c r="A817">
        <v>378.32535100000001</v>
      </c>
      <c r="B817" s="1">
        <f>DATE(2011,5,14) + TIME(7,48,30)</f>
        <v>40677.32534722222</v>
      </c>
      <c r="C817">
        <v>80</v>
      </c>
      <c r="D817">
        <v>79.967758179</v>
      </c>
      <c r="E817">
        <v>50</v>
      </c>
      <c r="F817">
        <v>48.664333343999999</v>
      </c>
      <c r="G817">
        <v>1340.5205077999999</v>
      </c>
      <c r="H817">
        <v>1337.7994385</v>
      </c>
      <c r="I817">
        <v>1326.9169922000001</v>
      </c>
      <c r="J817">
        <v>1325.2471923999999</v>
      </c>
      <c r="K817">
        <v>2400</v>
      </c>
      <c r="L817">
        <v>0</v>
      </c>
      <c r="M817">
        <v>0</v>
      </c>
      <c r="N817">
        <v>2400</v>
      </c>
    </row>
    <row r="818" spans="1:14" x14ac:dyDescent="0.25">
      <c r="A818">
        <v>378.64616899999999</v>
      </c>
      <c r="B818" s="1">
        <f>DATE(2011,5,14) + TIME(15,30,28)</f>
        <v>40677.646157407406</v>
      </c>
      <c r="C818">
        <v>80</v>
      </c>
      <c r="D818">
        <v>79.967750549000002</v>
      </c>
      <c r="E818">
        <v>50</v>
      </c>
      <c r="F818">
        <v>48.637340545999997</v>
      </c>
      <c r="G818">
        <v>1340.5140381000001</v>
      </c>
      <c r="H818">
        <v>1337.7946777</v>
      </c>
      <c r="I818">
        <v>1326.9156493999999</v>
      </c>
      <c r="J818">
        <v>1325.2451172000001</v>
      </c>
      <c r="K818">
        <v>2400</v>
      </c>
      <c r="L818">
        <v>0</v>
      </c>
      <c r="M818">
        <v>0</v>
      </c>
      <c r="N818">
        <v>2400</v>
      </c>
    </row>
    <row r="819" spans="1:14" x14ac:dyDescent="0.25">
      <c r="A819">
        <v>378.97196200000002</v>
      </c>
      <c r="B819" s="1">
        <f>DATE(2011,5,14) + TIME(23,19,37)</f>
        <v>40677.971956018519</v>
      </c>
      <c r="C819">
        <v>80</v>
      </c>
      <c r="D819">
        <v>79.967742920000006</v>
      </c>
      <c r="E819">
        <v>50</v>
      </c>
      <c r="F819">
        <v>48.610069275000001</v>
      </c>
      <c r="G819">
        <v>1340.5074463000001</v>
      </c>
      <c r="H819">
        <v>1337.7899170000001</v>
      </c>
      <c r="I819">
        <v>1326.9143065999999</v>
      </c>
      <c r="J819">
        <v>1325.2429199000001</v>
      </c>
      <c r="K819">
        <v>2400</v>
      </c>
      <c r="L819">
        <v>0</v>
      </c>
      <c r="M819">
        <v>0</v>
      </c>
      <c r="N819">
        <v>2400</v>
      </c>
    </row>
    <row r="820" spans="1:14" x14ac:dyDescent="0.25">
      <c r="A820">
        <v>379.30346100000003</v>
      </c>
      <c r="B820" s="1">
        <f>DATE(2011,5,15) + TIME(7,16,59)</f>
        <v>40678.303460648145</v>
      </c>
      <c r="C820">
        <v>80</v>
      </c>
      <c r="D820">
        <v>79.967735290999997</v>
      </c>
      <c r="E820">
        <v>50</v>
      </c>
      <c r="F820">
        <v>48.582469940000003</v>
      </c>
      <c r="G820">
        <v>1340.5008545000001</v>
      </c>
      <c r="H820">
        <v>1337.7851562000001</v>
      </c>
      <c r="I820">
        <v>1326.9128418</v>
      </c>
      <c r="J820">
        <v>1325.2408447</v>
      </c>
      <c r="K820">
        <v>2400</v>
      </c>
      <c r="L820">
        <v>0</v>
      </c>
      <c r="M820">
        <v>0</v>
      </c>
      <c r="N820">
        <v>2400</v>
      </c>
    </row>
    <row r="821" spans="1:14" x14ac:dyDescent="0.25">
      <c r="A821">
        <v>379.641435</v>
      </c>
      <c r="B821" s="1">
        <f>DATE(2011,5,15) + TIME(15,23,39)</f>
        <v>40678.641423611109</v>
      </c>
      <c r="C821">
        <v>80</v>
      </c>
      <c r="D821">
        <v>79.967727660999998</v>
      </c>
      <c r="E821">
        <v>50</v>
      </c>
      <c r="F821">
        <v>48.554489136000001</v>
      </c>
      <c r="G821">
        <v>1340.4943848</v>
      </c>
      <c r="H821">
        <v>1337.7803954999999</v>
      </c>
      <c r="I821">
        <v>1326.911499</v>
      </c>
      <c r="J821">
        <v>1325.2385254000001</v>
      </c>
      <c r="K821">
        <v>2400</v>
      </c>
      <c r="L821">
        <v>0</v>
      </c>
      <c r="M821">
        <v>0</v>
      </c>
      <c r="N821">
        <v>2400</v>
      </c>
    </row>
    <row r="822" spans="1:14" x14ac:dyDescent="0.25">
      <c r="A822">
        <v>379.98671400000001</v>
      </c>
      <c r="B822" s="1">
        <f>DATE(2011,5,15) + TIME(23,40,52)</f>
        <v>40678.986712962964</v>
      </c>
      <c r="C822">
        <v>80</v>
      </c>
      <c r="D822">
        <v>79.967720032000003</v>
      </c>
      <c r="E822">
        <v>50</v>
      </c>
      <c r="F822">
        <v>48.526077270999998</v>
      </c>
      <c r="G822">
        <v>1340.487793</v>
      </c>
      <c r="H822">
        <v>1337.7757568</v>
      </c>
      <c r="I822">
        <v>1326.9100341999999</v>
      </c>
      <c r="J822">
        <v>1325.2362060999999</v>
      </c>
      <c r="K822">
        <v>2400</v>
      </c>
      <c r="L822">
        <v>0</v>
      </c>
      <c r="M822">
        <v>0</v>
      </c>
      <c r="N822">
        <v>2400</v>
      </c>
    </row>
    <row r="823" spans="1:14" x14ac:dyDescent="0.25">
      <c r="A823">
        <v>380.34007800000001</v>
      </c>
      <c r="B823" s="1">
        <f>DATE(2011,5,16) + TIME(8,9,42)</f>
        <v>40679.340069444443</v>
      </c>
      <c r="C823">
        <v>80</v>
      </c>
      <c r="D823">
        <v>79.967712402000004</v>
      </c>
      <c r="E823">
        <v>50</v>
      </c>
      <c r="F823">
        <v>48.497177123999997</v>
      </c>
      <c r="G823">
        <v>1340.4812012</v>
      </c>
      <c r="H823">
        <v>1337.7709961</v>
      </c>
      <c r="I823">
        <v>1326.9084473</v>
      </c>
      <c r="J823">
        <v>1325.2338867000001</v>
      </c>
      <c r="K823">
        <v>2400</v>
      </c>
      <c r="L823">
        <v>0</v>
      </c>
      <c r="M823">
        <v>0</v>
      </c>
      <c r="N823">
        <v>2400</v>
      </c>
    </row>
    <row r="824" spans="1:14" x14ac:dyDescent="0.25">
      <c r="A824">
        <v>380.70127600000001</v>
      </c>
      <c r="B824" s="1">
        <f>DATE(2011,5,16) + TIME(16,49,50)</f>
        <v>40679.701273148145</v>
      </c>
      <c r="C824">
        <v>80</v>
      </c>
      <c r="D824">
        <v>79.967697143999999</v>
      </c>
      <c r="E824">
        <v>50</v>
      </c>
      <c r="F824">
        <v>48.467796325999998</v>
      </c>
      <c r="G824">
        <v>1340.4744873</v>
      </c>
      <c r="H824">
        <v>1337.7662353999999</v>
      </c>
      <c r="I824">
        <v>1326.9069824000001</v>
      </c>
      <c r="J824">
        <v>1325.2314452999999</v>
      </c>
      <c r="K824">
        <v>2400</v>
      </c>
      <c r="L824">
        <v>0</v>
      </c>
      <c r="M824">
        <v>0</v>
      </c>
      <c r="N824">
        <v>2400</v>
      </c>
    </row>
    <row r="825" spans="1:14" x14ac:dyDescent="0.25">
      <c r="A825">
        <v>381.07125100000002</v>
      </c>
      <c r="B825" s="1">
        <f>DATE(2011,5,17) + TIME(1,42,36)</f>
        <v>40680.071250000001</v>
      </c>
      <c r="C825">
        <v>80</v>
      </c>
      <c r="D825">
        <v>79.967689514</v>
      </c>
      <c r="E825">
        <v>50</v>
      </c>
      <c r="F825">
        <v>48.437877655000001</v>
      </c>
      <c r="G825">
        <v>1340.4677733999999</v>
      </c>
      <c r="H825">
        <v>1337.7613524999999</v>
      </c>
      <c r="I825">
        <v>1326.9052733999999</v>
      </c>
      <c r="J825">
        <v>1325.2290039</v>
      </c>
      <c r="K825">
        <v>2400</v>
      </c>
      <c r="L825">
        <v>0</v>
      </c>
      <c r="M825">
        <v>0</v>
      </c>
      <c r="N825">
        <v>2400</v>
      </c>
    </row>
    <row r="826" spans="1:14" x14ac:dyDescent="0.25">
      <c r="A826">
        <v>381.44774200000001</v>
      </c>
      <c r="B826" s="1">
        <f>DATE(2011,5,17) + TIME(10,44,44)</f>
        <v>40680.447731481479</v>
      </c>
      <c r="C826">
        <v>80</v>
      </c>
      <c r="D826">
        <v>79.967681885000005</v>
      </c>
      <c r="E826">
        <v>50</v>
      </c>
      <c r="F826">
        <v>48.407543181999998</v>
      </c>
      <c r="G826">
        <v>1340.4610596</v>
      </c>
      <c r="H826">
        <v>1337.7565918</v>
      </c>
      <c r="I826">
        <v>1326.9036865</v>
      </c>
      <c r="J826">
        <v>1325.2263184000001</v>
      </c>
      <c r="K826">
        <v>2400</v>
      </c>
      <c r="L826">
        <v>0</v>
      </c>
      <c r="M826">
        <v>0</v>
      </c>
      <c r="N826">
        <v>2400</v>
      </c>
    </row>
    <row r="827" spans="1:14" x14ac:dyDescent="0.25">
      <c r="A827">
        <v>381.83156000000002</v>
      </c>
      <c r="B827" s="1">
        <f>DATE(2011,5,17) + TIME(19,57,26)</f>
        <v>40680.831550925926</v>
      </c>
      <c r="C827">
        <v>80</v>
      </c>
      <c r="D827">
        <v>79.967674255000006</v>
      </c>
      <c r="E827">
        <v>50</v>
      </c>
      <c r="F827">
        <v>48.376762390000003</v>
      </c>
      <c r="G827">
        <v>1340.4543457</v>
      </c>
      <c r="H827">
        <v>1337.7518310999999</v>
      </c>
      <c r="I827">
        <v>1326.9019774999999</v>
      </c>
      <c r="J827">
        <v>1325.2237548999999</v>
      </c>
      <c r="K827">
        <v>2400</v>
      </c>
      <c r="L827">
        <v>0</v>
      </c>
      <c r="M827">
        <v>0</v>
      </c>
      <c r="N827">
        <v>2400</v>
      </c>
    </row>
    <row r="828" spans="1:14" x14ac:dyDescent="0.25">
      <c r="A828">
        <v>382.22383300000001</v>
      </c>
      <c r="B828" s="1">
        <f>DATE(2011,5,18) + TIME(5,22,19)</f>
        <v>40681.22383101852</v>
      </c>
      <c r="C828">
        <v>80</v>
      </c>
      <c r="D828">
        <v>79.967666625999996</v>
      </c>
      <c r="E828">
        <v>50</v>
      </c>
      <c r="F828">
        <v>48.345470427999999</v>
      </c>
      <c r="G828">
        <v>1340.4475098</v>
      </c>
      <c r="H828">
        <v>1337.7469481999999</v>
      </c>
      <c r="I828">
        <v>1326.9002685999999</v>
      </c>
      <c r="J828">
        <v>1325.2209473</v>
      </c>
      <c r="K828">
        <v>2400</v>
      </c>
      <c r="L828">
        <v>0</v>
      </c>
      <c r="M828">
        <v>0</v>
      </c>
      <c r="N828">
        <v>2400</v>
      </c>
    </row>
    <row r="829" spans="1:14" x14ac:dyDescent="0.25">
      <c r="A829">
        <v>382.62579099999999</v>
      </c>
      <c r="B829" s="1">
        <f>DATE(2011,5,18) + TIME(15,1,8)</f>
        <v>40681.625787037039</v>
      </c>
      <c r="C829">
        <v>80</v>
      </c>
      <c r="D829">
        <v>79.967658997000001</v>
      </c>
      <c r="E829">
        <v>50</v>
      </c>
      <c r="F829">
        <v>48.313598632999998</v>
      </c>
      <c r="G829">
        <v>1340.4407959</v>
      </c>
      <c r="H829">
        <v>1337.7421875</v>
      </c>
      <c r="I829">
        <v>1326.8984375</v>
      </c>
      <c r="J829">
        <v>1325.2181396000001</v>
      </c>
      <c r="K829">
        <v>2400</v>
      </c>
      <c r="L829">
        <v>0</v>
      </c>
      <c r="M829">
        <v>0</v>
      </c>
      <c r="N829">
        <v>2400</v>
      </c>
    </row>
    <row r="830" spans="1:14" x14ac:dyDescent="0.25">
      <c r="A830">
        <v>383.03390300000001</v>
      </c>
      <c r="B830" s="1">
        <f>DATE(2011,5,19) + TIME(0,48,49)</f>
        <v>40682.033900462964</v>
      </c>
      <c r="C830">
        <v>80</v>
      </c>
      <c r="D830">
        <v>79.967651367000002</v>
      </c>
      <c r="E830">
        <v>50</v>
      </c>
      <c r="F830">
        <v>48.281337737999998</v>
      </c>
      <c r="G830">
        <v>1340.4339600000001</v>
      </c>
      <c r="H830">
        <v>1337.7374268000001</v>
      </c>
      <c r="I830">
        <v>1326.8964844</v>
      </c>
      <c r="J830">
        <v>1325.2152100000001</v>
      </c>
      <c r="K830">
        <v>2400</v>
      </c>
      <c r="L830">
        <v>0</v>
      </c>
      <c r="M830">
        <v>0</v>
      </c>
      <c r="N830">
        <v>2400</v>
      </c>
    </row>
    <row r="831" spans="1:14" x14ac:dyDescent="0.25">
      <c r="A831">
        <v>383.44731400000001</v>
      </c>
      <c r="B831" s="1">
        <f>DATE(2011,5,19) + TIME(10,44,7)</f>
        <v>40682.44730324074</v>
      </c>
      <c r="C831">
        <v>80</v>
      </c>
      <c r="D831">
        <v>79.967643738000007</v>
      </c>
      <c r="E831">
        <v>50</v>
      </c>
      <c r="F831">
        <v>48.248752594000003</v>
      </c>
      <c r="G831">
        <v>1340.427124</v>
      </c>
      <c r="H831">
        <v>1337.7325439000001</v>
      </c>
      <c r="I831">
        <v>1326.8946533000001</v>
      </c>
      <c r="J831">
        <v>1325.2122803</v>
      </c>
      <c r="K831">
        <v>2400</v>
      </c>
      <c r="L831">
        <v>0</v>
      </c>
      <c r="M831">
        <v>0</v>
      </c>
      <c r="N831">
        <v>2400</v>
      </c>
    </row>
    <row r="832" spans="1:14" x14ac:dyDescent="0.25">
      <c r="A832">
        <v>383.86248699999999</v>
      </c>
      <c r="B832" s="1">
        <f>DATE(2011,5,19) + TIME(20,41,58)</f>
        <v>40682.862476851849</v>
      </c>
      <c r="C832">
        <v>80</v>
      </c>
      <c r="D832">
        <v>79.967636107999994</v>
      </c>
      <c r="E832">
        <v>50</v>
      </c>
      <c r="F832">
        <v>48.216056823999999</v>
      </c>
      <c r="G832">
        <v>1340.4202881000001</v>
      </c>
      <c r="H832">
        <v>1337.7277832</v>
      </c>
      <c r="I832">
        <v>1326.8927002</v>
      </c>
      <c r="J832">
        <v>1325.2092285000001</v>
      </c>
      <c r="K832">
        <v>2400</v>
      </c>
      <c r="L832">
        <v>0</v>
      </c>
      <c r="M832">
        <v>0</v>
      </c>
      <c r="N832">
        <v>2400</v>
      </c>
    </row>
    <row r="833" spans="1:14" x14ac:dyDescent="0.25">
      <c r="A833">
        <v>384.27903099999997</v>
      </c>
      <c r="B833" s="1">
        <f>DATE(2011,5,20) + TIME(6,41,48)</f>
        <v>40683.279027777775</v>
      </c>
      <c r="C833">
        <v>80</v>
      </c>
      <c r="D833">
        <v>79.967628478999998</v>
      </c>
      <c r="E833">
        <v>50</v>
      </c>
      <c r="F833">
        <v>48.183311461999999</v>
      </c>
      <c r="G833">
        <v>1340.4135742000001</v>
      </c>
      <c r="H833">
        <v>1337.7230225000001</v>
      </c>
      <c r="I833">
        <v>1326.890625</v>
      </c>
      <c r="J833">
        <v>1325.2061768000001</v>
      </c>
      <c r="K833">
        <v>2400</v>
      </c>
      <c r="L833">
        <v>0</v>
      </c>
      <c r="M833">
        <v>0</v>
      </c>
      <c r="N833">
        <v>2400</v>
      </c>
    </row>
    <row r="834" spans="1:14" x14ac:dyDescent="0.25">
      <c r="A834">
        <v>384.69781899999998</v>
      </c>
      <c r="B834" s="1">
        <f>DATE(2011,5,20) + TIME(16,44,51)</f>
        <v>40683.697812500002</v>
      </c>
      <c r="C834">
        <v>80</v>
      </c>
      <c r="D834">
        <v>79.967620850000003</v>
      </c>
      <c r="E834">
        <v>50</v>
      </c>
      <c r="F834">
        <v>48.150501251000001</v>
      </c>
      <c r="G834">
        <v>1340.4068603999999</v>
      </c>
      <c r="H834">
        <v>1337.7183838000001</v>
      </c>
      <c r="I834">
        <v>1326.8886719</v>
      </c>
      <c r="J834">
        <v>1325.2030029</v>
      </c>
      <c r="K834">
        <v>2400</v>
      </c>
      <c r="L834">
        <v>0</v>
      </c>
      <c r="M834">
        <v>0</v>
      </c>
      <c r="N834">
        <v>2400</v>
      </c>
    </row>
    <row r="835" spans="1:14" x14ac:dyDescent="0.25">
      <c r="A835">
        <v>385.119732</v>
      </c>
      <c r="B835" s="1">
        <f>DATE(2011,5,21) + TIME(2,52,24)</f>
        <v>40684.119722222225</v>
      </c>
      <c r="C835">
        <v>80</v>
      </c>
      <c r="D835">
        <v>79.967613220000004</v>
      </c>
      <c r="E835">
        <v>50</v>
      </c>
      <c r="F835">
        <v>48.117595672999997</v>
      </c>
      <c r="G835">
        <v>1340.4003906</v>
      </c>
      <c r="H835">
        <v>1337.7138672000001</v>
      </c>
      <c r="I835">
        <v>1326.8865966999999</v>
      </c>
      <c r="J835">
        <v>1325.1998291</v>
      </c>
      <c r="K835">
        <v>2400</v>
      </c>
      <c r="L835">
        <v>0</v>
      </c>
      <c r="M835">
        <v>0</v>
      </c>
      <c r="N835">
        <v>2400</v>
      </c>
    </row>
    <row r="836" spans="1:14" x14ac:dyDescent="0.25">
      <c r="A836">
        <v>385.54579100000001</v>
      </c>
      <c r="B836" s="1">
        <f>DATE(2011,5,21) + TIME(13,5,56)</f>
        <v>40684.545787037037</v>
      </c>
      <c r="C836">
        <v>80</v>
      </c>
      <c r="D836">
        <v>79.967605590999995</v>
      </c>
      <c r="E836">
        <v>50</v>
      </c>
      <c r="F836">
        <v>48.084545134999999</v>
      </c>
      <c r="G836">
        <v>1340.3937988</v>
      </c>
      <c r="H836">
        <v>1337.7093506000001</v>
      </c>
      <c r="I836">
        <v>1326.8845214999999</v>
      </c>
      <c r="J836">
        <v>1325.1965332</v>
      </c>
      <c r="K836">
        <v>2400</v>
      </c>
      <c r="L836">
        <v>0</v>
      </c>
      <c r="M836">
        <v>0</v>
      </c>
      <c r="N836">
        <v>2400</v>
      </c>
    </row>
    <row r="837" spans="1:14" x14ac:dyDescent="0.25">
      <c r="A837">
        <v>385.97672399999999</v>
      </c>
      <c r="B837" s="1">
        <f>DATE(2011,5,21) + TIME(23,26,28)</f>
        <v>40684.976712962962</v>
      </c>
      <c r="C837">
        <v>80</v>
      </c>
      <c r="D837">
        <v>79.967597960999996</v>
      </c>
      <c r="E837">
        <v>50</v>
      </c>
      <c r="F837">
        <v>48.051311493</v>
      </c>
      <c r="G837">
        <v>1340.3873291</v>
      </c>
      <c r="H837">
        <v>1337.7048339999999</v>
      </c>
      <c r="I837">
        <v>1326.8823242000001</v>
      </c>
      <c r="J837">
        <v>1325.1932373</v>
      </c>
      <c r="K837">
        <v>2400</v>
      </c>
      <c r="L837">
        <v>0</v>
      </c>
      <c r="M837">
        <v>0</v>
      </c>
      <c r="N837">
        <v>2400</v>
      </c>
    </row>
    <row r="838" spans="1:14" x14ac:dyDescent="0.25">
      <c r="A838">
        <v>386.41344900000001</v>
      </c>
      <c r="B838" s="1">
        <f>DATE(2011,5,22) + TIME(9,55,21)</f>
        <v>40685.413437499999</v>
      </c>
      <c r="C838">
        <v>80</v>
      </c>
      <c r="D838">
        <v>79.967590332</v>
      </c>
      <c r="E838">
        <v>50</v>
      </c>
      <c r="F838">
        <v>48.017833709999998</v>
      </c>
      <c r="G838">
        <v>1340.3808594</v>
      </c>
      <c r="H838">
        <v>1337.7003173999999</v>
      </c>
      <c r="I838">
        <v>1326.8801269999999</v>
      </c>
      <c r="J838">
        <v>1325.1898193</v>
      </c>
      <c r="K838">
        <v>2400</v>
      </c>
      <c r="L838">
        <v>0</v>
      </c>
      <c r="M838">
        <v>0</v>
      </c>
      <c r="N838">
        <v>2400</v>
      </c>
    </row>
    <row r="839" spans="1:14" x14ac:dyDescent="0.25">
      <c r="A839">
        <v>386.85691500000001</v>
      </c>
      <c r="B839" s="1">
        <f>DATE(2011,5,22) + TIME(20,33,57)</f>
        <v>40685.856909722221</v>
      </c>
      <c r="C839">
        <v>80</v>
      </c>
      <c r="D839">
        <v>79.967582703000005</v>
      </c>
      <c r="E839">
        <v>50</v>
      </c>
      <c r="F839">
        <v>47.98405838</v>
      </c>
      <c r="G839">
        <v>1340.3745117000001</v>
      </c>
      <c r="H839">
        <v>1337.6959228999999</v>
      </c>
      <c r="I839">
        <v>1326.8779297000001</v>
      </c>
      <c r="J839">
        <v>1325.1864014</v>
      </c>
      <c r="K839">
        <v>2400</v>
      </c>
      <c r="L839">
        <v>0</v>
      </c>
      <c r="M839">
        <v>0</v>
      </c>
      <c r="N839">
        <v>2400</v>
      </c>
    </row>
    <row r="840" spans="1:14" x14ac:dyDescent="0.25">
      <c r="A840">
        <v>387.30812600000002</v>
      </c>
      <c r="B840" s="1">
        <f>DATE(2011,5,23) + TIME(7,23,42)</f>
        <v>40686.308125000003</v>
      </c>
      <c r="C840">
        <v>80</v>
      </c>
      <c r="D840">
        <v>79.967575073000006</v>
      </c>
      <c r="E840">
        <v>50</v>
      </c>
      <c r="F840">
        <v>47.949920654000003</v>
      </c>
      <c r="G840">
        <v>1340.3680420000001</v>
      </c>
      <c r="H840">
        <v>1337.6914062000001</v>
      </c>
      <c r="I840">
        <v>1326.8756103999999</v>
      </c>
      <c r="J840">
        <v>1325.1828613</v>
      </c>
      <c r="K840">
        <v>2400</v>
      </c>
      <c r="L840">
        <v>0</v>
      </c>
      <c r="M840">
        <v>0</v>
      </c>
      <c r="N840">
        <v>2400</v>
      </c>
    </row>
    <row r="841" spans="1:14" x14ac:dyDescent="0.25">
      <c r="A841">
        <v>387.76816000000002</v>
      </c>
      <c r="B841" s="1">
        <f>DATE(2011,5,23) + TIME(18,26,9)</f>
        <v>40686.768159722225</v>
      </c>
      <c r="C841">
        <v>80</v>
      </c>
      <c r="D841">
        <v>79.967567443999997</v>
      </c>
      <c r="E841">
        <v>50</v>
      </c>
      <c r="F841">
        <v>47.915355681999998</v>
      </c>
      <c r="G841">
        <v>1340.3615723</v>
      </c>
      <c r="H841">
        <v>1337.6870117000001</v>
      </c>
      <c r="I841">
        <v>1326.8732910000001</v>
      </c>
      <c r="J841">
        <v>1325.1791992000001</v>
      </c>
      <c r="K841">
        <v>2400</v>
      </c>
      <c r="L841">
        <v>0</v>
      </c>
      <c r="M841">
        <v>0</v>
      </c>
      <c r="N841">
        <v>2400</v>
      </c>
    </row>
    <row r="842" spans="1:14" x14ac:dyDescent="0.25">
      <c r="A842">
        <v>388.23818</v>
      </c>
      <c r="B842" s="1">
        <f>DATE(2011,5,24) + TIME(5,42,58)</f>
        <v>40687.238171296296</v>
      </c>
      <c r="C842">
        <v>80</v>
      </c>
      <c r="D842">
        <v>79.967559813999998</v>
      </c>
      <c r="E842">
        <v>50</v>
      </c>
      <c r="F842">
        <v>47.880287170000003</v>
      </c>
      <c r="G842">
        <v>1340.3551024999999</v>
      </c>
      <c r="H842">
        <v>1337.6824951000001</v>
      </c>
      <c r="I842">
        <v>1326.8708495999999</v>
      </c>
      <c r="J842">
        <v>1325.1754149999999</v>
      </c>
      <c r="K842">
        <v>2400</v>
      </c>
      <c r="L842">
        <v>0</v>
      </c>
      <c r="M842">
        <v>0</v>
      </c>
      <c r="N842">
        <v>2400</v>
      </c>
    </row>
    <row r="843" spans="1:14" x14ac:dyDescent="0.25">
      <c r="A843">
        <v>388.719446</v>
      </c>
      <c r="B843" s="1">
        <f>DATE(2011,5,24) + TIME(17,16,0)</f>
        <v>40687.719444444447</v>
      </c>
      <c r="C843">
        <v>80</v>
      </c>
      <c r="D843">
        <v>79.967559813999998</v>
      </c>
      <c r="E843">
        <v>50</v>
      </c>
      <c r="F843">
        <v>47.844642639</v>
      </c>
      <c r="G843">
        <v>1340.3486327999999</v>
      </c>
      <c r="H843">
        <v>1337.6781006000001</v>
      </c>
      <c r="I843">
        <v>1326.8682861</v>
      </c>
      <c r="J843">
        <v>1325.1716309000001</v>
      </c>
      <c r="K843">
        <v>2400</v>
      </c>
      <c r="L843">
        <v>0</v>
      </c>
      <c r="M843">
        <v>0</v>
      </c>
      <c r="N843">
        <v>2400</v>
      </c>
    </row>
    <row r="844" spans="1:14" x14ac:dyDescent="0.25">
      <c r="A844">
        <v>389.21335900000003</v>
      </c>
      <c r="B844" s="1">
        <f>DATE(2011,5,25) + TIME(5,7,14)</f>
        <v>40688.213356481479</v>
      </c>
      <c r="C844">
        <v>80</v>
      </c>
      <c r="D844">
        <v>79.967552185000002</v>
      </c>
      <c r="E844">
        <v>50</v>
      </c>
      <c r="F844">
        <v>47.808330536</v>
      </c>
      <c r="G844">
        <v>1340.3420410000001</v>
      </c>
      <c r="H844">
        <v>1337.6735839999999</v>
      </c>
      <c r="I844">
        <v>1326.8657227000001</v>
      </c>
      <c r="J844">
        <v>1325.1676024999999</v>
      </c>
      <c r="K844">
        <v>2400</v>
      </c>
      <c r="L844">
        <v>0</v>
      </c>
      <c r="M844">
        <v>0</v>
      </c>
      <c r="N844">
        <v>2400</v>
      </c>
    </row>
    <row r="845" spans="1:14" x14ac:dyDescent="0.25">
      <c r="A845">
        <v>389.72146400000003</v>
      </c>
      <c r="B845" s="1">
        <f>DATE(2011,5,25) + TIME(17,18,54)</f>
        <v>40688.721458333333</v>
      </c>
      <c r="C845">
        <v>80</v>
      </c>
      <c r="D845">
        <v>79.967544556000007</v>
      </c>
      <c r="E845">
        <v>50</v>
      </c>
      <c r="F845">
        <v>47.771259307999998</v>
      </c>
      <c r="G845">
        <v>1340.3354492000001</v>
      </c>
      <c r="H845">
        <v>1337.6690673999999</v>
      </c>
      <c r="I845">
        <v>1326.8629149999999</v>
      </c>
      <c r="J845">
        <v>1325.1634521000001</v>
      </c>
      <c r="K845">
        <v>2400</v>
      </c>
      <c r="L845">
        <v>0</v>
      </c>
      <c r="M845">
        <v>0</v>
      </c>
      <c r="N845">
        <v>2400</v>
      </c>
    </row>
    <row r="846" spans="1:14" x14ac:dyDescent="0.25">
      <c r="A846">
        <v>390.245858</v>
      </c>
      <c r="B846" s="1">
        <f>DATE(2011,5,26) + TIME(5,54,2)</f>
        <v>40689.245856481481</v>
      </c>
      <c r="C846">
        <v>80</v>
      </c>
      <c r="D846">
        <v>79.967536925999994</v>
      </c>
      <c r="E846">
        <v>50</v>
      </c>
      <c r="F846">
        <v>47.733310699</v>
      </c>
      <c r="G846">
        <v>1340.3287353999999</v>
      </c>
      <c r="H846">
        <v>1337.6644286999999</v>
      </c>
      <c r="I846">
        <v>1326.8601074000001</v>
      </c>
      <c r="J846">
        <v>1325.1590576000001</v>
      </c>
      <c r="K846">
        <v>2400</v>
      </c>
      <c r="L846">
        <v>0</v>
      </c>
      <c r="M846">
        <v>0</v>
      </c>
      <c r="N846">
        <v>2400</v>
      </c>
    </row>
    <row r="847" spans="1:14" x14ac:dyDescent="0.25">
      <c r="A847">
        <v>390.50880899999999</v>
      </c>
      <c r="B847" s="1">
        <f>DATE(2011,5,26) + TIME(12,12,41)</f>
        <v>40689.50880787037</v>
      </c>
      <c r="C847">
        <v>80</v>
      </c>
      <c r="D847">
        <v>79.967529296999999</v>
      </c>
      <c r="E847">
        <v>50</v>
      </c>
      <c r="F847">
        <v>47.710025786999999</v>
      </c>
      <c r="G847">
        <v>1340.3222656</v>
      </c>
      <c r="H847">
        <v>1337.6600341999999</v>
      </c>
      <c r="I847">
        <v>1326.8572998</v>
      </c>
      <c r="J847">
        <v>1325.1550293</v>
      </c>
      <c r="K847">
        <v>2400</v>
      </c>
      <c r="L847">
        <v>0</v>
      </c>
      <c r="M847">
        <v>0</v>
      </c>
      <c r="N847">
        <v>2400</v>
      </c>
    </row>
    <row r="848" spans="1:14" x14ac:dyDescent="0.25">
      <c r="A848">
        <v>390.77176100000003</v>
      </c>
      <c r="B848" s="1">
        <f>DATE(2011,5,26) + TIME(18,31,20)</f>
        <v>40689.77175925926</v>
      </c>
      <c r="C848">
        <v>80</v>
      </c>
      <c r="D848">
        <v>79.967521667</v>
      </c>
      <c r="E848">
        <v>50</v>
      </c>
      <c r="F848">
        <v>47.687648772999999</v>
      </c>
      <c r="G848">
        <v>1340.3187256000001</v>
      </c>
      <c r="H848">
        <v>1337.6575928</v>
      </c>
      <c r="I848">
        <v>1326.8557129000001</v>
      </c>
      <c r="J848">
        <v>1325.1524658000001</v>
      </c>
      <c r="K848">
        <v>2400</v>
      </c>
      <c r="L848">
        <v>0</v>
      </c>
      <c r="M848">
        <v>0</v>
      </c>
      <c r="N848">
        <v>2400</v>
      </c>
    </row>
    <row r="849" spans="1:14" x14ac:dyDescent="0.25">
      <c r="A849">
        <v>391.03471200000001</v>
      </c>
      <c r="B849" s="1">
        <f>DATE(2011,5,27) + TIME(0,49,59)</f>
        <v>40690.034710648149</v>
      </c>
      <c r="C849">
        <v>80</v>
      </c>
      <c r="D849">
        <v>79.967514038000004</v>
      </c>
      <c r="E849">
        <v>50</v>
      </c>
      <c r="F849">
        <v>47.665988921999997</v>
      </c>
      <c r="G849">
        <v>1340.3153076000001</v>
      </c>
      <c r="H849">
        <v>1337.6552733999999</v>
      </c>
      <c r="I849">
        <v>1326.854126</v>
      </c>
      <c r="J849">
        <v>1325.1500243999999</v>
      </c>
      <c r="K849">
        <v>2400</v>
      </c>
      <c r="L849">
        <v>0</v>
      </c>
      <c r="M849">
        <v>0</v>
      </c>
      <c r="N849">
        <v>2400</v>
      </c>
    </row>
    <row r="850" spans="1:14" x14ac:dyDescent="0.25">
      <c r="A850">
        <v>391.297663</v>
      </c>
      <c r="B850" s="1">
        <f>DATE(2011,5,27) + TIME(7,8,38)</f>
        <v>40690.297662037039</v>
      </c>
      <c r="C850">
        <v>80</v>
      </c>
      <c r="D850">
        <v>79.967514038000004</v>
      </c>
      <c r="E850">
        <v>50</v>
      </c>
      <c r="F850">
        <v>47.644901275999999</v>
      </c>
      <c r="G850">
        <v>1340.3118896000001</v>
      </c>
      <c r="H850">
        <v>1337.6529541</v>
      </c>
      <c r="I850">
        <v>1326.8525391000001</v>
      </c>
      <c r="J850">
        <v>1325.1475829999999</v>
      </c>
      <c r="K850">
        <v>2400</v>
      </c>
      <c r="L850">
        <v>0</v>
      </c>
      <c r="M850">
        <v>0</v>
      </c>
      <c r="N850">
        <v>2400</v>
      </c>
    </row>
    <row r="851" spans="1:14" x14ac:dyDescent="0.25">
      <c r="A851">
        <v>391.82356600000003</v>
      </c>
      <c r="B851" s="1">
        <f>DATE(2011,5,27) + TIME(19,45,56)</f>
        <v>40690.823564814818</v>
      </c>
      <c r="C851">
        <v>80</v>
      </c>
      <c r="D851">
        <v>79.967521667</v>
      </c>
      <c r="E851">
        <v>50</v>
      </c>
      <c r="F851">
        <v>47.611076355000002</v>
      </c>
      <c r="G851">
        <v>1340.3083495999999</v>
      </c>
      <c r="H851">
        <v>1337.6505127</v>
      </c>
      <c r="I851">
        <v>1326.8508300999999</v>
      </c>
      <c r="J851">
        <v>1325.1447754000001</v>
      </c>
      <c r="K851">
        <v>2400</v>
      </c>
      <c r="L851">
        <v>0</v>
      </c>
      <c r="M851">
        <v>0</v>
      </c>
      <c r="N851">
        <v>2400</v>
      </c>
    </row>
    <row r="852" spans="1:14" x14ac:dyDescent="0.25">
      <c r="A852">
        <v>392.35007300000001</v>
      </c>
      <c r="B852" s="1">
        <f>DATE(2011,5,28) + TIME(8,24,6)</f>
        <v>40691.350069444445</v>
      </c>
      <c r="C852">
        <v>80</v>
      </c>
      <c r="D852">
        <v>79.967514038000004</v>
      </c>
      <c r="E852">
        <v>50</v>
      </c>
      <c r="F852">
        <v>47.575763702000003</v>
      </c>
      <c r="G852">
        <v>1340.3020019999999</v>
      </c>
      <c r="H852">
        <v>1337.6462402</v>
      </c>
      <c r="I852">
        <v>1326.8479004000001</v>
      </c>
      <c r="J852">
        <v>1325.1402588000001</v>
      </c>
      <c r="K852">
        <v>2400</v>
      </c>
      <c r="L852">
        <v>0</v>
      </c>
      <c r="M852">
        <v>0</v>
      </c>
      <c r="N852">
        <v>2400</v>
      </c>
    </row>
    <row r="853" spans="1:14" x14ac:dyDescent="0.25">
      <c r="A853">
        <v>392.87957399999999</v>
      </c>
      <c r="B853" s="1">
        <f>DATE(2011,5,28) + TIME(21,6,35)</f>
        <v>40691.879571759258</v>
      </c>
      <c r="C853">
        <v>80</v>
      </c>
      <c r="D853">
        <v>79.967506408999995</v>
      </c>
      <c r="E853">
        <v>50</v>
      </c>
      <c r="F853">
        <v>47.539459229000002</v>
      </c>
      <c r="G853">
        <v>1340.2956543</v>
      </c>
      <c r="H853">
        <v>1337.6418457</v>
      </c>
      <c r="I853">
        <v>1326.8448486</v>
      </c>
      <c r="J853">
        <v>1325.1356201000001</v>
      </c>
      <c r="K853">
        <v>2400</v>
      </c>
      <c r="L853">
        <v>0</v>
      </c>
      <c r="M853">
        <v>0</v>
      </c>
      <c r="N853">
        <v>2400</v>
      </c>
    </row>
    <row r="854" spans="1:14" x14ac:dyDescent="0.25">
      <c r="A854">
        <v>393.41343799999999</v>
      </c>
      <c r="B854" s="1">
        <f>DATE(2011,5,29) + TIME(9,55,21)</f>
        <v>40692.413437499999</v>
      </c>
      <c r="C854">
        <v>80</v>
      </c>
      <c r="D854">
        <v>79.967506408999995</v>
      </c>
      <c r="E854">
        <v>50</v>
      </c>
      <c r="F854">
        <v>47.502445221000002</v>
      </c>
      <c r="G854">
        <v>1340.2891846</v>
      </c>
      <c r="H854">
        <v>1337.6375731999999</v>
      </c>
      <c r="I854">
        <v>1326.8416748</v>
      </c>
      <c r="J854">
        <v>1325.1308594</v>
      </c>
      <c r="K854">
        <v>2400</v>
      </c>
      <c r="L854">
        <v>0</v>
      </c>
      <c r="M854">
        <v>0</v>
      </c>
      <c r="N854">
        <v>2400</v>
      </c>
    </row>
    <row r="855" spans="1:14" x14ac:dyDescent="0.25">
      <c r="A855">
        <v>393.95260999999999</v>
      </c>
      <c r="B855" s="1">
        <f>DATE(2011,5,29) + TIME(22,51,45)</f>
        <v>40692.952604166669</v>
      </c>
      <c r="C855">
        <v>80</v>
      </c>
      <c r="D855">
        <v>79.967498778999996</v>
      </c>
      <c r="E855">
        <v>50</v>
      </c>
      <c r="F855">
        <v>47.464904785000002</v>
      </c>
      <c r="G855">
        <v>1340.2828368999999</v>
      </c>
      <c r="H855">
        <v>1337.6331786999999</v>
      </c>
      <c r="I855">
        <v>1326.838501</v>
      </c>
      <c r="J855">
        <v>1325.1258545000001</v>
      </c>
      <c r="K855">
        <v>2400</v>
      </c>
      <c r="L855">
        <v>0</v>
      </c>
      <c r="M855">
        <v>0</v>
      </c>
      <c r="N855">
        <v>2400</v>
      </c>
    </row>
    <row r="856" spans="1:14" x14ac:dyDescent="0.25">
      <c r="A856">
        <v>394.49827299999998</v>
      </c>
      <c r="B856" s="1">
        <f>DATE(2011,5,30) + TIME(11,57,30)</f>
        <v>40693.498263888891</v>
      </c>
      <c r="C856">
        <v>80</v>
      </c>
      <c r="D856">
        <v>79.967498778999996</v>
      </c>
      <c r="E856">
        <v>50</v>
      </c>
      <c r="F856">
        <v>47.426910399999997</v>
      </c>
      <c r="G856">
        <v>1340.2764893000001</v>
      </c>
      <c r="H856">
        <v>1337.6289062000001</v>
      </c>
      <c r="I856">
        <v>1326.8352050999999</v>
      </c>
      <c r="J856">
        <v>1325.1208495999999</v>
      </c>
      <c r="K856">
        <v>2400</v>
      </c>
      <c r="L856">
        <v>0</v>
      </c>
      <c r="M856">
        <v>0</v>
      </c>
      <c r="N856">
        <v>2400</v>
      </c>
    </row>
    <row r="857" spans="1:14" x14ac:dyDescent="0.25">
      <c r="A857">
        <v>395.051648</v>
      </c>
      <c r="B857" s="1">
        <f>DATE(2011,5,31) + TIME(1,14,22)</f>
        <v>40694.05164351852</v>
      </c>
      <c r="C857">
        <v>80</v>
      </c>
      <c r="D857">
        <v>79.967491150000001</v>
      </c>
      <c r="E857">
        <v>50</v>
      </c>
      <c r="F857">
        <v>47.388488770000002</v>
      </c>
      <c r="G857">
        <v>1340.2701416</v>
      </c>
      <c r="H857">
        <v>1337.6246338000001</v>
      </c>
      <c r="I857">
        <v>1326.8317870999999</v>
      </c>
      <c r="J857">
        <v>1325.1156006000001</v>
      </c>
      <c r="K857">
        <v>2400</v>
      </c>
      <c r="L857">
        <v>0</v>
      </c>
      <c r="M857">
        <v>0</v>
      </c>
      <c r="N857">
        <v>2400</v>
      </c>
    </row>
    <row r="858" spans="1:14" x14ac:dyDescent="0.25">
      <c r="A858">
        <v>395.61402500000003</v>
      </c>
      <c r="B858" s="1">
        <f>DATE(2011,5,31) + TIME(14,44,11)</f>
        <v>40694.614016203705</v>
      </c>
      <c r="C858">
        <v>80</v>
      </c>
      <c r="D858">
        <v>79.967491150000001</v>
      </c>
      <c r="E858">
        <v>50</v>
      </c>
      <c r="F858">
        <v>47.349620819000002</v>
      </c>
      <c r="G858">
        <v>1340.2639160000001</v>
      </c>
      <c r="H858">
        <v>1337.6203613</v>
      </c>
      <c r="I858">
        <v>1326.8282471</v>
      </c>
      <c r="J858">
        <v>1325.1103516000001</v>
      </c>
      <c r="K858">
        <v>2400</v>
      </c>
      <c r="L858">
        <v>0</v>
      </c>
      <c r="M858">
        <v>0</v>
      </c>
      <c r="N858">
        <v>2400</v>
      </c>
    </row>
    <row r="859" spans="1:14" x14ac:dyDescent="0.25">
      <c r="A859">
        <v>396</v>
      </c>
      <c r="B859" s="1">
        <f>DATE(2011,6,1) + TIME(0,0,0)</f>
        <v>40695</v>
      </c>
      <c r="C859">
        <v>80</v>
      </c>
      <c r="D859">
        <v>79.967475891000007</v>
      </c>
      <c r="E859">
        <v>50</v>
      </c>
      <c r="F859">
        <v>47.319332123000002</v>
      </c>
      <c r="G859">
        <v>1340.2576904</v>
      </c>
      <c r="H859">
        <v>1337.6162108999999</v>
      </c>
      <c r="I859">
        <v>1326.824707</v>
      </c>
      <c r="J859">
        <v>1325.1051024999999</v>
      </c>
      <c r="K859">
        <v>2400</v>
      </c>
      <c r="L859">
        <v>0</v>
      </c>
      <c r="M859">
        <v>0</v>
      </c>
      <c r="N859">
        <v>2400</v>
      </c>
    </row>
    <row r="860" spans="1:14" x14ac:dyDescent="0.25">
      <c r="A860">
        <v>396.57275600000003</v>
      </c>
      <c r="B860" s="1">
        <f>DATE(2011,6,1) + TIME(13,44,46)</f>
        <v>40695.572754629633</v>
      </c>
      <c r="C860">
        <v>80</v>
      </c>
      <c r="D860">
        <v>79.967483521000005</v>
      </c>
      <c r="E860">
        <v>50</v>
      </c>
      <c r="F860">
        <v>47.281368256</v>
      </c>
      <c r="G860">
        <v>1340.2530518000001</v>
      </c>
      <c r="H860">
        <v>1337.6131591999999</v>
      </c>
      <c r="I860">
        <v>1326.8220214999999</v>
      </c>
      <c r="J860">
        <v>1325.1008300999999</v>
      </c>
      <c r="K860">
        <v>2400</v>
      </c>
      <c r="L860">
        <v>0</v>
      </c>
      <c r="M860">
        <v>0</v>
      </c>
      <c r="N860">
        <v>2400</v>
      </c>
    </row>
    <row r="861" spans="1:14" x14ac:dyDescent="0.25">
      <c r="A861">
        <v>397.16634299999998</v>
      </c>
      <c r="B861" s="1">
        <f>DATE(2011,6,2) + TIME(3,59,32)</f>
        <v>40696.166342592594</v>
      </c>
      <c r="C861">
        <v>80</v>
      </c>
      <c r="D861">
        <v>79.967475891000007</v>
      </c>
      <c r="E861">
        <v>50</v>
      </c>
      <c r="F861">
        <v>47.242019653</v>
      </c>
      <c r="G861">
        <v>1340.2468262</v>
      </c>
      <c r="H861">
        <v>1337.6088867000001</v>
      </c>
      <c r="I861">
        <v>1326.8183594</v>
      </c>
      <c r="J861">
        <v>1325.0952147999999</v>
      </c>
      <c r="K861">
        <v>2400</v>
      </c>
      <c r="L861">
        <v>0</v>
      </c>
      <c r="M861">
        <v>0</v>
      </c>
      <c r="N861">
        <v>2400</v>
      </c>
    </row>
    <row r="862" spans="1:14" x14ac:dyDescent="0.25">
      <c r="A862">
        <v>397.77435700000001</v>
      </c>
      <c r="B862" s="1">
        <f>DATE(2011,6,2) + TIME(18,35,4)</f>
        <v>40696.774351851855</v>
      </c>
      <c r="C862">
        <v>80</v>
      </c>
      <c r="D862">
        <v>79.967475891000007</v>
      </c>
      <c r="E862">
        <v>50</v>
      </c>
      <c r="F862">
        <v>47.201622008999998</v>
      </c>
      <c r="G862">
        <v>1340.2403564000001</v>
      </c>
      <c r="H862">
        <v>1337.6046143000001</v>
      </c>
      <c r="I862">
        <v>1326.8144531</v>
      </c>
      <c r="J862">
        <v>1325.0892334</v>
      </c>
      <c r="K862">
        <v>2400</v>
      </c>
      <c r="L862">
        <v>0</v>
      </c>
      <c r="M862">
        <v>0</v>
      </c>
      <c r="N862">
        <v>2400</v>
      </c>
    </row>
    <row r="863" spans="1:14" x14ac:dyDescent="0.25">
      <c r="A863">
        <v>398.39749899999998</v>
      </c>
      <c r="B863" s="1">
        <f>DATE(2011,6,3) + TIME(9,32,23)</f>
        <v>40697.397488425922</v>
      </c>
      <c r="C863">
        <v>80</v>
      </c>
      <c r="D863">
        <v>79.967475891000007</v>
      </c>
      <c r="E863">
        <v>50</v>
      </c>
      <c r="F863">
        <v>47.160263061999999</v>
      </c>
      <c r="G863">
        <v>1340.2338867000001</v>
      </c>
      <c r="H863">
        <v>1337.6002197</v>
      </c>
      <c r="I863">
        <v>1326.8104248</v>
      </c>
      <c r="J863">
        <v>1325.0830077999999</v>
      </c>
      <c r="K863">
        <v>2400</v>
      </c>
      <c r="L863">
        <v>0</v>
      </c>
      <c r="M863">
        <v>0</v>
      </c>
      <c r="N863">
        <v>2400</v>
      </c>
    </row>
    <row r="864" spans="1:14" x14ac:dyDescent="0.25">
      <c r="A864">
        <v>399.03466600000002</v>
      </c>
      <c r="B864" s="1">
        <f>DATE(2011,6,4) + TIME(0,49,55)</f>
        <v>40698.03466435185</v>
      </c>
      <c r="C864">
        <v>80</v>
      </c>
      <c r="D864">
        <v>79.967468261999997</v>
      </c>
      <c r="E864">
        <v>50</v>
      </c>
      <c r="F864">
        <v>47.118057251000003</v>
      </c>
      <c r="G864">
        <v>1340.2272949000001</v>
      </c>
      <c r="H864">
        <v>1337.5957031</v>
      </c>
      <c r="I864">
        <v>1326.8061522999999</v>
      </c>
      <c r="J864">
        <v>1325.0766602000001</v>
      </c>
      <c r="K864">
        <v>2400</v>
      </c>
      <c r="L864">
        <v>0</v>
      </c>
      <c r="M864">
        <v>0</v>
      </c>
      <c r="N864">
        <v>2400</v>
      </c>
    </row>
    <row r="865" spans="1:14" x14ac:dyDescent="0.25">
      <c r="A865">
        <v>399.35946300000001</v>
      </c>
      <c r="B865" s="1">
        <f>DATE(2011,6,4) + TIME(8,37,37)</f>
        <v>40698.359456018516</v>
      </c>
      <c r="C865">
        <v>80</v>
      </c>
      <c r="D865">
        <v>79.967460631999998</v>
      </c>
      <c r="E865">
        <v>50</v>
      </c>
      <c r="F865">
        <v>47.091033936000002</v>
      </c>
      <c r="G865">
        <v>1340.2210693</v>
      </c>
      <c r="H865">
        <v>1337.5915527</v>
      </c>
      <c r="I865">
        <v>1326.8020019999999</v>
      </c>
      <c r="J865">
        <v>1325.0705565999999</v>
      </c>
      <c r="K865">
        <v>2400</v>
      </c>
      <c r="L865">
        <v>0</v>
      </c>
      <c r="M865">
        <v>0</v>
      </c>
      <c r="N865">
        <v>2400</v>
      </c>
    </row>
    <row r="866" spans="1:14" x14ac:dyDescent="0.25">
      <c r="A866">
        <v>399.68425999999999</v>
      </c>
      <c r="B866" s="1">
        <f>DATE(2011,6,4) + TIME(16,25,20)</f>
        <v>40698.684259259258</v>
      </c>
      <c r="C866">
        <v>80</v>
      </c>
      <c r="D866">
        <v>79.967453003000003</v>
      </c>
      <c r="E866">
        <v>50</v>
      </c>
      <c r="F866">
        <v>47.065391540999997</v>
      </c>
      <c r="G866">
        <v>1340.2174072</v>
      </c>
      <c r="H866">
        <v>1337.5891113</v>
      </c>
      <c r="I866">
        <v>1326.7995605000001</v>
      </c>
      <c r="J866">
        <v>1325.0666504000001</v>
      </c>
      <c r="K866">
        <v>2400</v>
      </c>
      <c r="L866">
        <v>0</v>
      </c>
      <c r="M866">
        <v>0</v>
      </c>
      <c r="N866">
        <v>2400</v>
      </c>
    </row>
    <row r="867" spans="1:14" x14ac:dyDescent="0.25">
      <c r="A867">
        <v>400.00905699999998</v>
      </c>
      <c r="B867" s="1">
        <f>DATE(2011,6,5) + TIME(0,13,2)</f>
        <v>40699.009050925924</v>
      </c>
      <c r="C867">
        <v>80</v>
      </c>
      <c r="D867">
        <v>79.967453003000003</v>
      </c>
      <c r="E867">
        <v>50</v>
      </c>
      <c r="F867">
        <v>47.040782927999999</v>
      </c>
      <c r="G867">
        <v>1340.2139893000001</v>
      </c>
      <c r="H867">
        <v>1337.5867920000001</v>
      </c>
      <c r="I867">
        <v>1326.7971190999999</v>
      </c>
      <c r="J867">
        <v>1325.0629882999999</v>
      </c>
      <c r="K867">
        <v>2400</v>
      </c>
      <c r="L867">
        <v>0</v>
      </c>
      <c r="M867">
        <v>0</v>
      </c>
      <c r="N867">
        <v>2400</v>
      </c>
    </row>
    <row r="868" spans="1:14" x14ac:dyDescent="0.25">
      <c r="A868">
        <v>400.33385399999997</v>
      </c>
      <c r="B868" s="1">
        <f>DATE(2011,6,5) + TIME(8,0,44)</f>
        <v>40699.33384259259</v>
      </c>
      <c r="C868">
        <v>80</v>
      </c>
      <c r="D868">
        <v>79.967453003000003</v>
      </c>
      <c r="E868">
        <v>50</v>
      </c>
      <c r="F868">
        <v>47.016963959000002</v>
      </c>
      <c r="G868">
        <v>1340.2105713000001</v>
      </c>
      <c r="H868">
        <v>1337.5845947</v>
      </c>
      <c r="I868">
        <v>1326.7946777</v>
      </c>
      <c r="J868">
        <v>1325.0592041</v>
      </c>
      <c r="K868">
        <v>2400</v>
      </c>
      <c r="L868">
        <v>0</v>
      </c>
      <c r="M868">
        <v>0</v>
      </c>
      <c r="N868">
        <v>2400</v>
      </c>
    </row>
    <row r="869" spans="1:14" x14ac:dyDescent="0.25">
      <c r="A869">
        <v>400.98344800000001</v>
      </c>
      <c r="B869" s="1">
        <f>DATE(2011,6,5) + TIME(23,36,9)</f>
        <v>40699.983437499999</v>
      </c>
      <c r="C869">
        <v>80</v>
      </c>
      <c r="D869">
        <v>79.967460631999998</v>
      </c>
      <c r="E869">
        <v>50</v>
      </c>
      <c r="F869">
        <v>46.980079650999997</v>
      </c>
      <c r="G869">
        <v>1340.2070312000001</v>
      </c>
      <c r="H869">
        <v>1337.5821533000001</v>
      </c>
      <c r="I869">
        <v>1326.7921143000001</v>
      </c>
      <c r="J869">
        <v>1325.0550536999999</v>
      </c>
      <c r="K869">
        <v>2400</v>
      </c>
      <c r="L869">
        <v>0</v>
      </c>
      <c r="M869">
        <v>0</v>
      </c>
      <c r="N869">
        <v>2400</v>
      </c>
    </row>
    <row r="870" spans="1:14" x14ac:dyDescent="0.25">
      <c r="A870">
        <v>401.633083</v>
      </c>
      <c r="B870" s="1">
        <f>DATE(2011,6,6) + TIME(15,11,38)</f>
        <v>40700.6330787037</v>
      </c>
      <c r="C870">
        <v>80</v>
      </c>
      <c r="D870">
        <v>79.967460631999998</v>
      </c>
      <c r="E870">
        <v>50</v>
      </c>
      <c r="F870">
        <v>46.940742493000002</v>
      </c>
      <c r="G870">
        <v>1340.2008057</v>
      </c>
      <c r="H870">
        <v>1337.5778809000001</v>
      </c>
      <c r="I870">
        <v>1326.7877197</v>
      </c>
      <c r="J870">
        <v>1325.0483397999999</v>
      </c>
      <c r="K870">
        <v>2400</v>
      </c>
      <c r="L870">
        <v>0</v>
      </c>
      <c r="M870">
        <v>0</v>
      </c>
      <c r="N870">
        <v>2400</v>
      </c>
    </row>
    <row r="871" spans="1:14" x14ac:dyDescent="0.25">
      <c r="A871">
        <v>402.28665699999999</v>
      </c>
      <c r="B871" s="1">
        <f>DATE(2011,6,7) + TIME(6,52,47)</f>
        <v>40701.28665509259</v>
      </c>
      <c r="C871">
        <v>80</v>
      </c>
      <c r="D871">
        <v>79.967460631999998</v>
      </c>
      <c r="E871">
        <v>50</v>
      </c>
      <c r="F871">
        <v>46.899917602999999</v>
      </c>
      <c r="G871">
        <v>1340.1943358999999</v>
      </c>
      <c r="H871">
        <v>1337.5736084</v>
      </c>
      <c r="I871">
        <v>1326.7830810999999</v>
      </c>
      <c r="J871">
        <v>1325.0413818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402.94564100000002</v>
      </c>
      <c r="B872" s="1">
        <f>DATE(2011,6,7) + TIME(22,41,43)</f>
        <v>40701.945636574077</v>
      </c>
      <c r="C872">
        <v>80</v>
      </c>
      <c r="D872">
        <v>79.967453003000003</v>
      </c>
      <c r="E872">
        <v>50</v>
      </c>
      <c r="F872">
        <v>46.858158111999998</v>
      </c>
      <c r="G872">
        <v>1340.1879882999999</v>
      </c>
      <c r="H872">
        <v>1337.5693358999999</v>
      </c>
      <c r="I872">
        <v>1326.7783202999999</v>
      </c>
      <c r="J872">
        <v>1325.0341797000001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403.61143099999998</v>
      </c>
      <c r="B873" s="1">
        <f>DATE(2011,6,8) + TIME(14,40,27)</f>
        <v>40702.61142361111</v>
      </c>
      <c r="C873">
        <v>80</v>
      </c>
      <c r="D873">
        <v>79.967453003000003</v>
      </c>
      <c r="E873">
        <v>50</v>
      </c>
      <c r="F873">
        <v>46.815753936999997</v>
      </c>
      <c r="G873">
        <v>1340.1816406</v>
      </c>
      <c r="H873">
        <v>1337.5650635</v>
      </c>
      <c r="I873">
        <v>1326.7734375</v>
      </c>
      <c r="J873">
        <v>1325.0267334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404.28558299999997</v>
      </c>
      <c r="B874" s="1">
        <f>DATE(2011,6,9) + TIME(6,51,14)</f>
        <v>40703.285578703704</v>
      </c>
      <c r="C874">
        <v>80</v>
      </c>
      <c r="D874">
        <v>79.967453003000003</v>
      </c>
      <c r="E874">
        <v>50</v>
      </c>
      <c r="F874">
        <v>46.772834778000004</v>
      </c>
      <c r="G874">
        <v>1340.175293</v>
      </c>
      <c r="H874">
        <v>1337.5609131000001</v>
      </c>
      <c r="I874">
        <v>1326.7684326000001</v>
      </c>
      <c r="J874">
        <v>1325.0191649999999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404.96971300000001</v>
      </c>
      <c r="B875" s="1">
        <f>DATE(2011,6,9) + TIME(23,16,23)</f>
        <v>40703.969710648147</v>
      </c>
      <c r="C875">
        <v>80</v>
      </c>
      <c r="D875">
        <v>79.967453003000003</v>
      </c>
      <c r="E875">
        <v>50</v>
      </c>
      <c r="F875">
        <v>46.729438782000003</v>
      </c>
      <c r="G875">
        <v>1340.1689452999999</v>
      </c>
      <c r="H875">
        <v>1337.5566406</v>
      </c>
      <c r="I875">
        <v>1326.7631836</v>
      </c>
      <c r="J875">
        <v>1325.0112305</v>
      </c>
      <c r="K875">
        <v>2400</v>
      </c>
      <c r="L875">
        <v>0</v>
      </c>
      <c r="M875">
        <v>0</v>
      </c>
      <c r="N875">
        <v>2400</v>
      </c>
    </row>
    <row r="876" spans="1:14" x14ac:dyDescent="0.25">
      <c r="A876">
        <v>405.66319800000002</v>
      </c>
      <c r="B876" s="1">
        <f>DATE(2011,6,10) + TIME(15,55,0)</f>
        <v>40704.663194444445</v>
      </c>
      <c r="C876">
        <v>80</v>
      </c>
      <c r="D876">
        <v>79.967453003000003</v>
      </c>
      <c r="E876">
        <v>50</v>
      </c>
      <c r="F876">
        <v>46.685634612999998</v>
      </c>
      <c r="G876">
        <v>1340.1625977000001</v>
      </c>
      <c r="H876">
        <v>1337.5523682</v>
      </c>
      <c r="I876">
        <v>1326.7579346</v>
      </c>
      <c r="J876">
        <v>1325.0031738</v>
      </c>
      <c r="K876">
        <v>2400</v>
      </c>
      <c r="L876">
        <v>0</v>
      </c>
      <c r="M876">
        <v>0</v>
      </c>
      <c r="N876">
        <v>2400</v>
      </c>
    </row>
    <row r="877" spans="1:14" x14ac:dyDescent="0.25">
      <c r="A877">
        <v>406.36676799999998</v>
      </c>
      <c r="B877" s="1">
        <f>DATE(2011,6,11) + TIME(8,48,8)</f>
        <v>40705.366759259261</v>
      </c>
      <c r="C877">
        <v>80</v>
      </c>
      <c r="D877">
        <v>79.967453003000003</v>
      </c>
      <c r="E877">
        <v>50</v>
      </c>
      <c r="F877">
        <v>46.641429901000002</v>
      </c>
      <c r="G877">
        <v>1340.15625</v>
      </c>
      <c r="H877">
        <v>1337.5480957</v>
      </c>
      <c r="I877">
        <v>1326.7524414</v>
      </c>
      <c r="J877">
        <v>1324.9948730000001</v>
      </c>
      <c r="K877">
        <v>2400</v>
      </c>
      <c r="L877">
        <v>0</v>
      </c>
      <c r="M877">
        <v>0</v>
      </c>
      <c r="N877">
        <v>2400</v>
      </c>
    </row>
    <row r="878" spans="1:14" x14ac:dyDescent="0.25">
      <c r="A878">
        <v>407.082178</v>
      </c>
      <c r="B878" s="1">
        <f>DATE(2011,6,12) + TIME(1,58,20)</f>
        <v>40706.082175925927</v>
      </c>
      <c r="C878">
        <v>80</v>
      </c>
      <c r="D878">
        <v>79.967453003000003</v>
      </c>
      <c r="E878">
        <v>50</v>
      </c>
      <c r="F878">
        <v>46.596771240000002</v>
      </c>
      <c r="G878">
        <v>1340.1499022999999</v>
      </c>
      <c r="H878">
        <v>1337.5438231999999</v>
      </c>
      <c r="I878">
        <v>1326.7468262</v>
      </c>
      <c r="J878">
        <v>1324.9863281</v>
      </c>
      <c r="K878">
        <v>2400</v>
      </c>
      <c r="L878">
        <v>0</v>
      </c>
      <c r="M878">
        <v>0</v>
      </c>
      <c r="N878">
        <v>2400</v>
      </c>
    </row>
    <row r="879" spans="1:14" x14ac:dyDescent="0.25">
      <c r="A879">
        <v>407.81130999999999</v>
      </c>
      <c r="B879" s="1">
        <f>DATE(2011,6,12) + TIME(19,28,17)</f>
        <v>40706.811307870368</v>
      </c>
      <c r="C879">
        <v>80</v>
      </c>
      <c r="D879">
        <v>79.967453003000003</v>
      </c>
      <c r="E879">
        <v>50</v>
      </c>
      <c r="F879">
        <v>46.551597594999997</v>
      </c>
      <c r="G879">
        <v>1340.1435547000001</v>
      </c>
      <c r="H879">
        <v>1337.5395507999999</v>
      </c>
      <c r="I879">
        <v>1326.7410889</v>
      </c>
      <c r="J879">
        <v>1324.9775391000001</v>
      </c>
      <c r="K879">
        <v>2400</v>
      </c>
      <c r="L879">
        <v>0</v>
      </c>
      <c r="M879">
        <v>0</v>
      </c>
      <c r="N879">
        <v>2400</v>
      </c>
    </row>
    <row r="880" spans="1:14" x14ac:dyDescent="0.25">
      <c r="A880">
        <v>408.55612100000002</v>
      </c>
      <c r="B880" s="1">
        <f>DATE(2011,6,13) + TIME(13,20,48)</f>
        <v>40707.556111111109</v>
      </c>
      <c r="C880">
        <v>80</v>
      </c>
      <c r="D880">
        <v>79.967453003000003</v>
      </c>
      <c r="E880">
        <v>50</v>
      </c>
      <c r="F880">
        <v>46.505809784</v>
      </c>
      <c r="G880">
        <v>1340.1370850000001</v>
      </c>
      <c r="H880">
        <v>1337.5352783000001</v>
      </c>
      <c r="I880">
        <v>1326.7351074000001</v>
      </c>
      <c r="J880">
        <v>1324.9685059000001</v>
      </c>
      <c r="K880">
        <v>2400</v>
      </c>
      <c r="L880">
        <v>0</v>
      </c>
      <c r="M880">
        <v>0</v>
      </c>
      <c r="N880">
        <v>2400</v>
      </c>
    </row>
    <row r="881" spans="1:14" x14ac:dyDescent="0.25">
      <c r="A881">
        <v>409.31876199999999</v>
      </c>
      <c r="B881" s="1">
        <f>DATE(2011,6,14) + TIME(7,39,1)</f>
        <v>40708.318761574075</v>
      </c>
      <c r="C881">
        <v>80</v>
      </c>
      <c r="D881">
        <v>79.967460631999998</v>
      </c>
      <c r="E881">
        <v>50</v>
      </c>
      <c r="F881">
        <v>46.459312439000001</v>
      </c>
      <c r="G881">
        <v>1340.1306152</v>
      </c>
      <c r="H881">
        <v>1337.5308838000001</v>
      </c>
      <c r="I881">
        <v>1326.7288818</v>
      </c>
      <c r="J881">
        <v>1324.9591064000001</v>
      </c>
      <c r="K881">
        <v>2400</v>
      </c>
      <c r="L881">
        <v>0</v>
      </c>
      <c r="M881">
        <v>0</v>
      </c>
      <c r="N881">
        <v>2400</v>
      </c>
    </row>
    <row r="882" spans="1:14" x14ac:dyDescent="0.25">
      <c r="A882">
        <v>410.09804500000001</v>
      </c>
      <c r="B882" s="1">
        <f>DATE(2011,6,15) + TIME(2,21,11)</f>
        <v>40709.098043981481</v>
      </c>
      <c r="C882">
        <v>80</v>
      </c>
      <c r="D882">
        <v>79.967460631999998</v>
      </c>
      <c r="E882">
        <v>50</v>
      </c>
      <c r="F882">
        <v>46.412105560000001</v>
      </c>
      <c r="G882">
        <v>1340.1240233999999</v>
      </c>
      <c r="H882">
        <v>1337.5264893000001</v>
      </c>
      <c r="I882">
        <v>1326.7225341999999</v>
      </c>
      <c r="J882">
        <v>1324.9493408000001</v>
      </c>
      <c r="K882">
        <v>2400</v>
      </c>
      <c r="L882">
        <v>0</v>
      </c>
      <c r="M882">
        <v>0</v>
      </c>
      <c r="N882">
        <v>2400</v>
      </c>
    </row>
    <row r="883" spans="1:14" x14ac:dyDescent="0.25">
      <c r="A883">
        <v>410.48959000000002</v>
      </c>
      <c r="B883" s="1">
        <f>DATE(2011,6,15) + TIME(11,45,0)</f>
        <v>40709.489583333336</v>
      </c>
      <c r="C883">
        <v>80</v>
      </c>
      <c r="D883">
        <v>79.967453003000003</v>
      </c>
      <c r="E883">
        <v>50</v>
      </c>
      <c r="F883">
        <v>46.381248474000003</v>
      </c>
      <c r="G883">
        <v>1340.1179199000001</v>
      </c>
      <c r="H883">
        <v>1337.5224608999999</v>
      </c>
      <c r="I883">
        <v>1326.7163086</v>
      </c>
      <c r="J883">
        <v>1324.9401855000001</v>
      </c>
      <c r="K883">
        <v>2400</v>
      </c>
      <c r="L883">
        <v>0</v>
      </c>
      <c r="M883">
        <v>0</v>
      </c>
      <c r="N883">
        <v>2400</v>
      </c>
    </row>
    <row r="884" spans="1:14" x14ac:dyDescent="0.25">
      <c r="A884">
        <v>410.88113399999997</v>
      </c>
      <c r="B884" s="1">
        <f>DATE(2011,6,15) + TIME(21,8,50)</f>
        <v>40709.88113425926</v>
      </c>
      <c r="C884">
        <v>80</v>
      </c>
      <c r="D884">
        <v>79.967445373999993</v>
      </c>
      <c r="E884">
        <v>50</v>
      </c>
      <c r="F884">
        <v>46.35250473</v>
      </c>
      <c r="G884">
        <v>1340.1142577999999</v>
      </c>
      <c r="H884">
        <v>1337.5200195</v>
      </c>
      <c r="I884">
        <v>1326.7125243999999</v>
      </c>
      <c r="J884">
        <v>1324.9343262</v>
      </c>
      <c r="K884">
        <v>2400</v>
      </c>
      <c r="L884">
        <v>0</v>
      </c>
      <c r="M884">
        <v>0</v>
      </c>
      <c r="N884">
        <v>2400</v>
      </c>
    </row>
    <row r="885" spans="1:14" x14ac:dyDescent="0.25">
      <c r="A885">
        <v>411.27267899999998</v>
      </c>
      <c r="B885" s="1">
        <f>DATE(2011,6,16) + TIME(6,32,39)</f>
        <v>40710.272673611114</v>
      </c>
      <c r="C885">
        <v>80</v>
      </c>
      <c r="D885">
        <v>79.967445373999993</v>
      </c>
      <c r="E885">
        <v>50</v>
      </c>
      <c r="F885">
        <v>46.325263976999999</v>
      </c>
      <c r="G885">
        <v>1340.1109618999999</v>
      </c>
      <c r="H885">
        <v>1337.5177002</v>
      </c>
      <c r="I885">
        <v>1326.7087402</v>
      </c>
      <c r="J885">
        <v>1324.9285889</v>
      </c>
      <c r="K885">
        <v>2400</v>
      </c>
      <c r="L885">
        <v>0</v>
      </c>
      <c r="M885">
        <v>0</v>
      </c>
      <c r="N885">
        <v>2400</v>
      </c>
    </row>
    <row r="886" spans="1:14" x14ac:dyDescent="0.25">
      <c r="A886">
        <v>411.66422399999999</v>
      </c>
      <c r="B886" s="1">
        <f>DATE(2011,6,16) + TIME(15,56,28)</f>
        <v>40710.664212962962</v>
      </c>
      <c r="C886">
        <v>80</v>
      </c>
      <c r="D886">
        <v>79.967453003000003</v>
      </c>
      <c r="E886">
        <v>50</v>
      </c>
      <c r="F886">
        <v>46.299098968999999</v>
      </c>
      <c r="G886">
        <v>1340.1076660000001</v>
      </c>
      <c r="H886">
        <v>1337.5155029</v>
      </c>
      <c r="I886">
        <v>1326.7052002</v>
      </c>
      <c r="J886">
        <v>1324.9230957</v>
      </c>
      <c r="K886">
        <v>2400</v>
      </c>
      <c r="L886">
        <v>0</v>
      </c>
      <c r="M886">
        <v>0</v>
      </c>
      <c r="N886">
        <v>2400</v>
      </c>
    </row>
    <row r="887" spans="1:14" x14ac:dyDescent="0.25">
      <c r="A887">
        <v>412.44731300000001</v>
      </c>
      <c r="B887" s="1">
        <f>DATE(2011,6,17) + TIME(10,44,7)</f>
        <v>40711.44730324074</v>
      </c>
      <c r="C887">
        <v>80</v>
      </c>
      <c r="D887">
        <v>79.967460631999998</v>
      </c>
      <c r="E887">
        <v>50</v>
      </c>
      <c r="F887">
        <v>46.260021209999998</v>
      </c>
      <c r="G887">
        <v>1340.104126</v>
      </c>
      <c r="H887">
        <v>1337.5130615</v>
      </c>
      <c r="I887">
        <v>1326.7012939000001</v>
      </c>
      <c r="J887">
        <v>1324.9168701000001</v>
      </c>
      <c r="K887">
        <v>2400</v>
      </c>
      <c r="L887">
        <v>0</v>
      </c>
      <c r="M887">
        <v>0</v>
      </c>
      <c r="N887">
        <v>2400</v>
      </c>
    </row>
    <row r="888" spans="1:14" x14ac:dyDescent="0.25">
      <c r="A888">
        <v>413.231247</v>
      </c>
      <c r="B888" s="1">
        <f>DATE(2011,6,18) + TIME(5,32,59)</f>
        <v>40712.231238425928</v>
      </c>
      <c r="C888">
        <v>80</v>
      </c>
      <c r="D888">
        <v>79.967468261999997</v>
      </c>
      <c r="E888">
        <v>50</v>
      </c>
      <c r="F888">
        <v>46.217296599999997</v>
      </c>
      <c r="G888">
        <v>1340.0979004000001</v>
      </c>
      <c r="H888">
        <v>1337.5089111</v>
      </c>
      <c r="I888">
        <v>1326.6948242000001</v>
      </c>
      <c r="J888">
        <v>1324.9071045000001</v>
      </c>
      <c r="K888">
        <v>2400</v>
      </c>
      <c r="L888">
        <v>0</v>
      </c>
      <c r="M888">
        <v>0</v>
      </c>
      <c r="N888">
        <v>2400</v>
      </c>
    </row>
    <row r="889" spans="1:14" x14ac:dyDescent="0.25">
      <c r="A889">
        <v>414.020016</v>
      </c>
      <c r="B889" s="1">
        <f>DATE(2011,6,19) + TIME(0,28,49)</f>
        <v>40713.020011574074</v>
      </c>
      <c r="C889">
        <v>80</v>
      </c>
      <c r="D889">
        <v>79.967468261999997</v>
      </c>
      <c r="E889">
        <v>50</v>
      </c>
      <c r="F889">
        <v>46.172592162999997</v>
      </c>
      <c r="G889">
        <v>1340.0916748</v>
      </c>
      <c r="H889">
        <v>1337.5047606999999</v>
      </c>
      <c r="I889">
        <v>1326.6881103999999</v>
      </c>
      <c r="J889">
        <v>1324.8968506000001</v>
      </c>
      <c r="K889">
        <v>2400</v>
      </c>
      <c r="L889">
        <v>0</v>
      </c>
      <c r="M889">
        <v>0</v>
      </c>
      <c r="N889">
        <v>2400</v>
      </c>
    </row>
    <row r="890" spans="1:14" x14ac:dyDescent="0.25">
      <c r="A890">
        <v>414.81548299999997</v>
      </c>
      <c r="B890" s="1">
        <f>DATE(2011,6,19) + TIME(19,34,17)</f>
        <v>40713.815474537034</v>
      </c>
      <c r="C890">
        <v>80</v>
      </c>
      <c r="D890">
        <v>79.967475891000007</v>
      </c>
      <c r="E890">
        <v>50</v>
      </c>
      <c r="F890">
        <v>46.126758574999997</v>
      </c>
      <c r="G890">
        <v>1340.0854492000001</v>
      </c>
      <c r="H890">
        <v>1337.5004882999999</v>
      </c>
      <c r="I890">
        <v>1326.6810303</v>
      </c>
      <c r="J890">
        <v>1324.8861084</v>
      </c>
      <c r="K890">
        <v>2400</v>
      </c>
      <c r="L890">
        <v>0</v>
      </c>
      <c r="M890">
        <v>0</v>
      </c>
      <c r="N890">
        <v>2400</v>
      </c>
    </row>
    <row r="891" spans="1:14" x14ac:dyDescent="0.25">
      <c r="A891">
        <v>415.61931700000002</v>
      </c>
      <c r="B891" s="1">
        <f>DATE(2011,6,20) + TIME(14,51,48)</f>
        <v>40714.619305555556</v>
      </c>
      <c r="C891">
        <v>80</v>
      </c>
      <c r="D891">
        <v>79.967475891000007</v>
      </c>
      <c r="E891">
        <v>50</v>
      </c>
      <c r="F891">
        <v>46.080215453999998</v>
      </c>
      <c r="G891">
        <v>1340.0791016000001</v>
      </c>
      <c r="H891">
        <v>1337.4963379000001</v>
      </c>
      <c r="I891">
        <v>1326.6738281</v>
      </c>
      <c r="J891">
        <v>1324.8751221</v>
      </c>
      <c r="K891">
        <v>2400</v>
      </c>
      <c r="L891">
        <v>0</v>
      </c>
      <c r="M891">
        <v>0</v>
      </c>
      <c r="N891">
        <v>2400</v>
      </c>
    </row>
    <row r="892" spans="1:14" x14ac:dyDescent="0.25">
      <c r="A892">
        <v>416.43348099999997</v>
      </c>
      <c r="B892" s="1">
        <f>DATE(2011,6,21) + TIME(10,24,12)</f>
        <v>40715.433472222219</v>
      </c>
      <c r="C892">
        <v>80</v>
      </c>
      <c r="D892">
        <v>79.967483521000005</v>
      </c>
      <c r="E892">
        <v>50</v>
      </c>
      <c r="F892">
        <v>46.033134459999999</v>
      </c>
      <c r="G892">
        <v>1340.072876</v>
      </c>
      <c r="H892">
        <v>1337.4920654</v>
      </c>
      <c r="I892">
        <v>1326.6663818</v>
      </c>
      <c r="J892">
        <v>1324.8637695</v>
      </c>
      <c r="K892">
        <v>2400</v>
      </c>
      <c r="L892">
        <v>0</v>
      </c>
      <c r="M892">
        <v>0</v>
      </c>
      <c r="N892">
        <v>2400</v>
      </c>
    </row>
    <row r="893" spans="1:14" x14ac:dyDescent="0.25">
      <c r="A893">
        <v>417.26000199999999</v>
      </c>
      <c r="B893" s="1">
        <f>DATE(2011,6,22) + TIME(6,14,24)</f>
        <v>40716.26</v>
      </c>
      <c r="C893">
        <v>80</v>
      </c>
      <c r="D893">
        <v>79.967483521000005</v>
      </c>
      <c r="E893">
        <v>50</v>
      </c>
      <c r="F893">
        <v>45.985565186000002</v>
      </c>
      <c r="G893">
        <v>1340.0666504000001</v>
      </c>
      <c r="H893">
        <v>1337.4879149999999</v>
      </c>
      <c r="I893">
        <v>1326.6586914</v>
      </c>
      <c r="J893">
        <v>1324.8521728999999</v>
      </c>
      <c r="K893">
        <v>2400</v>
      </c>
      <c r="L893">
        <v>0</v>
      </c>
      <c r="M893">
        <v>0</v>
      </c>
      <c r="N893">
        <v>2400</v>
      </c>
    </row>
    <row r="894" spans="1:14" x14ac:dyDescent="0.25">
      <c r="A894">
        <v>418.100976</v>
      </c>
      <c r="B894" s="1">
        <f>DATE(2011,6,23) + TIME(2,25,24)</f>
        <v>40717.100972222222</v>
      </c>
      <c r="C894">
        <v>80</v>
      </c>
      <c r="D894">
        <v>79.967491150000001</v>
      </c>
      <c r="E894">
        <v>50</v>
      </c>
      <c r="F894">
        <v>45.937480927000003</v>
      </c>
      <c r="G894">
        <v>1340.0603027</v>
      </c>
      <c r="H894">
        <v>1337.4836425999999</v>
      </c>
      <c r="I894">
        <v>1326.6508789</v>
      </c>
      <c r="J894">
        <v>1324.8402100000001</v>
      </c>
      <c r="K894">
        <v>2400</v>
      </c>
      <c r="L894">
        <v>0</v>
      </c>
      <c r="M894">
        <v>0</v>
      </c>
      <c r="N894">
        <v>2400</v>
      </c>
    </row>
    <row r="895" spans="1:14" x14ac:dyDescent="0.25">
      <c r="A895">
        <v>418.95874900000001</v>
      </c>
      <c r="B895" s="1">
        <f>DATE(2011,6,23) + TIME(23,0,35)</f>
        <v>40717.958738425928</v>
      </c>
      <c r="C895">
        <v>80</v>
      </c>
      <c r="D895">
        <v>79.967498778999996</v>
      </c>
      <c r="E895">
        <v>50</v>
      </c>
      <c r="F895">
        <v>45.888805388999998</v>
      </c>
      <c r="G895">
        <v>1340.0539550999999</v>
      </c>
      <c r="H895">
        <v>1337.4793701000001</v>
      </c>
      <c r="I895">
        <v>1326.6428223</v>
      </c>
      <c r="J895">
        <v>1324.8278809000001</v>
      </c>
      <c r="K895">
        <v>2400</v>
      </c>
      <c r="L895">
        <v>0</v>
      </c>
      <c r="M895">
        <v>0</v>
      </c>
      <c r="N895">
        <v>2400</v>
      </c>
    </row>
    <row r="896" spans="1:14" x14ac:dyDescent="0.25">
      <c r="A896">
        <v>419.83578799999998</v>
      </c>
      <c r="B896" s="1">
        <f>DATE(2011,6,24) + TIME(20,3,32)</f>
        <v>40718.835787037038</v>
      </c>
      <c r="C896">
        <v>80</v>
      </c>
      <c r="D896">
        <v>79.967498778999996</v>
      </c>
      <c r="E896">
        <v>50</v>
      </c>
      <c r="F896">
        <v>45.839450835999997</v>
      </c>
      <c r="G896">
        <v>1340.0476074000001</v>
      </c>
      <c r="H896">
        <v>1337.4750977000001</v>
      </c>
      <c r="I896">
        <v>1326.6345214999999</v>
      </c>
      <c r="J896">
        <v>1324.8150635</v>
      </c>
      <c r="K896">
        <v>2400</v>
      </c>
      <c r="L896">
        <v>0</v>
      </c>
      <c r="M896">
        <v>0</v>
      </c>
      <c r="N896">
        <v>2400</v>
      </c>
    </row>
    <row r="897" spans="1:14" x14ac:dyDescent="0.25">
      <c r="A897">
        <v>420.734759</v>
      </c>
      <c r="B897" s="1">
        <f>DATE(2011,6,25) + TIME(17,38,3)</f>
        <v>40719.734756944446</v>
      </c>
      <c r="C897">
        <v>80</v>
      </c>
      <c r="D897">
        <v>79.967506408999995</v>
      </c>
      <c r="E897">
        <v>50</v>
      </c>
      <c r="F897">
        <v>45.789302825999997</v>
      </c>
      <c r="G897">
        <v>1340.0412598</v>
      </c>
      <c r="H897">
        <v>1337.4707031</v>
      </c>
      <c r="I897">
        <v>1326.6259766000001</v>
      </c>
      <c r="J897">
        <v>1324.8020019999999</v>
      </c>
      <c r="K897">
        <v>2400</v>
      </c>
      <c r="L897">
        <v>0</v>
      </c>
      <c r="M897">
        <v>0</v>
      </c>
      <c r="N897">
        <v>2400</v>
      </c>
    </row>
    <row r="898" spans="1:14" x14ac:dyDescent="0.25">
      <c r="A898">
        <v>421.64480600000002</v>
      </c>
      <c r="B898" s="1">
        <f>DATE(2011,6,26) + TIME(15,28,31)</f>
        <v>40720.644803240742</v>
      </c>
      <c r="C898">
        <v>80</v>
      </c>
      <c r="D898">
        <v>79.967514038000004</v>
      </c>
      <c r="E898">
        <v>50</v>
      </c>
      <c r="F898">
        <v>45.738609314000001</v>
      </c>
      <c r="G898">
        <v>1340.034668</v>
      </c>
      <c r="H898">
        <v>1337.4663086</v>
      </c>
      <c r="I898">
        <v>1326.6170654</v>
      </c>
      <c r="J898">
        <v>1324.7883300999999</v>
      </c>
      <c r="K898">
        <v>2400</v>
      </c>
      <c r="L898">
        <v>0</v>
      </c>
      <c r="M898">
        <v>0</v>
      </c>
      <c r="N898">
        <v>2400</v>
      </c>
    </row>
    <row r="899" spans="1:14" x14ac:dyDescent="0.25">
      <c r="A899">
        <v>422.56030099999998</v>
      </c>
      <c r="B899" s="1">
        <f>DATE(2011,6,27) + TIME(13,26,49)</f>
        <v>40721.560289351852</v>
      </c>
      <c r="C899">
        <v>80</v>
      </c>
      <c r="D899">
        <v>79.967521667</v>
      </c>
      <c r="E899">
        <v>50</v>
      </c>
      <c r="F899">
        <v>45.687664032000001</v>
      </c>
      <c r="G899">
        <v>1340.0281981999999</v>
      </c>
      <c r="H899">
        <v>1337.4619141000001</v>
      </c>
      <c r="I899">
        <v>1326.6079102000001</v>
      </c>
      <c r="J899">
        <v>1324.7744141000001</v>
      </c>
      <c r="K899">
        <v>2400</v>
      </c>
      <c r="L899">
        <v>0</v>
      </c>
      <c r="M899">
        <v>0</v>
      </c>
      <c r="N899">
        <v>2400</v>
      </c>
    </row>
    <row r="900" spans="1:14" x14ac:dyDescent="0.25">
      <c r="A900">
        <v>423.47582499999999</v>
      </c>
      <c r="B900" s="1">
        <f>DATE(2011,6,28) + TIME(11,25,11)</f>
        <v>40722.475821759261</v>
      </c>
      <c r="C900">
        <v>80</v>
      </c>
      <c r="D900">
        <v>79.967529296999999</v>
      </c>
      <c r="E900">
        <v>50</v>
      </c>
      <c r="F900">
        <v>45.636764526</v>
      </c>
      <c r="G900">
        <v>1340.0217285000001</v>
      </c>
      <c r="H900">
        <v>1337.4575195</v>
      </c>
      <c r="I900">
        <v>1326.5986327999999</v>
      </c>
      <c r="J900">
        <v>1324.7601318</v>
      </c>
      <c r="K900">
        <v>2400</v>
      </c>
      <c r="L900">
        <v>0</v>
      </c>
      <c r="M900">
        <v>0</v>
      </c>
      <c r="N900">
        <v>2400</v>
      </c>
    </row>
    <row r="901" spans="1:14" x14ac:dyDescent="0.25">
      <c r="A901">
        <v>424.39352400000001</v>
      </c>
      <c r="B901" s="1">
        <f>DATE(2011,6,29) + TIME(9,26,40)</f>
        <v>40723.393518518518</v>
      </c>
      <c r="C901">
        <v>80</v>
      </c>
      <c r="D901">
        <v>79.967536925999994</v>
      </c>
      <c r="E901">
        <v>50</v>
      </c>
      <c r="F901">
        <v>45.585998535000002</v>
      </c>
      <c r="G901">
        <v>1340.0153809000001</v>
      </c>
      <c r="H901">
        <v>1337.4532471</v>
      </c>
      <c r="I901">
        <v>1326.5892334</v>
      </c>
      <c r="J901">
        <v>1324.7457274999999</v>
      </c>
      <c r="K901">
        <v>2400</v>
      </c>
      <c r="L901">
        <v>0</v>
      </c>
      <c r="M901">
        <v>0</v>
      </c>
      <c r="N901">
        <v>2400</v>
      </c>
    </row>
    <row r="902" spans="1:14" x14ac:dyDescent="0.25">
      <c r="A902">
        <v>425.31576100000001</v>
      </c>
      <c r="B902" s="1">
        <f>DATE(2011,6,30) + TIME(7,34,41)</f>
        <v>40724.315752314818</v>
      </c>
      <c r="C902">
        <v>80</v>
      </c>
      <c r="D902">
        <v>79.967536925999994</v>
      </c>
      <c r="E902">
        <v>50</v>
      </c>
      <c r="F902">
        <v>45.535354613999999</v>
      </c>
      <c r="G902">
        <v>1340.0090332</v>
      </c>
      <c r="H902">
        <v>1337.4488524999999</v>
      </c>
      <c r="I902">
        <v>1326.5797118999999</v>
      </c>
      <c r="J902">
        <v>1324.7310791</v>
      </c>
      <c r="K902">
        <v>2400</v>
      </c>
      <c r="L902">
        <v>0</v>
      </c>
      <c r="M902">
        <v>0</v>
      </c>
      <c r="N902">
        <v>2400</v>
      </c>
    </row>
    <row r="903" spans="1:14" x14ac:dyDescent="0.25">
      <c r="A903">
        <v>426</v>
      </c>
      <c r="B903" s="1">
        <f>DATE(2011,7,1) + TIME(0,0,0)</f>
        <v>40725</v>
      </c>
      <c r="C903">
        <v>80</v>
      </c>
      <c r="D903">
        <v>79.967544556000007</v>
      </c>
      <c r="E903">
        <v>50</v>
      </c>
      <c r="F903">
        <v>45.492313385000003</v>
      </c>
      <c r="G903">
        <v>1340.0028076000001</v>
      </c>
      <c r="H903">
        <v>1337.4447021000001</v>
      </c>
      <c r="I903">
        <v>1326.5703125</v>
      </c>
      <c r="J903">
        <v>1324.7167969</v>
      </c>
      <c r="K903">
        <v>2400</v>
      </c>
      <c r="L903">
        <v>0</v>
      </c>
      <c r="M903">
        <v>0</v>
      </c>
      <c r="N903">
        <v>2400</v>
      </c>
    </row>
    <row r="904" spans="1:14" x14ac:dyDescent="0.25">
      <c r="A904">
        <v>426.92931700000003</v>
      </c>
      <c r="B904" s="1">
        <f>DATE(2011,7,1) + TIME(22,18,13)</f>
        <v>40725.92931712963</v>
      </c>
      <c r="C904">
        <v>80</v>
      </c>
      <c r="D904">
        <v>79.967552185000002</v>
      </c>
      <c r="E904">
        <v>50</v>
      </c>
      <c r="F904">
        <v>45.444793701000002</v>
      </c>
      <c r="G904">
        <v>1339.9979248</v>
      </c>
      <c r="H904">
        <v>1337.4412841999999</v>
      </c>
      <c r="I904">
        <v>1326.5622559000001</v>
      </c>
      <c r="J904">
        <v>1324.7042236</v>
      </c>
      <c r="K904">
        <v>2400</v>
      </c>
      <c r="L904">
        <v>0</v>
      </c>
      <c r="M904">
        <v>0</v>
      </c>
      <c r="N904">
        <v>2400</v>
      </c>
    </row>
    <row r="905" spans="1:14" x14ac:dyDescent="0.25">
      <c r="A905">
        <v>427.87630300000001</v>
      </c>
      <c r="B905" s="1">
        <f>DATE(2011,7,2) + TIME(21,1,52)</f>
        <v>40726.876296296294</v>
      </c>
      <c r="C905">
        <v>80</v>
      </c>
      <c r="D905">
        <v>79.967559813999998</v>
      </c>
      <c r="E905">
        <v>50</v>
      </c>
      <c r="F905">
        <v>45.395584106000001</v>
      </c>
      <c r="G905">
        <v>1339.9918213000001</v>
      </c>
      <c r="H905">
        <v>1337.4371338000001</v>
      </c>
      <c r="I905">
        <v>1326.5526123</v>
      </c>
      <c r="J905">
        <v>1324.6893310999999</v>
      </c>
      <c r="K905">
        <v>2400</v>
      </c>
      <c r="L905">
        <v>0</v>
      </c>
      <c r="M905">
        <v>0</v>
      </c>
      <c r="N905">
        <v>2400</v>
      </c>
    </row>
    <row r="906" spans="1:14" x14ac:dyDescent="0.25">
      <c r="A906">
        <v>428.83657699999998</v>
      </c>
      <c r="B906" s="1">
        <f>DATE(2011,7,3) + TIME(20,4,40)</f>
        <v>40727.836574074077</v>
      </c>
      <c r="C906">
        <v>80</v>
      </c>
      <c r="D906">
        <v>79.967575073000006</v>
      </c>
      <c r="E906">
        <v>50</v>
      </c>
      <c r="F906">
        <v>45.345363616999997</v>
      </c>
      <c r="G906">
        <v>1339.9855957</v>
      </c>
      <c r="H906">
        <v>1337.4328613</v>
      </c>
      <c r="I906">
        <v>1326.5426024999999</v>
      </c>
      <c r="J906">
        <v>1324.6738281</v>
      </c>
      <c r="K906">
        <v>2400</v>
      </c>
      <c r="L906">
        <v>0</v>
      </c>
      <c r="M906">
        <v>0</v>
      </c>
      <c r="N906">
        <v>2400</v>
      </c>
    </row>
    <row r="907" spans="1:14" x14ac:dyDescent="0.25">
      <c r="A907">
        <v>429.81284900000003</v>
      </c>
      <c r="B907" s="1">
        <f>DATE(2011,7,4) + TIME(19,30,30)</f>
        <v>40728.812847222223</v>
      </c>
      <c r="C907">
        <v>80</v>
      </c>
      <c r="D907">
        <v>79.967582703000005</v>
      </c>
      <c r="E907">
        <v>50</v>
      </c>
      <c r="F907">
        <v>45.294422150000003</v>
      </c>
      <c r="G907">
        <v>1339.9792480000001</v>
      </c>
      <c r="H907">
        <v>1337.4285889</v>
      </c>
      <c r="I907">
        <v>1326.5322266000001</v>
      </c>
      <c r="J907">
        <v>1324.6578368999999</v>
      </c>
      <c r="K907">
        <v>2400</v>
      </c>
      <c r="L907">
        <v>0</v>
      </c>
      <c r="M907">
        <v>0</v>
      </c>
      <c r="N907">
        <v>2400</v>
      </c>
    </row>
    <row r="908" spans="1:14" x14ac:dyDescent="0.25">
      <c r="A908">
        <v>430.80779999999999</v>
      </c>
      <c r="B908" s="1">
        <f>DATE(2011,7,5) + TIME(19,23,13)</f>
        <v>40729.807789351849</v>
      </c>
      <c r="C908">
        <v>80</v>
      </c>
      <c r="D908">
        <v>79.967590332</v>
      </c>
      <c r="E908">
        <v>50</v>
      </c>
      <c r="F908">
        <v>45.242847443000002</v>
      </c>
      <c r="G908">
        <v>1339.9730225000001</v>
      </c>
      <c r="H908">
        <v>1337.4243164</v>
      </c>
      <c r="I908">
        <v>1326.5216064000001</v>
      </c>
      <c r="J908">
        <v>1324.6414795000001</v>
      </c>
      <c r="K908">
        <v>2400</v>
      </c>
      <c r="L908">
        <v>0</v>
      </c>
      <c r="M908">
        <v>0</v>
      </c>
      <c r="N908">
        <v>2400</v>
      </c>
    </row>
    <row r="909" spans="1:14" x14ac:dyDescent="0.25">
      <c r="A909">
        <v>431.82152200000002</v>
      </c>
      <c r="B909" s="1">
        <f>DATE(2011,7,6) + TIME(19,42,59)</f>
        <v>40730.821516203701</v>
      </c>
      <c r="C909">
        <v>80</v>
      </c>
      <c r="D909">
        <v>79.967597960999996</v>
      </c>
      <c r="E909">
        <v>50</v>
      </c>
      <c r="F909">
        <v>45.190685272000003</v>
      </c>
      <c r="G909">
        <v>1339.9665527</v>
      </c>
      <c r="H909">
        <v>1337.4199219</v>
      </c>
      <c r="I909">
        <v>1326.5106201000001</v>
      </c>
      <c r="J909">
        <v>1324.6245117000001</v>
      </c>
      <c r="K909">
        <v>2400</v>
      </c>
      <c r="L909">
        <v>0</v>
      </c>
      <c r="M909">
        <v>0</v>
      </c>
      <c r="N909">
        <v>2400</v>
      </c>
    </row>
    <row r="910" spans="1:14" x14ac:dyDescent="0.25">
      <c r="A910">
        <v>432.85173800000001</v>
      </c>
      <c r="B910" s="1">
        <f>DATE(2011,7,7) + TIME(20,26,30)</f>
        <v>40731.851736111108</v>
      </c>
      <c r="C910">
        <v>80</v>
      </c>
      <c r="D910">
        <v>79.967613220000004</v>
      </c>
      <c r="E910">
        <v>50</v>
      </c>
      <c r="F910">
        <v>45.138034820999998</v>
      </c>
      <c r="G910">
        <v>1339.9602050999999</v>
      </c>
      <c r="H910">
        <v>1337.4155272999999</v>
      </c>
      <c r="I910">
        <v>1326.4993896000001</v>
      </c>
      <c r="J910">
        <v>1324.6069336</v>
      </c>
      <c r="K910">
        <v>2400</v>
      </c>
      <c r="L910">
        <v>0</v>
      </c>
      <c r="M910">
        <v>0</v>
      </c>
      <c r="N910">
        <v>2400</v>
      </c>
    </row>
    <row r="911" spans="1:14" x14ac:dyDescent="0.25">
      <c r="A911">
        <v>433.89041200000003</v>
      </c>
      <c r="B911" s="1">
        <f>DATE(2011,7,8) + TIME(21,22,11)</f>
        <v>40732.890405092592</v>
      </c>
      <c r="C911">
        <v>80</v>
      </c>
      <c r="D911">
        <v>79.967620850000003</v>
      </c>
      <c r="E911">
        <v>50</v>
      </c>
      <c r="F911">
        <v>45.085155487000002</v>
      </c>
      <c r="G911">
        <v>1339.9537353999999</v>
      </c>
      <c r="H911">
        <v>1337.4110106999999</v>
      </c>
      <c r="I911">
        <v>1326.487793</v>
      </c>
      <c r="J911">
        <v>1324.5891113</v>
      </c>
      <c r="K911">
        <v>2400</v>
      </c>
      <c r="L911">
        <v>0</v>
      </c>
      <c r="M911">
        <v>0</v>
      </c>
      <c r="N911">
        <v>2400</v>
      </c>
    </row>
    <row r="912" spans="1:14" x14ac:dyDescent="0.25">
      <c r="A912">
        <v>434.93983100000003</v>
      </c>
      <c r="B912" s="1">
        <f>DATE(2011,7,9) + TIME(22,33,21)</f>
        <v>40733.939826388887</v>
      </c>
      <c r="C912">
        <v>80</v>
      </c>
      <c r="D912">
        <v>79.967636107999994</v>
      </c>
      <c r="E912">
        <v>50</v>
      </c>
      <c r="F912">
        <v>45.032165526999997</v>
      </c>
      <c r="G912">
        <v>1339.9473877</v>
      </c>
      <c r="H912">
        <v>1337.4066161999999</v>
      </c>
      <c r="I912">
        <v>1326.4760742000001</v>
      </c>
      <c r="J912">
        <v>1324.5708007999999</v>
      </c>
      <c r="K912">
        <v>2400</v>
      </c>
      <c r="L912">
        <v>0</v>
      </c>
      <c r="M912">
        <v>0</v>
      </c>
      <c r="N912">
        <v>2400</v>
      </c>
    </row>
    <row r="913" spans="1:14" x14ac:dyDescent="0.25">
      <c r="A913">
        <v>435.99860699999999</v>
      </c>
      <c r="B913" s="1">
        <f>DATE(2011,7,10) + TIME(23,57,59)</f>
        <v>40734.998599537037</v>
      </c>
      <c r="C913">
        <v>80</v>
      </c>
      <c r="D913">
        <v>79.967643738000007</v>
      </c>
      <c r="E913">
        <v>50</v>
      </c>
      <c r="F913">
        <v>44.979160309000001</v>
      </c>
      <c r="G913">
        <v>1339.940918</v>
      </c>
      <c r="H913">
        <v>1337.4022216999999</v>
      </c>
      <c r="I913">
        <v>1326.4641113</v>
      </c>
      <c r="J913">
        <v>1324.552124</v>
      </c>
      <c r="K913">
        <v>2400</v>
      </c>
      <c r="L913">
        <v>0</v>
      </c>
      <c r="M913">
        <v>0</v>
      </c>
      <c r="N913">
        <v>2400</v>
      </c>
    </row>
    <row r="914" spans="1:14" x14ac:dyDescent="0.25">
      <c r="A914">
        <v>437.06028900000001</v>
      </c>
      <c r="B914" s="1">
        <f>DATE(2011,7,12) + TIME(1,26,49)</f>
        <v>40736.060289351852</v>
      </c>
      <c r="C914">
        <v>80</v>
      </c>
      <c r="D914">
        <v>79.967658997000001</v>
      </c>
      <c r="E914">
        <v>50</v>
      </c>
      <c r="F914">
        <v>44.926357269</v>
      </c>
      <c r="G914">
        <v>1339.9345702999999</v>
      </c>
      <c r="H914">
        <v>1337.3978271000001</v>
      </c>
      <c r="I914">
        <v>1326.4519043</v>
      </c>
      <c r="J914">
        <v>1324.5330810999999</v>
      </c>
      <c r="K914">
        <v>2400</v>
      </c>
      <c r="L914">
        <v>0</v>
      </c>
      <c r="M914">
        <v>0</v>
      </c>
      <c r="N914">
        <v>2400</v>
      </c>
    </row>
    <row r="915" spans="1:14" x14ac:dyDescent="0.25">
      <c r="A915">
        <v>438.12791499999997</v>
      </c>
      <c r="B915" s="1">
        <f>DATE(2011,7,13) + TIME(3,4,11)</f>
        <v>40737.127905092595</v>
      </c>
      <c r="C915">
        <v>80</v>
      </c>
      <c r="D915">
        <v>79.967674255000006</v>
      </c>
      <c r="E915">
        <v>50</v>
      </c>
      <c r="F915">
        <v>44.873828887999998</v>
      </c>
      <c r="G915">
        <v>1339.9281006000001</v>
      </c>
      <c r="H915">
        <v>1337.3934326000001</v>
      </c>
      <c r="I915">
        <v>1326.4395752</v>
      </c>
      <c r="J915">
        <v>1324.5137939000001</v>
      </c>
      <c r="K915">
        <v>2400</v>
      </c>
      <c r="L915">
        <v>0</v>
      </c>
      <c r="M915">
        <v>0</v>
      </c>
      <c r="N915">
        <v>2400</v>
      </c>
    </row>
    <row r="916" spans="1:14" x14ac:dyDescent="0.25">
      <c r="A916">
        <v>439.20449200000002</v>
      </c>
      <c r="B916" s="1">
        <f>DATE(2011,7,14) + TIME(4,54,28)</f>
        <v>40738.20449074074</v>
      </c>
      <c r="C916">
        <v>80</v>
      </c>
      <c r="D916">
        <v>79.967681885000005</v>
      </c>
      <c r="E916">
        <v>50</v>
      </c>
      <c r="F916">
        <v>44.821556090999998</v>
      </c>
      <c r="G916">
        <v>1339.921875</v>
      </c>
      <c r="H916">
        <v>1337.3890381000001</v>
      </c>
      <c r="I916">
        <v>1326.427124</v>
      </c>
      <c r="J916">
        <v>1324.4942627</v>
      </c>
      <c r="K916">
        <v>2400</v>
      </c>
      <c r="L916">
        <v>0</v>
      </c>
      <c r="M916">
        <v>0</v>
      </c>
      <c r="N916">
        <v>2400</v>
      </c>
    </row>
    <row r="917" spans="1:14" x14ac:dyDescent="0.25">
      <c r="A917">
        <v>440.29259500000001</v>
      </c>
      <c r="B917" s="1">
        <f>DATE(2011,7,15) + TIME(7,1,20)</f>
        <v>40739.292592592596</v>
      </c>
      <c r="C917">
        <v>80</v>
      </c>
      <c r="D917">
        <v>79.967697143999999</v>
      </c>
      <c r="E917">
        <v>50</v>
      </c>
      <c r="F917">
        <v>44.769485474</v>
      </c>
      <c r="G917">
        <v>1339.9155272999999</v>
      </c>
      <c r="H917">
        <v>1337.3846435999999</v>
      </c>
      <c r="I917">
        <v>1326.4144286999999</v>
      </c>
      <c r="J917">
        <v>1324.4743652</v>
      </c>
      <c r="K917">
        <v>2400</v>
      </c>
      <c r="L917">
        <v>0</v>
      </c>
      <c r="M917">
        <v>0</v>
      </c>
      <c r="N917">
        <v>2400</v>
      </c>
    </row>
    <row r="918" spans="1:14" x14ac:dyDescent="0.25">
      <c r="A918">
        <v>441.395128</v>
      </c>
      <c r="B918" s="1">
        <f>DATE(2011,7,16) + TIME(9,28,59)</f>
        <v>40740.395127314812</v>
      </c>
      <c r="C918">
        <v>80</v>
      </c>
      <c r="D918">
        <v>79.967712402000004</v>
      </c>
      <c r="E918">
        <v>50</v>
      </c>
      <c r="F918">
        <v>44.717559813999998</v>
      </c>
      <c r="G918">
        <v>1339.9091797000001</v>
      </c>
      <c r="H918">
        <v>1337.380249</v>
      </c>
      <c r="I918">
        <v>1326.4014893000001</v>
      </c>
      <c r="J918">
        <v>1324.4541016000001</v>
      </c>
      <c r="K918">
        <v>2400</v>
      </c>
      <c r="L918">
        <v>0</v>
      </c>
      <c r="M918">
        <v>0</v>
      </c>
      <c r="N918">
        <v>2400</v>
      </c>
    </row>
    <row r="919" spans="1:14" x14ac:dyDescent="0.25">
      <c r="A919">
        <v>442.51505800000001</v>
      </c>
      <c r="B919" s="1">
        <f>DATE(2011,7,17) + TIME(12,21,40)</f>
        <v>40741.515046296299</v>
      </c>
      <c r="C919">
        <v>80</v>
      </c>
      <c r="D919">
        <v>79.967727660999998</v>
      </c>
      <c r="E919">
        <v>50</v>
      </c>
      <c r="F919">
        <v>44.665718079000001</v>
      </c>
      <c r="G919">
        <v>1339.9029541</v>
      </c>
      <c r="H919">
        <v>1337.3757324000001</v>
      </c>
      <c r="I919">
        <v>1326.3884277</v>
      </c>
      <c r="J919">
        <v>1324.4333495999999</v>
      </c>
      <c r="K919">
        <v>2400</v>
      </c>
      <c r="L919">
        <v>0</v>
      </c>
      <c r="M919">
        <v>0</v>
      </c>
      <c r="N919">
        <v>2400</v>
      </c>
    </row>
    <row r="920" spans="1:14" x14ac:dyDescent="0.25">
      <c r="A920">
        <v>443.64783699999998</v>
      </c>
      <c r="B920" s="1">
        <f>DATE(2011,7,18) + TIME(15,32,53)</f>
        <v>40742.647835648146</v>
      </c>
      <c r="C920">
        <v>80</v>
      </c>
      <c r="D920">
        <v>79.967742920000006</v>
      </c>
      <c r="E920">
        <v>50</v>
      </c>
      <c r="F920">
        <v>44.614048003999997</v>
      </c>
      <c r="G920">
        <v>1339.8966064000001</v>
      </c>
      <c r="H920">
        <v>1337.3713379000001</v>
      </c>
      <c r="I920">
        <v>1326.375</v>
      </c>
      <c r="J920">
        <v>1324.4122314000001</v>
      </c>
      <c r="K920">
        <v>2400</v>
      </c>
      <c r="L920">
        <v>0</v>
      </c>
      <c r="M920">
        <v>0</v>
      </c>
      <c r="N920">
        <v>2400</v>
      </c>
    </row>
    <row r="921" spans="1:14" x14ac:dyDescent="0.25">
      <c r="A921">
        <v>444.79634800000002</v>
      </c>
      <c r="B921" s="1">
        <f>DATE(2011,7,19) + TIME(19,6,44)</f>
        <v>40743.796342592592</v>
      </c>
      <c r="C921">
        <v>80</v>
      </c>
      <c r="D921">
        <v>79.967758179</v>
      </c>
      <c r="E921">
        <v>50</v>
      </c>
      <c r="F921">
        <v>44.562614441000001</v>
      </c>
      <c r="G921">
        <v>1339.8902588000001</v>
      </c>
      <c r="H921">
        <v>1337.3669434000001</v>
      </c>
      <c r="I921">
        <v>1326.3613281</v>
      </c>
      <c r="J921">
        <v>1324.390625</v>
      </c>
      <c r="K921">
        <v>2400</v>
      </c>
      <c r="L921">
        <v>0</v>
      </c>
      <c r="M921">
        <v>0</v>
      </c>
      <c r="N921">
        <v>2400</v>
      </c>
    </row>
    <row r="922" spans="1:14" x14ac:dyDescent="0.25">
      <c r="A922">
        <v>445.963705</v>
      </c>
      <c r="B922" s="1">
        <f>DATE(2011,7,20) + TIME(23,7,44)</f>
        <v>40744.963703703703</v>
      </c>
      <c r="C922">
        <v>80</v>
      </c>
      <c r="D922">
        <v>79.967773437999995</v>
      </c>
      <c r="E922">
        <v>50</v>
      </c>
      <c r="F922">
        <v>44.511428832999997</v>
      </c>
      <c r="G922">
        <v>1339.8837891000001</v>
      </c>
      <c r="H922">
        <v>1337.3624268000001</v>
      </c>
      <c r="I922">
        <v>1326.3475341999999</v>
      </c>
      <c r="J922">
        <v>1324.3685303</v>
      </c>
      <c r="K922">
        <v>2400</v>
      </c>
      <c r="L922">
        <v>0</v>
      </c>
      <c r="M922">
        <v>0</v>
      </c>
      <c r="N922">
        <v>2400</v>
      </c>
    </row>
    <row r="923" spans="1:14" x14ac:dyDescent="0.25">
      <c r="A923">
        <v>447.146973</v>
      </c>
      <c r="B923" s="1">
        <f>DATE(2011,7,22) + TIME(3,31,38)</f>
        <v>40746.146967592591</v>
      </c>
      <c r="C923">
        <v>80</v>
      </c>
      <c r="D923">
        <v>79.967788696</v>
      </c>
      <c r="E923">
        <v>50</v>
      </c>
      <c r="F923">
        <v>44.460605620999999</v>
      </c>
      <c r="G923">
        <v>1339.8774414</v>
      </c>
      <c r="H923">
        <v>1337.3579102000001</v>
      </c>
      <c r="I923">
        <v>1326.333374</v>
      </c>
      <c r="J923">
        <v>1324.3459473</v>
      </c>
      <c r="K923">
        <v>2400</v>
      </c>
      <c r="L923">
        <v>0</v>
      </c>
      <c r="M923">
        <v>0</v>
      </c>
      <c r="N923">
        <v>2400</v>
      </c>
    </row>
    <row r="924" spans="1:14" x14ac:dyDescent="0.25">
      <c r="A924">
        <v>448.34648800000002</v>
      </c>
      <c r="B924" s="1">
        <f>DATE(2011,7,23) + TIME(8,18,56)</f>
        <v>40747.34648148148</v>
      </c>
      <c r="C924">
        <v>80</v>
      </c>
      <c r="D924">
        <v>79.967803954999994</v>
      </c>
      <c r="E924">
        <v>50</v>
      </c>
      <c r="F924">
        <v>44.410297393999997</v>
      </c>
      <c r="G924">
        <v>1339.8709716999999</v>
      </c>
      <c r="H924">
        <v>1337.3533935999999</v>
      </c>
      <c r="I924">
        <v>1326.3188477000001</v>
      </c>
      <c r="J924">
        <v>1324.3229980000001</v>
      </c>
      <c r="K924">
        <v>2400</v>
      </c>
      <c r="L924">
        <v>0</v>
      </c>
      <c r="M924">
        <v>0</v>
      </c>
      <c r="N924">
        <v>2400</v>
      </c>
    </row>
    <row r="925" spans="1:14" x14ac:dyDescent="0.25">
      <c r="A925">
        <v>449.561286</v>
      </c>
      <c r="B925" s="1">
        <f>DATE(2011,7,24) + TIME(13,28,15)</f>
        <v>40748.561284722222</v>
      </c>
      <c r="C925">
        <v>80</v>
      </c>
      <c r="D925">
        <v>79.967819214000002</v>
      </c>
      <c r="E925">
        <v>50</v>
      </c>
      <c r="F925">
        <v>44.360668181999998</v>
      </c>
      <c r="G925">
        <v>1339.8645019999999</v>
      </c>
      <c r="H925">
        <v>1337.3487548999999</v>
      </c>
      <c r="I925">
        <v>1326.3041992000001</v>
      </c>
      <c r="J925">
        <v>1324.2994385</v>
      </c>
      <c r="K925">
        <v>2400</v>
      </c>
      <c r="L925">
        <v>0</v>
      </c>
      <c r="M925">
        <v>0</v>
      </c>
      <c r="N925">
        <v>2400</v>
      </c>
    </row>
    <row r="926" spans="1:14" x14ac:dyDescent="0.25">
      <c r="A926">
        <v>450.78264999999999</v>
      </c>
      <c r="B926" s="1">
        <f>DATE(2011,7,25) + TIME(18,47,0)</f>
        <v>40749.782638888886</v>
      </c>
      <c r="C926">
        <v>80</v>
      </c>
      <c r="D926">
        <v>79.967834472999996</v>
      </c>
      <c r="E926">
        <v>50</v>
      </c>
      <c r="F926">
        <v>44.312026977999999</v>
      </c>
      <c r="G926">
        <v>1339.8580322</v>
      </c>
      <c r="H926">
        <v>1337.3442382999999</v>
      </c>
      <c r="I926">
        <v>1326.2893065999999</v>
      </c>
      <c r="J926">
        <v>1324.2755127</v>
      </c>
      <c r="K926">
        <v>2400</v>
      </c>
      <c r="L926">
        <v>0</v>
      </c>
      <c r="M926">
        <v>0</v>
      </c>
      <c r="N926">
        <v>2400</v>
      </c>
    </row>
    <row r="927" spans="1:14" x14ac:dyDescent="0.25">
      <c r="A927">
        <v>452.01108199999999</v>
      </c>
      <c r="B927" s="1">
        <f>DATE(2011,7,27) + TIME(0,15,57)</f>
        <v>40751.011076388888</v>
      </c>
      <c r="C927">
        <v>80</v>
      </c>
      <c r="D927">
        <v>79.967857361</v>
      </c>
      <c r="E927">
        <v>50</v>
      </c>
      <c r="F927">
        <v>44.264656066999997</v>
      </c>
      <c r="G927">
        <v>1339.8516846</v>
      </c>
      <c r="H927">
        <v>1337.3395995999999</v>
      </c>
      <c r="I927">
        <v>1326.2741699000001</v>
      </c>
      <c r="J927">
        <v>1324.2513428</v>
      </c>
      <c r="K927">
        <v>2400</v>
      </c>
      <c r="L927">
        <v>0</v>
      </c>
      <c r="M927">
        <v>0</v>
      </c>
      <c r="N927">
        <v>2400</v>
      </c>
    </row>
    <row r="928" spans="1:14" x14ac:dyDescent="0.25">
      <c r="A928">
        <v>453.25057199999998</v>
      </c>
      <c r="B928" s="1">
        <f>DATE(2011,7,28) + TIME(6,0,49)</f>
        <v>40752.250567129631</v>
      </c>
      <c r="C928">
        <v>80</v>
      </c>
      <c r="D928">
        <v>79.967872619999994</v>
      </c>
      <c r="E928">
        <v>50</v>
      </c>
      <c r="F928">
        <v>44.218700409</v>
      </c>
      <c r="G928">
        <v>1339.8452147999999</v>
      </c>
      <c r="H928">
        <v>1337.3350829999999</v>
      </c>
      <c r="I928">
        <v>1326.2590332</v>
      </c>
      <c r="J928">
        <v>1324.2268065999999</v>
      </c>
      <c r="K928">
        <v>2400</v>
      </c>
      <c r="L928">
        <v>0</v>
      </c>
      <c r="M928">
        <v>0</v>
      </c>
      <c r="N928">
        <v>2400</v>
      </c>
    </row>
    <row r="929" spans="1:14" x14ac:dyDescent="0.25">
      <c r="A929">
        <v>454.504007</v>
      </c>
      <c r="B929" s="1">
        <f>DATE(2011,7,29) + TIME(12,5,46)</f>
        <v>40753.504004629627</v>
      </c>
      <c r="C929">
        <v>80</v>
      </c>
      <c r="D929">
        <v>79.967895507999998</v>
      </c>
      <c r="E929">
        <v>50</v>
      </c>
      <c r="F929">
        <v>44.174293517999999</v>
      </c>
      <c r="G929">
        <v>1339.8388672000001</v>
      </c>
      <c r="H929">
        <v>1337.3305664</v>
      </c>
      <c r="I929">
        <v>1326.2436522999999</v>
      </c>
      <c r="J929">
        <v>1324.2019043</v>
      </c>
      <c r="K929">
        <v>2400</v>
      </c>
      <c r="L929">
        <v>0</v>
      </c>
      <c r="M929">
        <v>0</v>
      </c>
      <c r="N929">
        <v>2400</v>
      </c>
    </row>
    <row r="930" spans="1:14" x14ac:dyDescent="0.25">
      <c r="A930">
        <v>455.76804900000002</v>
      </c>
      <c r="B930" s="1">
        <f>DATE(2011,7,30) + TIME(18,25,59)</f>
        <v>40754.768043981479</v>
      </c>
      <c r="C930">
        <v>80</v>
      </c>
      <c r="D930">
        <v>79.967910767000006</v>
      </c>
      <c r="E930">
        <v>50</v>
      </c>
      <c r="F930">
        <v>44.131660461000003</v>
      </c>
      <c r="G930">
        <v>1339.8323975000001</v>
      </c>
      <c r="H930">
        <v>1337.3259277</v>
      </c>
      <c r="I930">
        <v>1326.2280272999999</v>
      </c>
      <c r="J930">
        <v>1324.1766356999999</v>
      </c>
      <c r="K930">
        <v>2400</v>
      </c>
      <c r="L930">
        <v>0</v>
      </c>
      <c r="M930">
        <v>0</v>
      </c>
      <c r="N930">
        <v>2400</v>
      </c>
    </row>
    <row r="931" spans="1:14" x14ac:dyDescent="0.25">
      <c r="A931">
        <v>457</v>
      </c>
      <c r="B931" s="1">
        <f>DATE(2011,8,1) + TIME(0,0,0)</f>
        <v>40756</v>
      </c>
      <c r="C931">
        <v>80</v>
      </c>
      <c r="D931">
        <v>79.967926024999997</v>
      </c>
      <c r="E931">
        <v>50</v>
      </c>
      <c r="F931">
        <v>44.091648102000001</v>
      </c>
      <c r="G931">
        <v>1339.8260498</v>
      </c>
      <c r="H931">
        <v>1337.3214111</v>
      </c>
      <c r="I931">
        <v>1326.2124022999999</v>
      </c>
      <c r="J931">
        <v>1324.1512451000001</v>
      </c>
      <c r="K931">
        <v>2400</v>
      </c>
      <c r="L931">
        <v>0</v>
      </c>
      <c r="M931">
        <v>0</v>
      </c>
      <c r="N931">
        <v>2400</v>
      </c>
    </row>
    <row r="932" spans="1:14" x14ac:dyDescent="0.25">
      <c r="A932">
        <v>458.27677599999998</v>
      </c>
      <c r="B932" s="1">
        <f>DATE(2011,8,2) + TIME(6,38,33)</f>
        <v>40757.276770833334</v>
      </c>
      <c r="C932">
        <v>80</v>
      </c>
      <c r="D932">
        <v>79.967948914000004</v>
      </c>
      <c r="E932">
        <v>50</v>
      </c>
      <c r="F932">
        <v>44.05398941</v>
      </c>
      <c r="G932">
        <v>1339.8198242000001</v>
      </c>
      <c r="H932">
        <v>1337.3168945</v>
      </c>
      <c r="I932">
        <v>1326.1968993999999</v>
      </c>
      <c r="J932">
        <v>1324.1259766000001</v>
      </c>
      <c r="K932">
        <v>2400</v>
      </c>
      <c r="L932">
        <v>0</v>
      </c>
      <c r="M932">
        <v>0</v>
      </c>
      <c r="N932">
        <v>2400</v>
      </c>
    </row>
    <row r="933" spans="1:14" x14ac:dyDescent="0.25">
      <c r="A933">
        <v>459.58796799999999</v>
      </c>
      <c r="B933" s="1">
        <f>DATE(2011,8,3) + TIME(14,6,40)</f>
        <v>40758.587962962964</v>
      </c>
      <c r="C933">
        <v>80</v>
      </c>
      <c r="D933">
        <v>79.967971801999994</v>
      </c>
      <c r="E933">
        <v>50</v>
      </c>
      <c r="F933">
        <v>44.018547058000003</v>
      </c>
      <c r="G933">
        <v>1339.8134766000001</v>
      </c>
      <c r="H933">
        <v>1337.3123779</v>
      </c>
      <c r="I933">
        <v>1326.1811522999999</v>
      </c>
      <c r="J933">
        <v>1324.0999756000001</v>
      </c>
      <c r="K933">
        <v>2400</v>
      </c>
      <c r="L933">
        <v>0</v>
      </c>
      <c r="M933">
        <v>0</v>
      </c>
      <c r="N933">
        <v>2400</v>
      </c>
    </row>
    <row r="934" spans="1:14" x14ac:dyDescent="0.25">
      <c r="A934">
        <v>460.91956699999997</v>
      </c>
      <c r="B934" s="1">
        <f>DATE(2011,8,4) + TIME(22,4,10)</f>
        <v>40759.919560185182</v>
      </c>
      <c r="C934">
        <v>80</v>
      </c>
      <c r="D934">
        <v>79.967994689999998</v>
      </c>
      <c r="E934">
        <v>50</v>
      </c>
      <c r="F934">
        <v>43.985778809000003</v>
      </c>
      <c r="G934">
        <v>1339.8071289</v>
      </c>
      <c r="H934">
        <v>1337.3077393000001</v>
      </c>
      <c r="I934">
        <v>1326.1650391000001</v>
      </c>
      <c r="J934">
        <v>1324.0734863</v>
      </c>
      <c r="K934">
        <v>2400</v>
      </c>
      <c r="L934">
        <v>0</v>
      </c>
      <c r="M934">
        <v>0</v>
      </c>
      <c r="N934">
        <v>2400</v>
      </c>
    </row>
    <row r="935" spans="1:14" x14ac:dyDescent="0.25">
      <c r="A935">
        <v>462.26302199999998</v>
      </c>
      <c r="B935" s="1">
        <f>DATE(2011,8,6) + TIME(6,18,45)</f>
        <v>40761.263020833336</v>
      </c>
      <c r="C935">
        <v>80</v>
      </c>
      <c r="D935">
        <v>79.968009949000006</v>
      </c>
      <c r="E935">
        <v>50</v>
      </c>
      <c r="F935">
        <v>43.956329345999997</v>
      </c>
      <c r="G935">
        <v>1339.8006591999999</v>
      </c>
      <c r="H935">
        <v>1337.3029785000001</v>
      </c>
      <c r="I935">
        <v>1326.1485596</v>
      </c>
      <c r="J935">
        <v>1324.0465088000001</v>
      </c>
      <c r="K935">
        <v>2400</v>
      </c>
      <c r="L935">
        <v>0</v>
      </c>
      <c r="M935">
        <v>0</v>
      </c>
      <c r="N935">
        <v>2400</v>
      </c>
    </row>
    <row r="936" spans="1:14" x14ac:dyDescent="0.25">
      <c r="A936">
        <v>463.62233500000002</v>
      </c>
      <c r="B936" s="1">
        <f>DATE(2011,8,7) + TIME(14,56,9)</f>
        <v>40762.62232638889</v>
      </c>
      <c r="C936">
        <v>80</v>
      </c>
      <c r="D936">
        <v>79.968032836999996</v>
      </c>
      <c r="E936">
        <v>50</v>
      </c>
      <c r="F936">
        <v>43.930789947999997</v>
      </c>
      <c r="G936">
        <v>1339.7940673999999</v>
      </c>
      <c r="H936">
        <v>1337.2983397999999</v>
      </c>
      <c r="I936">
        <v>1326.1320800999999</v>
      </c>
      <c r="J936">
        <v>1324.0191649999999</v>
      </c>
      <c r="K936">
        <v>2400</v>
      </c>
      <c r="L936">
        <v>0</v>
      </c>
      <c r="M936">
        <v>0</v>
      </c>
      <c r="N936">
        <v>2400</v>
      </c>
    </row>
    <row r="937" spans="1:14" x14ac:dyDescent="0.25">
      <c r="A937">
        <v>465.00157799999999</v>
      </c>
      <c r="B937" s="1">
        <f>DATE(2011,8,9) + TIME(0,2,16)</f>
        <v>40764.001574074071</v>
      </c>
      <c r="C937">
        <v>80</v>
      </c>
      <c r="D937">
        <v>79.968055724999999</v>
      </c>
      <c r="E937">
        <v>50</v>
      </c>
      <c r="F937">
        <v>43.909698486000003</v>
      </c>
      <c r="G937">
        <v>1339.7875977000001</v>
      </c>
      <c r="H937">
        <v>1337.2935791</v>
      </c>
      <c r="I937">
        <v>1326.1153564000001</v>
      </c>
      <c r="J937">
        <v>1323.9915771000001</v>
      </c>
      <c r="K937">
        <v>2400</v>
      </c>
      <c r="L937">
        <v>0</v>
      </c>
      <c r="M937">
        <v>0</v>
      </c>
      <c r="N937">
        <v>2400</v>
      </c>
    </row>
    <row r="938" spans="1:14" x14ac:dyDescent="0.25">
      <c r="A938">
        <v>466.40513700000002</v>
      </c>
      <c r="B938" s="1">
        <f>DATE(2011,8,10) + TIME(9,43,23)</f>
        <v>40765.405127314814</v>
      </c>
      <c r="C938">
        <v>80</v>
      </c>
      <c r="D938">
        <v>79.968078613000003</v>
      </c>
      <c r="E938">
        <v>50</v>
      </c>
      <c r="F938">
        <v>43.893672942999999</v>
      </c>
      <c r="G938">
        <v>1339.7811279</v>
      </c>
      <c r="H938">
        <v>1337.2888184000001</v>
      </c>
      <c r="I938">
        <v>1326.0986327999999</v>
      </c>
      <c r="J938">
        <v>1323.9636230000001</v>
      </c>
      <c r="K938">
        <v>2400</v>
      </c>
      <c r="L938">
        <v>0</v>
      </c>
      <c r="M938">
        <v>0</v>
      </c>
      <c r="N938">
        <v>2400</v>
      </c>
    </row>
    <row r="939" spans="1:14" x14ac:dyDescent="0.25">
      <c r="A939">
        <v>467.82041900000002</v>
      </c>
      <c r="B939" s="1">
        <f>DATE(2011,8,11) + TIME(19,41,24)</f>
        <v>40766.820416666669</v>
      </c>
      <c r="C939">
        <v>80</v>
      </c>
      <c r="D939">
        <v>79.968101501000007</v>
      </c>
      <c r="E939">
        <v>50</v>
      </c>
      <c r="F939">
        <v>43.883483886999997</v>
      </c>
      <c r="G939">
        <v>1339.7745361</v>
      </c>
      <c r="H939">
        <v>1337.2840576000001</v>
      </c>
      <c r="I939">
        <v>1326.0816649999999</v>
      </c>
      <c r="J939">
        <v>1323.9353027</v>
      </c>
      <c r="K939">
        <v>2400</v>
      </c>
      <c r="L939">
        <v>0</v>
      </c>
      <c r="M939">
        <v>0</v>
      </c>
      <c r="N939">
        <v>2400</v>
      </c>
    </row>
    <row r="940" spans="1:14" x14ac:dyDescent="0.25">
      <c r="A940">
        <v>469.24535400000002</v>
      </c>
      <c r="B940" s="1">
        <f>DATE(2011,8,13) + TIME(5,53,18)</f>
        <v>40768.245347222219</v>
      </c>
      <c r="C940">
        <v>80</v>
      </c>
      <c r="D940">
        <v>79.968132018999995</v>
      </c>
      <c r="E940">
        <v>50</v>
      </c>
      <c r="F940">
        <v>43.879932404000002</v>
      </c>
      <c r="G940">
        <v>1339.7679443</v>
      </c>
      <c r="H940">
        <v>1337.2791748</v>
      </c>
      <c r="I940">
        <v>1326.0645752</v>
      </c>
      <c r="J940">
        <v>1323.9067382999999</v>
      </c>
      <c r="K940">
        <v>2400</v>
      </c>
      <c r="L940">
        <v>0</v>
      </c>
      <c r="M940">
        <v>0</v>
      </c>
      <c r="N940">
        <v>2400</v>
      </c>
    </row>
    <row r="941" spans="1:14" x14ac:dyDescent="0.25">
      <c r="A941">
        <v>470.67934200000002</v>
      </c>
      <c r="B941" s="1">
        <f>DATE(2011,8,14) + TIME(16,18,15)</f>
        <v>40769.679340277777</v>
      </c>
      <c r="C941">
        <v>80</v>
      </c>
      <c r="D941">
        <v>79.968154906999999</v>
      </c>
      <c r="E941">
        <v>50</v>
      </c>
      <c r="F941">
        <v>43.883819580000001</v>
      </c>
      <c r="G941">
        <v>1339.7613524999999</v>
      </c>
      <c r="H941">
        <v>1337.2742920000001</v>
      </c>
      <c r="I941">
        <v>1326.0474853999999</v>
      </c>
      <c r="J941">
        <v>1323.8781738</v>
      </c>
      <c r="K941">
        <v>2400</v>
      </c>
      <c r="L941">
        <v>0</v>
      </c>
      <c r="M941">
        <v>0</v>
      </c>
      <c r="N941">
        <v>2400</v>
      </c>
    </row>
    <row r="942" spans="1:14" x14ac:dyDescent="0.25">
      <c r="A942">
        <v>472.12669799999998</v>
      </c>
      <c r="B942" s="1">
        <f>DATE(2011,8,16) + TIME(3,2,26)</f>
        <v>40771.126689814817</v>
      </c>
      <c r="C942">
        <v>80</v>
      </c>
      <c r="D942">
        <v>79.968177795000003</v>
      </c>
      <c r="E942">
        <v>50</v>
      </c>
      <c r="F942">
        <v>43.896003723</v>
      </c>
      <c r="G942">
        <v>1339.7548827999999</v>
      </c>
      <c r="H942">
        <v>1337.2695312000001</v>
      </c>
      <c r="I942">
        <v>1326.0305175999999</v>
      </c>
      <c r="J942">
        <v>1323.8496094</v>
      </c>
      <c r="K942">
        <v>2400</v>
      </c>
      <c r="L942">
        <v>0</v>
      </c>
      <c r="M942">
        <v>0</v>
      </c>
      <c r="N942">
        <v>2400</v>
      </c>
    </row>
    <row r="943" spans="1:14" x14ac:dyDescent="0.25">
      <c r="A943">
        <v>473.59154799999999</v>
      </c>
      <c r="B943" s="1">
        <f>DATE(2011,8,17) + TIME(14,11,49)</f>
        <v>40772.591539351852</v>
      </c>
      <c r="C943">
        <v>80</v>
      </c>
      <c r="D943">
        <v>79.968200683999996</v>
      </c>
      <c r="E943">
        <v>50</v>
      </c>
      <c r="F943">
        <v>43.917423247999999</v>
      </c>
      <c r="G943">
        <v>1339.7482910000001</v>
      </c>
      <c r="H943">
        <v>1337.2646483999999</v>
      </c>
      <c r="I943">
        <v>1326.0135498</v>
      </c>
      <c r="J943">
        <v>1323.8210449000001</v>
      </c>
      <c r="K943">
        <v>2400</v>
      </c>
      <c r="L943">
        <v>0</v>
      </c>
      <c r="M943">
        <v>0</v>
      </c>
      <c r="N943">
        <v>2400</v>
      </c>
    </row>
    <row r="944" spans="1:14" x14ac:dyDescent="0.25">
      <c r="A944">
        <v>475.070401</v>
      </c>
      <c r="B944" s="1">
        <f>DATE(2011,8,19) + TIME(1,41,22)</f>
        <v>40774.070393518516</v>
      </c>
      <c r="C944">
        <v>80</v>
      </c>
      <c r="D944">
        <v>79.968231200999995</v>
      </c>
      <c r="E944">
        <v>50</v>
      </c>
      <c r="F944">
        <v>43.949089049999998</v>
      </c>
      <c r="G944">
        <v>1339.7416992000001</v>
      </c>
      <c r="H944">
        <v>1337.2597656</v>
      </c>
      <c r="I944">
        <v>1325.996582</v>
      </c>
      <c r="J944">
        <v>1323.7924805</v>
      </c>
      <c r="K944">
        <v>2400</v>
      </c>
      <c r="L944">
        <v>0</v>
      </c>
      <c r="M944">
        <v>0</v>
      </c>
      <c r="N944">
        <v>2400</v>
      </c>
    </row>
    <row r="945" spans="1:14" x14ac:dyDescent="0.25">
      <c r="A945">
        <v>476.56339700000001</v>
      </c>
      <c r="B945" s="1">
        <f>DATE(2011,8,20) + TIME(13,31,17)</f>
        <v>40775.563391203701</v>
      </c>
      <c r="C945">
        <v>80</v>
      </c>
      <c r="D945">
        <v>79.968254088999998</v>
      </c>
      <c r="E945">
        <v>50</v>
      </c>
      <c r="F945">
        <v>43.992023467999999</v>
      </c>
      <c r="G945">
        <v>1339.7351074000001</v>
      </c>
      <c r="H945">
        <v>1337.2548827999999</v>
      </c>
      <c r="I945">
        <v>1325.9796143000001</v>
      </c>
      <c r="J945">
        <v>1323.7640381000001</v>
      </c>
      <c r="K945">
        <v>2400</v>
      </c>
      <c r="L945">
        <v>0</v>
      </c>
      <c r="M945">
        <v>0</v>
      </c>
      <c r="N945">
        <v>2400</v>
      </c>
    </row>
    <row r="946" spans="1:14" x14ac:dyDescent="0.25">
      <c r="A946">
        <v>478.07511199999999</v>
      </c>
      <c r="B946" s="1">
        <f>DATE(2011,8,22) + TIME(1,48,9)</f>
        <v>40777.075104166666</v>
      </c>
      <c r="C946">
        <v>80</v>
      </c>
      <c r="D946">
        <v>79.968284607000001</v>
      </c>
      <c r="E946">
        <v>50</v>
      </c>
      <c r="F946">
        <v>44.047363281000003</v>
      </c>
      <c r="G946">
        <v>1339.7285156</v>
      </c>
      <c r="H946">
        <v>1337.2498779</v>
      </c>
      <c r="I946">
        <v>1325.9627685999999</v>
      </c>
      <c r="J946">
        <v>1323.7357178</v>
      </c>
      <c r="K946">
        <v>2400</v>
      </c>
      <c r="L946">
        <v>0</v>
      </c>
      <c r="M946">
        <v>0</v>
      </c>
      <c r="N946">
        <v>2400</v>
      </c>
    </row>
    <row r="947" spans="1:14" x14ac:dyDescent="0.25">
      <c r="A947">
        <v>479.61042800000001</v>
      </c>
      <c r="B947" s="1">
        <f>DATE(2011,8,23) + TIME(14,39,0)</f>
        <v>40778.61041666667</v>
      </c>
      <c r="C947">
        <v>80</v>
      </c>
      <c r="D947">
        <v>79.968307495000005</v>
      </c>
      <c r="E947">
        <v>50</v>
      </c>
      <c r="F947">
        <v>44.116405487000002</v>
      </c>
      <c r="G947">
        <v>1339.7219238</v>
      </c>
      <c r="H947">
        <v>1337.2448730000001</v>
      </c>
      <c r="I947">
        <v>1325.9459228999999</v>
      </c>
      <c r="J947">
        <v>1323.7075195</v>
      </c>
      <c r="K947">
        <v>2400</v>
      </c>
      <c r="L947">
        <v>0</v>
      </c>
      <c r="M947">
        <v>0</v>
      </c>
      <c r="N947">
        <v>2400</v>
      </c>
    </row>
    <row r="948" spans="1:14" x14ac:dyDescent="0.25">
      <c r="A948">
        <v>481.17433399999999</v>
      </c>
      <c r="B948" s="1">
        <f>DATE(2011,8,25) + TIME(4,11,2)</f>
        <v>40780.174328703702</v>
      </c>
      <c r="C948">
        <v>80</v>
      </c>
      <c r="D948">
        <v>79.968338012999993</v>
      </c>
      <c r="E948">
        <v>50</v>
      </c>
      <c r="F948">
        <v>44.200649261000002</v>
      </c>
      <c r="G948">
        <v>1339.715332</v>
      </c>
      <c r="H948">
        <v>1337.2398682</v>
      </c>
      <c r="I948">
        <v>1325.9291992000001</v>
      </c>
      <c r="J948">
        <v>1323.6794434000001</v>
      </c>
      <c r="K948">
        <v>2400</v>
      </c>
      <c r="L948">
        <v>0</v>
      </c>
      <c r="M948">
        <v>0</v>
      </c>
      <c r="N948">
        <v>2400</v>
      </c>
    </row>
    <row r="949" spans="1:14" x14ac:dyDescent="0.25">
      <c r="A949">
        <v>482.74743999999998</v>
      </c>
      <c r="B949" s="1">
        <f>DATE(2011,8,26) + TIME(17,56,18)</f>
        <v>40781.747430555559</v>
      </c>
      <c r="C949">
        <v>80</v>
      </c>
      <c r="D949">
        <v>79.968368530000006</v>
      </c>
      <c r="E949">
        <v>50</v>
      </c>
      <c r="F949">
        <v>44.301280974999997</v>
      </c>
      <c r="G949">
        <v>1339.7086182</v>
      </c>
      <c r="H949">
        <v>1337.2347411999999</v>
      </c>
      <c r="I949">
        <v>1325.9125977000001</v>
      </c>
      <c r="J949">
        <v>1323.6514893000001</v>
      </c>
      <c r="K949">
        <v>2400</v>
      </c>
      <c r="L949">
        <v>0</v>
      </c>
      <c r="M949">
        <v>0</v>
      </c>
      <c r="N949">
        <v>2400</v>
      </c>
    </row>
    <row r="950" spans="1:14" x14ac:dyDescent="0.25">
      <c r="A950">
        <v>484.33443999999997</v>
      </c>
      <c r="B950" s="1">
        <f>DATE(2011,8,28) + TIME(8,1,35)</f>
        <v>40783.334432870368</v>
      </c>
      <c r="C950">
        <v>80</v>
      </c>
      <c r="D950">
        <v>79.968399047999995</v>
      </c>
      <c r="E950">
        <v>50</v>
      </c>
      <c r="F950">
        <v>44.419029236</v>
      </c>
      <c r="G950">
        <v>1339.7019043</v>
      </c>
      <c r="H950">
        <v>1337.2297363</v>
      </c>
      <c r="I950">
        <v>1325.8959961</v>
      </c>
      <c r="J950">
        <v>1323.6240233999999</v>
      </c>
      <c r="K950">
        <v>2400</v>
      </c>
      <c r="L950">
        <v>0</v>
      </c>
      <c r="M950">
        <v>0</v>
      </c>
      <c r="N950">
        <v>2400</v>
      </c>
    </row>
    <row r="951" spans="1:14" x14ac:dyDescent="0.25">
      <c r="A951">
        <v>485.94234599999999</v>
      </c>
      <c r="B951" s="1">
        <f>DATE(2011,8,29) + TIME(22,36,58)</f>
        <v>40784.942337962966</v>
      </c>
      <c r="C951">
        <v>80</v>
      </c>
      <c r="D951">
        <v>79.968429564999994</v>
      </c>
      <c r="E951">
        <v>50</v>
      </c>
      <c r="F951">
        <v>44.555057525999999</v>
      </c>
      <c r="G951">
        <v>1339.6951904</v>
      </c>
      <c r="H951">
        <v>1337.2246094</v>
      </c>
      <c r="I951">
        <v>1325.8797606999999</v>
      </c>
      <c r="J951">
        <v>1323.5970459</v>
      </c>
      <c r="K951">
        <v>2400</v>
      </c>
      <c r="L951">
        <v>0</v>
      </c>
      <c r="M951">
        <v>0</v>
      </c>
      <c r="N951">
        <v>2400</v>
      </c>
    </row>
    <row r="952" spans="1:14" x14ac:dyDescent="0.25">
      <c r="A952">
        <v>487.56342699999999</v>
      </c>
      <c r="B952" s="1">
        <f>DATE(2011,8,31) + TIME(13,31,20)</f>
        <v>40786.563425925924</v>
      </c>
      <c r="C952">
        <v>80</v>
      </c>
      <c r="D952">
        <v>79.968460082999997</v>
      </c>
      <c r="E952">
        <v>50</v>
      </c>
      <c r="F952">
        <v>44.710384369000003</v>
      </c>
      <c r="G952">
        <v>1339.6883545000001</v>
      </c>
      <c r="H952">
        <v>1337.2193603999999</v>
      </c>
      <c r="I952">
        <v>1325.8636475000001</v>
      </c>
      <c r="J952">
        <v>1323.5706786999999</v>
      </c>
      <c r="K952">
        <v>2400</v>
      </c>
      <c r="L952">
        <v>0</v>
      </c>
      <c r="M952">
        <v>0</v>
      </c>
      <c r="N952">
        <v>2400</v>
      </c>
    </row>
    <row r="953" spans="1:14" x14ac:dyDescent="0.25">
      <c r="A953">
        <v>488</v>
      </c>
      <c r="B953" s="1">
        <f>DATE(2011,9,1) + TIME(0,0,0)</f>
        <v>40787</v>
      </c>
      <c r="C953">
        <v>80</v>
      </c>
      <c r="D953">
        <v>79.968452454000001</v>
      </c>
      <c r="E953">
        <v>50</v>
      </c>
      <c r="F953">
        <v>44.805271148999999</v>
      </c>
      <c r="G953">
        <v>1339.6828613</v>
      </c>
      <c r="H953">
        <v>1337.215332</v>
      </c>
      <c r="I953">
        <v>1325.8524170000001</v>
      </c>
      <c r="J953">
        <v>1323.5484618999999</v>
      </c>
      <c r="K953">
        <v>2400</v>
      </c>
      <c r="L953">
        <v>0</v>
      </c>
      <c r="M953">
        <v>0</v>
      </c>
      <c r="N953">
        <v>2400</v>
      </c>
    </row>
    <row r="954" spans="1:14" x14ac:dyDescent="0.25">
      <c r="A954">
        <v>489.63650100000001</v>
      </c>
      <c r="B954" s="1">
        <f>DATE(2011,9,2) + TIME(15,16,33)</f>
        <v>40788.636493055557</v>
      </c>
      <c r="C954">
        <v>80</v>
      </c>
      <c r="D954">
        <v>79.968498229999994</v>
      </c>
      <c r="E954">
        <v>50</v>
      </c>
      <c r="F954">
        <v>44.952316283999998</v>
      </c>
      <c r="G954">
        <v>1339.6795654</v>
      </c>
      <c r="H954">
        <v>1337.2124022999999</v>
      </c>
      <c r="I954">
        <v>1325.8411865</v>
      </c>
      <c r="J954">
        <v>1323.5352783000001</v>
      </c>
      <c r="K954">
        <v>2400</v>
      </c>
      <c r="L954">
        <v>0</v>
      </c>
      <c r="M954">
        <v>0</v>
      </c>
      <c r="N954">
        <v>2400</v>
      </c>
    </row>
    <row r="955" spans="1:14" x14ac:dyDescent="0.25">
      <c r="A955">
        <v>491.291403</v>
      </c>
      <c r="B955" s="1">
        <f>DATE(2011,9,4) + TIME(6,59,37)</f>
        <v>40790.291400462964</v>
      </c>
      <c r="C955">
        <v>80</v>
      </c>
      <c r="D955">
        <v>79.968528747999997</v>
      </c>
      <c r="E955">
        <v>50</v>
      </c>
      <c r="F955">
        <v>45.142696381</v>
      </c>
      <c r="G955">
        <v>1339.6730957</v>
      </c>
      <c r="H955">
        <v>1337.2075195</v>
      </c>
      <c r="I955">
        <v>1325.8272704999999</v>
      </c>
      <c r="J955">
        <v>1323.5123291</v>
      </c>
      <c r="K955">
        <v>2400</v>
      </c>
      <c r="L955">
        <v>0</v>
      </c>
      <c r="M955">
        <v>0</v>
      </c>
      <c r="N955">
        <v>2400</v>
      </c>
    </row>
    <row r="956" spans="1:14" x14ac:dyDescent="0.25">
      <c r="A956">
        <v>492.966025</v>
      </c>
      <c r="B956" s="1">
        <f>DATE(2011,9,5) + TIME(23,11,4)</f>
        <v>40791.96601851852</v>
      </c>
      <c r="C956">
        <v>80</v>
      </c>
      <c r="D956">
        <v>79.968559264999996</v>
      </c>
      <c r="E956">
        <v>50</v>
      </c>
      <c r="F956">
        <v>45.361099242999998</v>
      </c>
      <c r="G956">
        <v>1339.6663818</v>
      </c>
      <c r="H956">
        <v>1337.2022704999999</v>
      </c>
      <c r="I956">
        <v>1325.8126221</v>
      </c>
      <c r="J956">
        <v>1323.4890137</v>
      </c>
      <c r="K956">
        <v>2400</v>
      </c>
      <c r="L956">
        <v>0</v>
      </c>
      <c r="M956">
        <v>0</v>
      </c>
      <c r="N956">
        <v>2400</v>
      </c>
    </row>
    <row r="957" spans="1:14" x14ac:dyDescent="0.25">
      <c r="A957">
        <v>494.66615300000001</v>
      </c>
      <c r="B957" s="1">
        <f>DATE(2011,9,7) + TIME(15,59,15)</f>
        <v>40793.666145833333</v>
      </c>
      <c r="C957">
        <v>80</v>
      </c>
      <c r="D957">
        <v>79.968589782999999</v>
      </c>
      <c r="E957">
        <v>50</v>
      </c>
      <c r="F957">
        <v>45.603080749999997</v>
      </c>
      <c r="G957">
        <v>1339.6595459</v>
      </c>
      <c r="H957">
        <v>1337.1970214999999</v>
      </c>
      <c r="I957">
        <v>1325.7979736</v>
      </c>
      <c r="J957">
        <v>1323.4660644999999</v>
      </c>
      <c r="K957">
        <v>2400</v>
      </c>
      <c r="L957">
        <v>0</v>
      </c>
      <c r="M957">
        <v>0</v>
      </c>
      <c r="N957">
        <v>2400</v>
      </c>
    </row>
    <row r="958" spans="1:14" x14ac:dyDescent="0.25">
      <c r="A958">
        <v>496.39533699999998</v>
      </c>
      <c r="B958" s="1">
        <f>DATE(2011,9,9) + TIME(9,29,17)</f>
        <v>40795.395335648151</v>
      </c>
      <c r="C958">
        <v>80</v>
      </c>
      <c r="D958">
        <v>79.968627929999997</v>
      </c>
      <c r="E958">
        <v>50</v>
      </c>
      <c r="F958">
        <v>45.867568970000001</v>
      </c>
      <c r="G958">
        <v>1339.6527100000001</v>
      </c>
      <c r="H958">
        <v>1337.1917725000001</v>
      </c>
      <c r="I958">
        <v>1325.7835693</v>
      </c>
      <c r="J958">
        <v>1323.4438477000001</v>
      </c>
      <c r="K958">
        <v>2400</v>
      </c>
      <c r="L958">
        <v>0</v>
      </c>
      <c r="M958">
        <v>0</v>
      </c>
      <c r="N958">
        <v>2400</v>
      </c>
    </row>
    <row r="959" spans="1:14" x14ac:dyDescent="0.25">
      <c r="A959">
        <v>498.14434299999999</v>
      </c>
      <c r="B959" s="1">
        <f>DATE(2011,9,11) + TIME(3,27,51)</f>
        <v>40797.14434027778</v>
      </c>
      <c r="C959">
        <v>80</v>
      </c>
      <c r="D959">
        <v>79.968658446999996</v>
      </c>
      <c r="E959">
        <v>50</v>
      </c>
      <c r="F959">
        <v>46.153606414999999</v>
      </c>
      <c r="G959">
        <v>1339.645874</v>
      </c>
      <c r="H959">
        <v>1337.1864014</v>
      </c>
      <c r="I959">
        <v>1325.7694091999999</v>
      </c>
      <c r="J959">
        <v>1323.4224853999999</v>
      </c>
      <c r="K959">
        <v>2400</v>
      </c>
      <c r="L959">
        <v>0</v>
      </c>
      <c r="M959">
        <v>0</v>
      </c>
      <c r="N959">
        <v>2400</v>
      </c>
    </row>
    <row r="960" spans="1:14" x14ac:dyDescent="0.25">
      <c r="A960">
        <v>499.91888499999999</v>
      </c>
      <c r="B960" s="1">
        <f>DATE(2011,9,12) + TIME(22,3,11)</f>
        <v>40798.918877314813</v>
      </c>
      <c r="C960">
        <v>80</v>
      </c>
      <c r="D960">
        <v>79.968696593999994</v>
      </c>
      <c r="E960">
        <v>50</v>
      </c>
      <c r="F960">
        <v>46.459800719999997</v>
      </c>
      <c r="G960">
        <v>1339.6389160000001</v>
      </c>
      <c r="H960">
        <v>1337.1809082</v>
      </c>
      <c r="I960">
        <v>1325.7556152</v>
      </c>
      <c r="J960">
        <v>1323.4020995999999</v>
      </c>
      <c r="K960">
        <v>2400</v>
      </c>
      <c r="L960">
        <v>0</v>
      </c>
      <c r="M960">
        <v>0</v>
      </c>
      <c r="N960">
        <v>2400</v>
      </c>
    </row>
    <row r="961" spans="1:14" x14ac:dyDescent="0.25">
      <c r="A961">
        <v>500.81021800000002</v>
      </c>
      <c r="B961" s="1">
        <f>DATE(2011,9,13) + TIME(19,26,42)</f>
        <v>40799.810208333336</v>
      </c>
      <c r="C961">
        <v>80</v>
      </c>
      <c r="D961">
        <v>79.968704224000007</v>
      </c>
      <c r="E961">
        <v>50</v>
      </c>
      <c r="F961">
        <v>46.713844299000002</v>
      </c>
      <c r="G961">
        <v>1339.6325684000001</v>
      </c>
      <c r="H961">
        <v>1337.1760254000001</v>
      </c>
      <c r="I961">
        <v>1325.7452393000001</v>
      </c>
      <c r="J961">
        <v>1323.3845214999999</v>
      </c>
      <c r="K961">
        <v>2400</v>
      </c>
      <c r="L961">
        <v>0</v>
      </c>
      <c r="M961">
        <v>0</v>
      </c>
      <c r="N961">
        <v>2400</v>
      </c>
    </row>
    <row r="962" spans="1:14" x14ac:dyDescent="0.25">
      <c r="A962">
        <v>501.70155</v>
      </c>
      <c r="B962" s="1">
        <f>DATE(2011,9,14) + TIME(16,50,13)</f>
        <v>40800.701539351852</v>
      </c>
      <c r="C962">
        <v>80</v>
      </c>
      <c r="D962">
        <v>79.968719481999997</v>
      </c>
      <c r="E962">
        <v>50</v>
      </c>
      <c r="F962">
        <v>46.921939850000001</v>
      </c>
      <c r="G962">
        <v>1339.6286620999999</v>
      </c>
      <c r="H962">
        <v>1337.1728516000001</v>
      </c>
      <c r="I962">
        <v>1325.7363281</v>
      </c>
      <c r="J962">
        <v>1323.3734131000001</v>
      </c>
      <c r="K962">
        <v>2400</v>
      </c>
      <c r="L962">
        <v>0</v>
      </c>
      <c r="M962">
        <v>0</v>
      </c>
      <c r="N962">
        <v>2400</v>
      </c>
    </row>
    <row r="963" spans="1:14" x14ac:dyDescent="0.25">
      <c r="A963">
        <v>502.59288299999997</v>
      </c>
      <c r="B963" s="1">
        <f>DATE(2011,9,15) + TIME(14,13,45)</f>
        <v>40801.592881944445</v>
      </c>
      <c r="C963">
        <v>80</v>
      </c>
      <c r="D963">
        <v>79.968734741000006</v>
      </c>
      <c r="E963">
        <v>50</v>
      </c>
      <c r="F963">
        <v>47.111415862999998</v>
      </c>
      <c r="G963">
        <v>1339.6251221</v>
      </c>
      <c r="H963">
        <v>1337.1699219</v>
      </c>
      <c r="I963">
        <v>1325.7288818</v>
      </c>
      <c r="J963">
        <v>1323.3636475000001</v>
      </c>
      <c r="K963">
        <v>2400</v>
      </c>
      <c r="L963">
        <v>0</v>
      </c>
      <c r="M963">
        <v>0</v>
      </c>
      <c r="N963">
        <v>2400</v>
      </c>
    </row>
    <row r="964" spans="1:14" x14ac:dyDescent="0.25">
      <c r="A964">
        <v>504.37554899999998</v>
      </c>
      <c r="B964" s="1">
        <f>DATE(2011,9,17) + TIME(9,0,47)</f>
        <v>40803.375543981485</v>
      </c>
      <c r="C964">
        <v>80</v>
      </c>
      <c r="D964">
        <v>79.968780518000003</v>
      </c>
      <c r="E964">
        <v>50</v>
      </c>
      <c r="F964">
        <v>47.344387054000002</v>
      </c>
      <c r="G964">
        <v>1339.6213379000001</v>
      </c>
      <c r="H964">
        <v>1337.1668701000001</v>
      </c>
      <c r="I964">
        <v>1325.7199707</v>
      </c>
      <c r="J964">
        <v>1323.3535156</v>
      </c>
      <c r="K964">
        <v>2400</v>
      </c>
      <c r="L964">
        <v>0</v>
      </c>
      <c r="M964">
        <v>0</v>
      </c>
      <c r="N964">
        <v>2400</v>
      </c>
    </row>
    <row r="965" spans="1:14" x14ac:dyDescent="0.25">
      <c r="A965">
        <v>506.15898299999998</v>
      </c>
      <c r="B965" s="1">
        <f>DATE(2011,9,19) + TIME(3,48,56)</f>
        <v>40805.15898148148</v>
      </c>
      <c r="C965">
        <v>80</v>
      </c>
      <c r="D965">
        <v>79.968818665000001</v>
      </c>
      <c r="E965">
        <v>50</v>
      </c>
      <c r="F965">
        <v>47.668334960999999</v>
      </c>
      <c r="G965">
        <v>1339.6148682</v>
      </c>
      <c r="H965">
        <v>1337.1618652</v>
      </c>
      <c r="I965">
        <v>1325.7103271000001</v>
      </c>
      <c r="J965">
        <v>1323.3392334</v>
      </c>
      <c r="K965">
        <v>2400</v>
      </c>
      <c r="L965">
        <v>0</v>
      </c>
      <c r="M965">
        <v>0</v>
      </c>
      <c r="N965">
        <v>2400</v>
      </c>
    </row>
    <row r="966" spans="1:14" x14ac:dyDescent="0.25">
      <c r="A966">
        <v>507.96096899999998</v>
      </c>
      <c r="B966" s="1">
        <f>DATE(2011,9,20) + TIME(23,3,47)</f>
        <v>40806.960960648146</v>
      </c>
      <c r="C966">
        <v>80</v>
      </c>
      <c r="D966">
        <v>79.968856811999999</v>
      </c>
      <c r="E966">
        <v>50</v>
      </c>
      <c r="F966">
        <v>48.023647308000001</v>
      </c>
      <c r="G966">
        <v>1339.6081543</v>
      </c>
      <c r="H966">
        <v>1337.1566161999999</v>
      </c>
      <c r="I966">
        <v>1325.6999512</v>
      </c>
      <c r="J966">
        <v>1323.3249512</v>
      </c>
      <c r="K966">
        <v>2400</v>
      </c>
      <c r="L966">
        <v>0</v>
      </c>
      <c r="M966">
        <v>0</v>
      </c>
      <c r="N966">
        <v>2400</v>
      </c>
    </row>
    <row r="967" spans="1:14" x14ac:dyDescent="0.25">
      <c r="A967">
        <v>509.78904499999999</v>
      </c>
      <c r="B967" s="1">
        <f>DATE(2011,9,22) + TIME(18,56,13)</f>
        <v>40808.789039351854</v>
      </c>
      <c r="C967">
        <v>80</v>
      </c>
      <c r="D967">
        <v>79.968887328999998</v>
      </c>
      <c r="E967">
        <v>50</v>
      </c>
      <c r="F967">
        <v>48.394298552999999</v>
      </c>
      <c r="G967">
        <v>1339.6014404</v>
      </c>
      <c r="H967">
        <v>1337.1513672000001</v>
      </c>
      <c r="I967">
        <v>1325.6894531</v>
      </c>
      <c r="J967">
        <v>1323.3114014</v>
      </c>
      <c r="K967">
        <v>2400</v>
      </c>
      <c r="L967">
        <v>0</v>
      </c>
      <c r="M967">
        <v>0</v>
      </c>
      <c r="N967">
        <v>2400</v>
      </c>
    </row>
    <row r="968" spans="1:14" x14ac:dyDescent="0.25">
      <c r="A968">
        <v>511.65628800000002</v>
      </c>
      <c r="B968" s="1">
        <f>DATE(2011,9,24) + TIME(15,45,3)</f>
        <v>40810.656284722223</v>
      </c>
      <c r="C968">
        <v>80</v>
      </c>
      <c r="D968">
        <v>79.968925475999995</v>
      </c>
      <c r="E968">
        <v>50</v>
      </c>
      <c r="F968">
        <v>48.775821686</v>
      </c>
      <c r="G968">
        <v>1339.5947266000001</v>
      </c>
      <c r="H968">
        <v>1337.1459961</v>
      </c>
      <c r="I968">
        <v>1325.6794434000001</v>
      </c>
      <c r="J968">
        <v>1323.2988281</v>
      </c>
      <c r="K968">
        <v>2400</v>
      </c>
      <c r="L968">
        <v>0</v>
      </c>
      <c r="M968">
        <v>0</v>
      </c>
      <c r="N968">
        <v>2400</v>
      </c>
    </row>
    <row r="969" spans="1:14" x14ac:dyDescent="0.25">
      <c r="A969">
        <v>513.56961699999999</v>
      </c>
      <c r="B969" s="1">
        <f>DATE(2011,9,26) + TIME(13,40,14)</f>
        <v>40812.569606481484</v>
      </c>
      <c r="C969">
        <v>80</v>
      </c>
      <c r="D969">
        <v>79.968963622999993</v>
      </c>
      <c r="E969">
        <v>50</v>
      </c>
      <c r="F969">
        <v>49.167133331000002</v>
      </c>
      <c r="G969">
        <v>1339.5878906</v>
      </c>
      <c r="H969">
        <v>1337.140625</v>
      </c>
      <c r="I969">
        <v>1325.6697998</v>
      </c>
      <c r="J969">
        <v>1323.2871094</v>
      </c>
      <c r="K969">
        <v>2400</v>
      </c>
      <c r="L969">
        <v>0</v>
      </c>
      <c r="M969">
        <v>0</v>
      </c>
      <c r="N969">
        <v>2400</v>
      </c>
    </row>
    <row r="970" spans="1:14" x14ac:dyDescent="0.25">
      <c r="A970">
        <v>515.51486599999998</v>
      </c>
      <c r="B970" s="1">
        <f>DATE(2011,9,28) + TIME(12,21,24)</f>
        <v>40814.514861111114</v>
      </c>
      <c r="C970">
        <v>80</v>
      </c>
      <c r="D970">
        <v>79.969001770000006</v>
      </c>
      <c r="E970">
        <v>50</v>
      </c>
      <c r="F970">
        <v>49.566539763999998</v>
      </c>
      <c r="G970">
        <v>1339.5810547000001</v>
      </c>
      <c r="H970">
        <v>1337.1351318</v>
      </c>
      <c r="I970">
        <v>1325.6607666</v>
      </c>
      <c r="J970">
        <v>1323.2763672000001</v>
      </c>
      <c r="K970">
        <v>2400</v>
      </c>
      <c r="L970">
        <v>0</v>
      </c>
      <c r="M970">
        <v>0</v>
      </c>
      <c r="N970">
        <v>2400</v>
      </c>
    </row>
    <row r="971" spans="1:14" x14ac:dyDescent="0.25">
      <c r="A971">
        <v>517.49017900000001</v>
      </c>
      <c r="B971" s="1">
        <f>DATE(2011,9,30) + TIME(11,45,51)</f>
        <v>40816.490173611113</v>
      </c>
      <c r="C971">
        <v>80</v>
      </c>
      <c r="D971">
        <v>79.969039917000003</v>
      </c>
      <c r="E971">
        <v>50</v>
      </c>
      <c r="F971">
        <v>49.970596313000001</v>
      </c>
      <c r="G971">
        <v>1339.5740966999999</v>
      </c>
      <c r="H971">
        <v>1337.1297606999999</v>
      </c>
      <c r="I971">
        <v>1325.6522216999999</v>
      </c>
      <c r="J971">
        <v>1323.2666016000001</v>
      </c>
      <c r="K971">
        <v>2400</v>
      </c>
      <c r="L971">
        <v>0</v>
      </c>
      <c r="M971">
        <v>0</v>
      </c>
      <c r="N971">
        <v>2400</v>
      </c>
    </row>
    <row r="972" spans="1:14" x14ac:dyDescent="0.25">
      <c r="A972">
        <v>518</v>
      </c>
      <c r="B972" s="1">
        <f>DATE(2011,10,1) + TIME(0,0,0)</f>
        <v>40817</v>
      </c>
      <c r="C972">
        <v>80</v>
      </c>
      <c r="D972">
        <v>79.969039917000003</v>
      </c>
      <c r="E972">
        <v>50</v>
      </c>
      <c r="F972">
        <v>50.208427428999997</v>
      </c>
      <c r="G972">
        <v>1339.5684814000001</v>
      </c>
      <c r="H972">
        <v>1337.1254882999999</v>
      </c>
      <c r="I972">
        <v>1325.6503906</v>
      </c>
      <c r="J972">
        <v>1323.2602539</v>
      </c>
      <c r="K972">
        <v>2400</v>
      </c>
      <c r="L972">
        <v>0</v>
      </c>
      <c r="M972">
        <v>0</v>
      </c>
      <c r="N972">
        <v>2400</v>
      </c>
    </row>
    <row r="973" spans="1:14" x14ac:dyDescent="0.25">
      <c r="A973">
        <v>519.99180999999999</v>
      </c>
      <c r="B973" s="1">
        <f>DATE(2011,10,2) + TIME(23,48,12)</f>
        <v>40818.991805555554</v>
      </c>
      <c r="C973">
        <v>80</v>
      </c>
      <c r="D973">
        <v>79.969093322999996</v>
      </c>
      <c r="E973">
        <v>50</v>
      </c>
      <c r="F973">
        <v>50.511230468999997</v>
      </c>
      <c r="G973">
        <v>1339.5651855000001</v>
      </c>
      <c r="H973">
        <v>1337.1225586</v>
      </c>
      <c r="I973">
        <v>1325.6416016000001</v>
      </c>
      <c r="J973">
        <v>1323.2562256000001</v>
      </c>
      <c r="K973">
        <v>2400</v>
      </c>
      <c r="L973">
        <v>0</v>
      </c>
      <c r="M973">
        <v>0</v>
      </c>
      <c r="N973">
        <v>2400</v>
      </c>
    </row>
    <row r="974" spans="1:14" x14ac:dyDescent="0.25">
      <c r="A974">
        <v>522.00690499999996</v>
      </c>
      <c r="B974" s="1">
        <f>DATE(2011,10,5) + TIME(0,9,56)</f>
        <v>40821.006898148145</v>
      </c>
      <c r="C974">
        <v>80</v>
      </c>
      <c r="D974">
        <v>79.969131469999994</v>
      </c>
      <c r="E974">
        <v>50</v>
      </c>
      <c r="F974">
        <v>50.887969970999997</v>
      </c>
      <c r="G974">
        <v>1339.5585937999999</v>
      </c>
      <c r="H974">
        <v>1337.1173096</v>
      </c>
      <c r="I974">
        <v>1325.6348877</v>
      </c>
      <c r="J974">
        <v>1323.2481689000001</v>
      </c>
      <c r="K974">
        <v>2400</v>
      </c>
      <c r="L974">
        <v>0</v>
      </c>
      <c r="M974">
        <v>0</v>
      </c>
      <c r="N974">
        <v>2400</v>
      </c>
    </row>
    <row r="975" spans="1:14" x14ac:dyDescent="0.25">
      <c r="A975">
        <v>524.04998499999999</v>
      </c>
      <c r="B975" s="1">
        <f>DATE(2011,10,7) + TIME(1,11,58)</f>
        <v>40823.049976851849</v>
      </c>
      <c r="C975">
        <v>80</v>
      </c>
      <c r="D975">
        <v>79.969169617000006</v>
      </c>
      <c r="E975">
        <v>50</v>
      </c>
      <c r="F975">
        <v>51.280380248999997</v>
      </c>
      <c r="G975">
        <v>1339.5517577999999</v>
      </c>
      <c r="H975">
        <v>1337.1120605000001</v>
      </c>
      <c r="I975">
        <v>1325.6285399999999</v>
      </c>
      <c r="J975">
        <v>1323.2416992000001</v>
      </c>
      <c r="K975">
        <v>2400</v>
      </c>
      <c r="L975">
        <v>0</v>
      </c>
      <c r="M975">
        <v>0</v>
      </c>
      <c r="N975">
        <v>2400</v>
      </c>
    </row>
    <row r="976" spans="1:14" x14ac:dyDescent="0.25">
      <c r="A976">
        <v>526.09921099999997</v>
      </c>
      <c r="B976" s="1">
        <f>DATE(2011,10,9) + TIME(2,22,51)</f>
        <v>40825.09920138889</v>
      </c>
      <c r="C976">
        <v>80</v>
      </c>
      <c r="D976">
        <v>79.969207764000004</v>
      </c>
      <c r="E976">
        <v>50</v>
      </c>
      <c r="F976">
        <v>51.67257309</v>
      </c>
      <c r="G976">
        <v>1339.5449219</v>
      </c>
      <c r="H976">
        <v>1337.1066894999999</v>
      </c>
      <c r="I976">
        <v>1325.6228027</v>
      </c>
      <c r="J976">
        <v>1323.2360839999999</v>
      </c>
      <c r="K976">
        <v>2400</v>
      </c>
      <c r="L976">
        <v>0</v>
      </c>
      <c r="M976">
        <v>0</v>
      </c>
      <c r="N976">
        <v>2400</v>
      </c>
    </row>
    <row r="977" spans="1:14" x14ac:dyDescent="0.25">
      <c r="A977">
        <v>528.16258500000004</v>
      </c>
      <c r="B977" s="1">
        <f>DATE(2011,10,11) + TIME(3,54,7)</f>
        <v>40827.162581018521</v>
      </c>
      <c r="C977">
        <v>80</v>
      </c>
      <c r="D977">
        <v>79.969253539999997</v>
      </c>
      <c r="E977">
        <v>50</v>
      </c>
      <c r="F977">
        <v>52.057826996000003</v>
      </c>
      <c r="G977">
        <v>1339.5382079999999</v>
      </c>
      <c r="H977">
        <v>1337.1014404</v>
      </c>
      <c r="I977">
        <v>1325.6175536999999</v>
      </c>
      <c r="J977">
        <v>1323.2313231999999</v>
      </c>
      <c r="K977">
        <v>2400</v>
      </c>
      <c r="L977">
        <v>0</v>
      </c>
      <c r="M977">
        <v>0</v>
      </c>
      <c r="N977">
        <v>2400</v>
      </c>
    </row>
    <row r="978" spans="1:14" x14ac:dyDescent="0.25">
      <c r="A978">
        <v>530.24768600000004</v>
      </c>
      <c r="B978" s="1">
        <f>DATE(2011,10,13) + TIME(5,56,40)</f>
        <v>40829.247685185182</v>
      </c>
      <c r="C978">
        <v>80</v>
      </c>
      <c r="D978">
        <v>79.969291686999995</v>
      </c>
      <c r="E978">
        <v>50</v>
      </c>
      <c r="F978">
        <v>52.435295105000002</v>
      </c>
      <c r="G978">
        <v>1339.5314940999999</v>
      </c>
      <c r="H978">
        <v>1337.0961914</v>
      </c>
      <c r="I978">
        <v>1325.612793</v>
      </c>
      <c r="J978">
        <v>1323.2272949000001</v>
      </c>
      <c r="K978">
        <v>2400</v>
      </c>
      <c r="L978">
        <v>0</v>
      </c>
      <c r="M978">
        <v>0</v>
      </c>
      <c r="N978">
        <v>2400</v>
      </c>
    </row>
    <row r="979" spans="1:14" x14ac:dyDescent="0.25">
      <c r="A979">
        <v>532.36286299999995</v>
      </c>
      <c r="B979" s="1">
        <f>DATE(2011,10,15) + TIME(8,42,31)</f>
        <v>40831.362858796296</v>
      </c>
      <c r="C979">
        <v>80</v>
      </c>
      <c r="D979">
        <v>79.969329834000007</v>
      </c>
      <c r="E979">
        <v>50</v>
      </c>
      <c r="F979">
        <v>52.805191039999997</v>
      </c>
      <c r="G979">
        <v>1339.5249022999999</v>
      </c>
      <c r="H979">
        <v>1337.0909423999999</v>
      </c>
      <c r="I979">
        <v>1325.6086425999999</v>
      </c>
      <c r="J979">
        <v>1323.2241211</v>
      </c>
      <c r="K979">
        <v>2400</v>
      </c>
      <c r="L979">
        <v>0</v>
      </c>
      <c r="M979">
        <v>0</v>
      </c>
      <c r="N979">
        <v>2400</v>
      </c>
    </row>
    <row r="980" spans="1:14" x14ac:dyDescent="0.25">
      <c r="A980">
        <v>534.51595199999997</v>
      </c>
      <c r="B980" s="1">
        <f>DATE(2011,10,17) + TIME(12,22,58)</f>
        <v>40833.515949074077</v>
      </c>
      <c r="C980">
        <v>80</v>
      </c>
      <c r="D980">
        <v>79.96937561</v>
      </c>
      <c r="E980">
        <v>50</v>
      </c>
      <c r="F980">
        <v>53.168113708</v>
      </c>
      <c r="G980">
        <v>1339.5181885</v>
      </c>
      <c r="H980">
        <v>1337.0858154</v>
      </c>
      <c r="I980">
        <v>1325.6049805</v>
      </c>
      <c r="J980">
        <v>1323.2214355000001</v>
      </c>
      <c r="K980">
        <v>2400</v>
      </c>
      <c r="L980">
        <v>0</v>
      </c>
      <c r="M980">
        <v>0</v>
      </c>
      <c r="N980">
        <v>2400</v>
      </c>
    </row>
    <row r="981" spans="1:14" x14ac:dyDescent="0.25">
      <c r="A981">
        <v>536.71530700000005</v>
      </c>
      <c r="B981" s="1">
        <f>DATE(2011,10,19) + TIME(17,10,2)</f>
        <v>40835.715300925927</v>
      </c>
      <c r="C981">
        <v>80</v>
      </c>
      <c r="D981">
        <v>79.969413756999998</v>
      </c>
      <c r="E981">
        <v>50</v>
      </c>
      <c r="F981">
        <v>53.524677277000002</v>
      </c>
      <c r="G981">
        <v>1339.5115966999999</v>
      </c>
      <c r="H981">
        <v>1337.0806885</v>
      </c>
      <c r="I981">
        <v>1325.6016846</v>
      </c>
      <c r="J981">
        <v>1323.2193603999999</v>
      </c>
      <c r="K981">
        <v>2400</v>
      </c>
      <c r="L981">
        <v>0</v>
      </c>
      <c r="M981">
        <v>0</v>
      </c>
      <c r="N981">
        <v>2400</v>
      </c>
    </row>
    <row r="982" spans="1:14" x14ac:dyDescent="0.25">
      <c r="A982">
        <v>538.96979499999998</v>
      </c>
      <c r="B982" s="1">
        <f>DATE(2011,10,21) + TIME(23,16,30)</f>
        <v>40837.96979166667</v>
      </c>
      <c r="C982">
        <v>80</v>
      </c>
      <c r="D982">
        <v>79.969459533999995</v>
      </c>
      <c r="E982">
        <v>50</v>
      </c>
      <c r="F982">
        <v>53.875469207999998</v>
      </c>
      <c r="G982">
        <v>1339.5048827999999</v>
      </c>
      <c r="H982">
        <v>1337.0754394999999</v>
      </c>
      <c r="I982">
        <v>1325.5988769999999</v>
      </c>
      <c r="J982">
        <v>1323.2178954999999</v>
      </c>
      <c r="K982">
        <v>2400</v>
      </c>
      <c r="L982">
        <v>0</v>
      </c>
      <c r="M982">
        <v>0</v>
      </c>
      <c r="N982">
        <v>2400</v>
      </c>
    </row>
    <row r="983" spans="1:14" x14ac:dyDescent="0.25">
      <c r="A983">
        <v>541.26129800000001</v>
      </c>
      <c r="B983" s="1">
        <f>DATE(2011,10,24) + TIME(6,16,16)</f>
        <v>40840.261296296296</v>
      </c>
      <c r="C983">
        <v>80</v>
      </c>
      <c r="D983">
        <v>79.969505310000002</v>
      </c>
      <c r="E983">
        <v>50</v>
      </c>
      <c r="F983">
        <v>54.220218658</v>
      </c>
      <c r="G983">
        <v>1339.4981689000001</v>
      </c>
      <c r="H983">
        <v>1337.0703125</v>
      </c>
      <c r="I983">
        <v>1325.5965576000001</v>
      </c>
      <c r="J983">
        <v>1323.2169189000001</v>
      </c>
      <c r="K983">
        <v>2400</v>
      </c>
      <c r="L983">
        <v>0</v>
      </c>
      <c r="M983">
        <v>0</v>
      </c>
      <c r="N983">
        <v>2400</v>
      </c>
    </row>
    <row r="984" spans="1:14" x14ac:dyDescent="0.25">
      <c r="A984">
        <v>543.55926399999998</v>
      </c>
      <c r="B984" s="1">
        <f>DATE(2011,10,26) + TIME(13,25,20)</f>
        <v>40842.559259259258</v>
      </c>
      <c r="C984">
        <v>80</v>
      </c>
      <c r="D984">
        <v>79.969543457</v>
      </c>
      <c r="E984">
        <v>50</v>
      </c>
      <c r="F984">
        <v>54.555912018000001</v>
      </c>
      <c r="G984">
        <v>1339.4914550999999</v>
      </c>
      <c r="H984">
        <v>1337.0651855000001</v>
      </c>
      <c r="I984">
        <v>1325.5946045000001</v>
      </c>
      <c r="J984">
        <v>1323.2164307</v>
      </c>
      <c r="K984">
        <v>2400</v>
      </c>
      <c r="L984">
        <v>0</v>
      </c>
      <c r="M984">
        <v>0</v>
      </c>
      <c r="N984">
        <v>2400</v>
      </c>
    </row>
    <row r="985" spans="1:14" x14ac:dyDescent="0.25">
      <c r="A985">
        <v>545.87421400000005</v>
      </c>
      <c r="B985" s="1">
        <f>DATE(2011,10,28) + TIME(20,58,52)</f>
        <v>40844.874212962961</v>
      </c>
      <c r="C985">
        <v>80</v>
      </c>
      <c r="D985">
        <v>79.969589232999994</v>
      </c>
      <c r="E985">
        <v>50</v>
      </c>
      <c r="F985">
        <v>54.879516602000002</v>
      </c>
      <c r="G985">
        <v>1339.4848632999999</v>
      </c>
      <c r="H985">
        <v>1337.0600586</v>
      </c>
      <c r="I985">
        <v>1325.5931396000001</v>
      </c>
      <c r="J985">
        <v>1323.2164307</v>
      </c>
      <c r="K985">
        <v>2400</v>
      </c>
      <c r="L985">
        <v>0</v>
      </c>
      <c r="M985">
        <v>0</v>
      </c>
      <c r="N985">
        <v>2400</v>
      </c>
    </row>
    <row r="986" spans="1:14" x14ac:dyDescent="0.25">
      <c r="A986">
        <v>548.21642999999995</v>
      </c>
      <c r="B986" s="1">
        <f>DATE(2011,10,31) + TIME(5,11,39)</f>
        <v>40847.216423611113</v>
      </c>
      <c r="C986">
        <v>80</v>
      </c>
      <c r="D986">
        <v>79.969635010000005</v>
      </c>
      <c r="E986">
        <v>50</v>
      </c>
      <c r="F986">
        <v>55.191818237</v>
      </c>
      <c r="G986">
        <v>1339.4783935999999</v>
      </c>
      <c r="H986">
        <v>1337.0551757999999</v>
      </c>
      <c r="I986">
        <v>1325.5920410000001</v>
      </c>
      <c r="J986">
        <v>1323.2169189000001</v>
      </c>
      <c r="K986">
        <v>2400</v>
      </c>
      <c r="L986">
        <v>0</v>
      </c>
      <c r="M986">
        <v>0</v>
      </c>
      <c r="N986">
        <v>2400</v>
      </c>
    </row>
    <row r="987" spans="1:14" x14ac:dyDescent="0.25">
      <c r="A987">
        <v>549</v>
      </c>
      <c r="B987" s="1">
        <f>DATE(2011,11,1) + TIME(0,0,0)</f>
        <v>40848</v>
      </c>
      <c r="C987">
        <v>80</v>
      </c>
      <c r="D987">
        <v>79.969635010000005</v>
      </c>
      <c r="E987">
        <v>50</v>
      </c>
      <c r="F987">
        <v>55.407260895</v>
      </c>
      <c r="G987">
        <v>1339.4727783000001</v>
      </c>
      <c r="H987">
        <v>1337.0510254000001</v>
      </c>
      <c r="I987">
        <v>1325.5944824000001</v>
      </c>
      <c r="J987">
        <v>1323.2189940999999</v>
      </c>
      <c r="K987">
        <v>2400</v>
      </c>
      <c r="L987">
        <v>0</v>
      </c>
      <c r="M987">
        <v>0</v>
      </c>
      <c r="N987">
        <v>2400</v>
      </c>
    </row>
    <row r="988" spans="1:14" x14ac:dyDescent="0.25">
      <c r="A988">
        <v>549.000001</v>
      </c>
      <c r="B988" s="1">
        <f>DATE(2011,11,1) + TIME(0,0,0)</f>
        <v>40848</v>
      </c>
      <c r="C988">
        <v>80</v>
      </c>
      <c r="D988">
        <v>79.969604492000002</v>
      </c>
      <c r="E988">
        <v>50</v>
      </c>
      <c r="F988">
        <v>55.407279967999997</v>
      </c>
      <c r="G988">
        <v>1337.0404053</v>
      </c>
      <c r="H988">
        <v>1336.7493896000001</v>
      </c>
      <c r="I988">
        <v>1328.1577147999999</v>
      </c>
      <c r="J988">
        <v>1325.6081543</v>
      </c>
      <c r="K988">
        <v>0</v>
      </c>
      <c r="L988">
        <v>2400</v>
      </c>
      <c r="M988">
        <v>2400</v>
      </c>
      <c r="N988">
        <v>0</v>
      </c>
    </row>
    <row r="989" spans="1:14" x14ac:dyDescent="0.25">
      <c r="A989">
        <v>549.00000399999999</v>
      </c>
      <c r="B989" s="1">
        <f>DATE(2011,11,1) + TIME(0,0,0)</f>
        <v>40848</v>
      </c>
      <c r="C989">
        <v>80</v>
      </c>
      <c r="D989">
        <v>79.969505310000002</v>
      </c>
      <c r="E989">
        <v>50</v>
      </c>
      <c r="F989">
        <v>55.407325745000001</v>
      </c>
      <c r="G989">
        <v>1337.0091553</v>
      </c>
      <c r="H989">
        <v>1336.7192382999999</v>
      </c>
      <c r="I989">
        <v>1328.1883545000001</v>
      </c>
      <c r="J989">
        <v>1325.6486815999999</v>
      </c>
      <c r="K989">
        <v>0</v>
      </c>
      <c r="L989">
        <v>2400</v>
      </c>
      <c r="M989">
        <v>2400</v>
      </c>
      <c r="N989">
        <v>0</v>
      </c>
    </row>
    <row r="990" spans="1:14" x14ac:dyDescent="0.25">
      <c r="A990">
        <v>549.00001299999997</v>
      </c>
      <c r="B990" s="1">
        <f>DATE(2011,11,1) + TIME(0,0,1)</f>
        <v>40848.000011574077</v>
      </c>
      <c r="C990">
        <v>80</v>
      </c>
      <c r="D990">
        <v>79.969215392999999</v>
      </c>
      <c r="E990">
        <v>50</v>
      </c>
      <c r="F990">
        <v>55.407459258999999</v>
      </c>
      <c r="G990">
        <v>1336.9210204999999</v>
      </c>
      <c r="H990">
        <v>1336.6340332</v>
      </c>
      <c r="I990">
        <v>1328.2773437999999</v>
      </c>
      <c r="J990">
        <v>1325.7644043</v>
      </c>
      <c r="K990">
        <v>0</v>
      </c>
      <c r="L990">
        <v>2400</v>
      </c>
      <c r="M990">
        <v>2400</v>
      </c>
      <c r="N990">
        <v>0</v>
      </c>
    </row>
    <row r="991" spans="1:14" x14ac:dyDescent="0.25">
      <c r="A991">
        <v>549.00004000000001</v>
      </c>
      <c r="B991" s="1">
        <f>DATE(2011,11,1) + TIME(0,0,3)</f>
        <v>40848.000034722223</v>
      </c>
      <c r="C991">
        <v>80</v>
      </c>
      <c r="D991">
        <v>79.968498229999994</v>
      </c>
      <c r="E991">
        <v>50</v>
      </c>
      <c r="F991">
        <v>55.407791138</v>
      </c>
      <c r="G991">
        <v>1336.6975098</v>
      </c>
      <c r="H991">
        <v>1336.4161377</v>
      </c>
      <c r="I991">
        <v>1328.5187988</v>
      </c>
      <c r="J991">
        <v>1326.0683594</v>
      </c>
      <c r="K991">
        <v>0</v>
      </c>
      <c r="L991">
        <v>2400</v>
      </c>
      <c r="M991">
        <v>2400</v>
      </c>
      <c r="N991">
        <v>0</v>
      </c>
    </row>
    <row r="992" spans="1:14" x14ac:dyDescent="0.25">
      <c r="A992">
        <v>549.00012100000004</v>
      </c>
      <c r="B992" s="1">
        <f>DATE(2011,11,1) + TIME(0,0,10)</f>
        <v>40848.000115740739</v>
      </c>
      <c r="C992">
        <v>80</v>
      </c>
      <c r="D992">
        <v>79.967025757000002</v>
      </c>
      <c r="E992">
        <v>50</v>
      </c>
      <c r="F992">
        <v>55.408412933000001</v>
      </c>
      <c r="G992">
        <v>1336.2420654</v>
      </c>
      <c r="H992">
        <v>1335.9648437999999</v>
      </c>
      <c r="I992">
        <v>1329.0834961</v>
      </c>
      <c r="J992">
        <v>1326.7321777</v>
      </c>
      <c r="K992">
        <v>0</v>
      </c>
      <c r="L992">
        <v>2400</v>
      </c>
      <c r="M992">
        <v>2400</v>
      </c>
      <c r="N992">
        <v>0</v>
      </c>
    </row>
    <row r="993" spans="1:14" x14ac:dyDescent="0.25">
      <c r="A993">
        <v>549.00036399999999</v>
      </c>
      <c r="B993" s="1">
        <f>DATE(2011,11,1) + TIME(0,0,31)</f>
        <v>40848.000358796293</v>
      </c>
      <c r="C993">
        <v>80</v>
      </c>
      <c r="D993">
        <v>79.964820861999996</v>
      </c>
      <c r="E993">
        <v>50</v>
      </c>
      <c r="F993">
        <v>55.408229828000003</v>
      </c>
      <c r="G993">
        <v>1335.5629882999999</v>
      </c>
      <c r="H993">
        <v>1335.2779541</v>
      </c>
      <c r="I993">
        <v>1330.0927733999999</v>
      </c>
      <c r="J993">
        <v>1327.7996826000001</v>
      </c>
      <c r="K993">
        <v>0</v>
      </c>
      <c r="L993">
        <v>2400</v>
      </c>
      <c r="M993">
        <v>2400</v>
      </c>
      <c r="N993">
        <v>0</v>
      </c>
    </row>
    <row r="994" spans="1:14" x14ac:dyDescent="0.25">
      <c r="A994">
        <v>549.00109299999997</v>
      </c>
      <c r="B994" s="1">
        <f>DATE(2011,11,1) + TIME(0,1,34)</f>
        <v>40848.001087962963</v>
      </c>
      <c r="C994">
        <v>80</v>
      </c>
      <c r="D994">
        <v>79.962265015</v>
      </c>
      <c r="E994">
        <v>50</v>
      </c>
      <c r="F994">
        <v>55.404144287000001</v>
      </c>
      <c r="G994">
        <v>1334.7852783000001</v>
      </c>
      <c r="H994">
        <v>1334.4814452999999</v>
      </c>
      <c r="I994">
        <v>1331.421875</v>
      </c>
      <c r="J994">
        <v>1329.1156006000001</v>
      </c>
      <c r="K994">
        <v>0</v>
      </c>
      <c r="L994">
        <v>2400</v>
      </c>
      <c r="M994">
        <v>2400</v>
      </c>
      <c r="N994">
        <v>0</v>
      </c>
    </row>
    <row r="995" spans="1:14" x14ac:dyDescent="0.25">
      <c r="A995">
        <v>549.00328000000002</v>
      </c>
      <c r="B995" s="1">
        <f>DATE(2011,11,1) + TIME(0,4,43)</f>
        <v>40848.003275462965</v>
      </c>
      <c r="C995">
        <v>80</v>
      </c>
      <c r="D995">
        <v>79.959472656000003</v>
      </c>
      <c r="E995">
        <v>50</v>
      </c>
      <c r="F995">
        <v>55.387001038000001</v>
      </c>
      <c r="G995">
        <v>1333.9815673999999</v>
      </c>
      <c r="H995">
        <v>1333.6545410000001</v>
      </c>
      <c r="I995">
        <v>1332.8514404</v>
      </c>
      <c r="J995">
        <v>1330.5196533000001</v>
      </c>
      <c r="K995">
        <v>0</v>
      </c>
      <c r="L995">
        <v>2400</v>
      </c>
      <c r="M995">
        <v>2400</v>
      </c>
      <c r="N995">
        <v>0</v>
      </c>
    </row>
    <row r="996" spans="1:14" x14ac:dyDescent="0.25">
      <c r="A996">
        <v>549.00984100000005</v>
      </c>
      <c r="B996" s="1">
        <f>DATE(2011,11,1) + TIME(0,14,10)</f>
        <v>40848.009837962964</v>
      </c>
      <c r="C996">
        <v>80</v>
      </c>
      <c r="D996">
        <v>79.956123352000006</v>
      </c>
      <c r="E996">
        <v>50</v>
      </c>
      <c r="F996">
        <v>55.330688477000002</v>
      </c>
      <c r="G996">
        <v>1333.1485596</v>
      </c>
      <c r="H996">
        <v>1332.7868652</v>
      </c>
      <c r="I996">
        <v>1334.3076172000001</v>
      </c>
      <c r="J996">
        <v>1331.9592285000001</v>
      </c>
      <c r="K996">
        <v>0</v>
      </c>
      <c r="L996">
        <v>2400</v>
      </c>
      <c r="M996">
        <v>2400</v>
      </c>
      <c r="N996">
        <v>0</v>
      </c>
    </row>
    <row r="997" spans="1:14" x14ac:dyDescent="0.25">
      <c r="A997">
        <v>549.02952400000004</v>
      </c>
      <c r="B997" s="1">
        <f>DATE(2011,11,1) + TIME(0,42,30)</f>
        <v>40848.029513888891</v>
      </c>
      <c r="C997">
        <v>80</v>
      </c>
      <c r="D997">
        <v>79.951171875</v>
      </c>
      <c r="E997">
        <v>50</v>
      </c>
      <c r="F997">
        <v>55.161170959000003</v>
      </c>
      <c r="G997">
        <v>1332.2714844</v>
      </c>
      <c r="H997">
        <v>1331.8455810999999</v>
      </c>
      <c r="I997">
        <v>1335.7790527</v>
      </c>
      <c r="J997">
        <v>1333.4118652</v>
      </c>
      <c r="K997">
        <v>0</v>
      </c>
      <c r="L997">
        <v>2400</v>
      </c>
      <c r="M997">
        <v>2400</v>
      </c>
      <c r="N997">
        <v>0</v>
      </c>
    </row>
    <row r="998" spans="1:14" x14ac:dyDescent="0.25">
      <c r="A998">
        <v>549.06409399999995</v>
      </c>
      <c r="B998" s="1">
        <f>DATE(2011,11,1) + TIME(1,32,17)</f>
        <v>40848.064085648148</v>
      </c>
      <c r="C998">
        <v>80</v>
      </c>
      <c r="D998">
        <v>79.945129394999995</v>
      </c>
      <c r="E998">
        <v>50</v>
      </c>
      <c r="F998">
        <v>54.876171112000002</v>
      </c>
      <c r="G998">
        <v>1331.6152344</v>
      </c>
      <c r="H998">
        <v>1331.1182861</v>
      </c>
      <c r="I998">
        <v>1336.8311768000001</v>
      </c>
      <c r="J998">
        <v>1334.4433594</v>
      </c>
      <c r="K998">
        <v>0</v>
      </c>
      <c r="L998">
        <v>2400</v>
      </c>
      <c r="M998">
        <v>2400</v>
      </c>
      <c r="N998">
        <v>0</v>
      </c>
    </row>
    <row r="999" spans="1:14" x14ac:dyDescent="0.25">
      <c r="A999">
        <v>549.10182999999995</v>
      </c>
      <c r="B999" s="1">
        <f>DATE(2011,11,1) + TIME(2,26,38)</f>
        <v>40848.1018287037</v>
      </c>
      <c r="C999">
        <v>80</v>
      </c>
      <c r="D999">
        <v>79.939437866000006</v>
      </c>
      <c r="E999">
        <v>50</v>
      </c>
      <c r="F999">
        <v>54.582244873</v>
      </c>
      <c r="G999">
        <v>1331.2241211</v>
      </c>
      <c r="H999">
        <v>1330.6788329999999</v>
      </c>
      <c r="I999">
        <v>1337.4306641000001</v>
      </c>
      <c r="J999">
        <v>1335.0258789</v>
      </c>
      <c r="K999">
        <v>0</v>
      </c>
      <c r="L999">
        <v>2400</v>
      </c>
      <c r="M999">
        <v>2400</v>
      </c>
      <c r="N999">
        <v>0</v>
      </c>
    </row>
    <row r="1000" spans="1:14" x14ac:dyDescent="0.25">
      <c r="A1000">
        <v>549.14254700000004</v>
      </c>
      <c r="B1000" s="1">
        <f>DATE(2011,11,1) + TIME(3,25,16)</f>
        <v>40848.142546296294</v>
      </c>
      <c r="C1000">
        <v>80</v>
      </c>
      <c r="D1000">
        <v>79.933731078999998</v>
      </c>
      <c r="E1000">
        <v>50</v>
      </c>
      <c r="F1000">
        <v>54.285007477000001</v>
      </c>
      <c r="G1000">
        <v>1330.9617920000001</v>
      </c>
      <c r="H1000">
        <v>1330.3845214999999</v>
      </c>
      <c r="I1000">
        <v>1337.8106689000001</v>
      </c>
      <c r="J1000">
        <v>1335.3924560999999</v>
      </c>
      <c r="K1000">
        <v>0</v>
      </c>
      <c r="L1000">
        <v>2400</v>
      </c>
      <c r="M1000">
        <v>2400</v>
      </c>
      <c r="N1000">
        <v>0</v>
      </c>
    </row>
    <row r="1001" spans="1:14" x14ac:dyDescent="0.25">
      <c r="A1001">
        <v>549.18632500000001</v>
      </c>
      <c r="B1001" s="1">
        <f>DATE(2011,11,1) + TIME(4,28,18)</f>
        <v>40848.186319444445</v>
      </c>
      <c r="C1001">
        <v>80</v>
      </c>
      <c r="D1001">
        <v>79.927841186999999</v>
      </c>
      <c r="E1001">
        <v>50</v>
      </c>
      <c r="F1001">
        <v>53.987426757999998</v>
      </c>
      <c r="G1001">
        <v>1330.7718506000001</v>
      </c>
      <c r="H1001">
        <v>1330.1737060999999</v>
      </c>
      <c r="I1001">
        <v>1338.0675048999999</v>
      </c>
      <c r="J1001">
        <v>1335.6384277</v>
      </c>
      <c r="K1001">
        <v>0</v>
      </c>
      <c r="L1001">
        <v>2400</v>
      </c>
      <c r="M1001">
        <v>2400</v>
      </c>
      <c r="N1001">
        <v>0</v>
      </c>
    </row>
    <row r="1002" spans="1:14" x14ac:dyDescent="0.25">
      <c r="A1002">
        <v>549.23334899999998</v>
      </c>
      <c r="B1002" s="1">
        <f>DATE(2011,11,1) + TIME(5,36,1)</f>
        <v>40848.233344907407</v>
      </c>
      <c r="C1002">
        <v>80</v>
      </c>
      <c r="D1002">
        <v>79.921684264999996</v>
      </c>
      <c r="E1002">
        <v>50</v>
      </c>
      <c r="F1002">
        <v>53.691558837999999</v>
      </c>
      <c r="G1002">
        <v>1330.6271973</v>
      </c>
      <c r="H1002">
        <v>1330.0150146000001</v>
      </c>
      <c r="I1002">
        <v>1338.2486572</v>
      </c>
      <c r="J1002">
        <v>1335.8101807</v>
      </c>
      <c r="K1002">
        <v>0</v>
      </c>
      <c r="L1002">
        <v>2400</v>
      </c>
      <c r="M1002">
        <v>2400</v>
      </c>
      <c r="N1002">
        <v>0</v>
      </c>
    </row>
    <row r="1003" spans="1:14" x14ac:dyDescent="0.25">
      <c r="A1003">
        <v>549.28327300000001</v>
      </c>
      <c r="B1003" s="1">
        <f>DATE(2011,11,1) + TIME(6,47,54)</f>
        <v>40848.283263888887</v>
      </c>
      <c r="C1003">
        <v>80</v>
      </c>
      <c r="D1003">
        <v>79.915283203000001</v>
      </c>
      <c r="E1003">
        <v>50</v>
      </c>
      <c r="F1003">
        <v>53.402229308999999</v>
      </c>
      <c r="G1003">
        <v>1330.5139160000001</v>
      </c>
      <c r="H1003">
        <v>1329.8922118999999</v>
      </c>
      <c r="I1003">
        <v>1338.3786620999999</v>
      </c>
      <c r="J1003">
        <v>1335.9318848</v>
      </c>
      <c r="K1003">
        <v>0</v>
      </c>
      <c r="L1003">
        <v>2400</v>
      </c>
      <c r="M1003">
        <v>2400</v>
      </c>
      <c r="N1003">
        <v>0</v>
      </c>
    </row>
    <row r="1004" spans="1:14" x14ac:dyDescent="0.25">
      <c r="A1004">
        <v>549.33542499999999</v>
      </c>
      <c r="B1004" s="1">
        <f>DATE(2011,11,1) + TIME(8,3,0)</f>
        <v>40848.335416666669</v>
      </c>
      <c r="C1004">
        <v>80</v>
      </c>
      <c r="D1004">
        <v>79.908699036000002</v>
      </c>
      <c r="E1004">
        <v>50</v>
      </c>
      <c r="F1004">
        <v>53.124851227000001</v>
      </c>
      <c r="G1004">
        <v>1330.4238281</v>
      </c>
      <c r="H1004">
        <v>1329.7952881000001</v>
      </c>
      <c r="I1004">
        <v>1338.4729004000001</v>
      </c>
      <c r="J1004">
        <v>1336.0185547000001</v>
      </c>
      <c r="K1004">
        <v>0</v>
      </c>
      <c r="L1004">
        <v>2400</v>
      </c>
      <c r="M1004">
        <v>2400</v>
      </c>
      <c r="N1004">
        <v>0</v>
      </c>
    </row>
    <row r="1005" spans="1:14" x14ac:dyDescent="0.25">
      <c r="A1005">
        <v>549.38998300000003</v>
      </c>
      <c r="B1005" s="1">
        <f>DATE(2011,11,1) + TIME(9,21,34)</f>
        <v>40848.389976851853</v>
      </c>
      <c r="C1005">
        <v>80</v>
      </c>
      <c r="D1005">
        <v>79.901893615999995</v>
      </c>
      <c r="E1005">
        <v>50</v>
      </c>
      <c r="F1005">
        <v>52.859550476000003</v>
      </c>
      <c r="G1005">
        <v>1330.3503418</v>
      </c>
      <c r="H1005">
        <v>1329.7167969</v>
      </c>
      <c r="I1005">
        <v>1338.5417480000001</v>
      </c>
      <c r="J1005">
        <v>1336.0806885</v>
      </c>
      <c r="K1005">
        <v>0</v>
      </c>
      <c r="L1005">
        <v>2400</v>
      </c>
      <c r="M1005">
        <v>2400</v>
      </c>
      <c r="N1005">
        <v>0</v>
      </c>
    </row>
    <row r="1006" spans="1:14" x14ac:dyDescent="0.25">
      <c r="A1006">
        <v>549.44715799999994</v>
      </c>
      <c r="B1006" s="1">
        <f>DATE(2011,11,1) + TIME(10,43,54)</f>
        <v>40848.447152777779</v>
      </c>
      <c r="C1006">
        <v>80</v>
      </c>
      <c r="D1006">
        <v>79.894851685000006</v>
      </c>
      <c r="E1006">
        <v>50</v>
      </c>
      <c r="F1006">
        <v>52.606357574</v>
      </c>
      <c r="G1006">
        <v>1330.2891846</v>
      </c>
      <c r="H1006">
        <v>1329.6517334</v>
      </c>
      <c r="I1006">
        <v>1338.5922852000001</v>
      </c>
      <c r="J1006">
        <v>1336.1251221</v>
      </c>
      <c r="K1006">
        <v>0</v>
      </c>
      <c r="L1006">
        <v>2400</v>
      </c>
      <c r="M1006">
        <v>2400</v>
      </c>
      <c r="N1006">
        <v>0</v>
      </c>
    </row>
    <row r="1007" spans="1:14" x14ac:dyDescent="0.25">
      <c r="A1007">
        <v>549.50717999999995</v>
      </c>
      <c r="B1007" s="1">
        <f>DATE(2011,11,1) + TIME(12,10,20)</f>
        <v>40848.507175925923</v>
      </c>
      <c r="C1007">
        <v>80</v>
      </c>
      <c r="D1007">
        <v>79.887527465999995</v>
      </c>
      <c r="E1007">
        <v>50</v>
      </c>
      <c r="F1007">
        <v>52.365341186999999</v>
      </c>
      <c r="G1007">
        <v>1330.2376709</v>
      </c>
      <c r="H1007">
        <v>1329.5970459</v>
      </c>
      <c r="I1007">
        <v>1338.6290283000001</v>
      </c>
      <c r="J1007">
        <v>1336.15625</v>
      </c>
      <c r="K1007">
        <v>0</v>
      </c>
      <c r="L1007">
        <v>2400</v>
      </c>
      <c r="M1007">
        <v>2400</v>
      </c>
      <c r="N1007">
        <v>0</v>
      </c>
    </row>
    <row r="1008" spans="1:14" x14ac:dyDescent="0.25">
      <c r="A1008">
        <v>549.57030999999995</v>
      </c>
      <c r="B1008" s="1">
        <f>DATE(2011,11,1) + TIME(13,41,14)</f>
        <v>40848.570300925923</v>
      </c>
      <c r="C1008">
        <v>80</v>
      </c>
      <c r="D1008">
        <v>79.879898071</v>
      </c>
      <c r="E1008">
        <v>50</v>
      </c>
      <c r="F1008">
        <v>52.136516571000001</v>
      </c>
      <c r="G1008">
        <v>1330.1937256000001</v>
      </c>
      <c r="H1008">
        <v>1329.550293</v>
      </c>
      <c r="I1008">
        <v>1338.6552733999999</v>
      </c>
      <c r="J1008">
        <v>1336.1773682</v>
      </c>
      <c r="K1008">
        <v>0</v>
      </c>
      <c r="L1008">
        <v>2400</v>
      </c>
      <c r="M1008">
        <v>2400</v>
      </c>
      <c r="N1008">
        <v>0</v>
      </c>
    </row>
    <row r="1009" spans="1:14" x14ac:dyDescent="0.25">
      <c r="A1009">
        <v>549.63684699999999</v>
      </c>
      <c r="B1009" s="1">
        <f>DATE(2011,11,1) + TIME(15,17,3)</f>
        <v>40848.636840277781</v>
      </c>
      <c r="C1009">
        <v>80</v>
      </c>
      <c r="D1009">
        <v>79.871925353999998</v>
      </c>
      <c r="E1009">
        <v>50</v>
      </c>
      <c r="F1009">
        <v>51.919910430999998</v>
      </c>
      <c r="G1009">
        <v>1330.1557617000001</v>
      </c>
      <c r="H1009">
        <v>1329.5098877</v>
      </c>
      <c r="I1009">
        <v>1338.6733397999999</v>
      </c>
      <c r="J1009">
        <v>1336.190918</v>
      </c>
      <c r="K1009">
        <v>0</v>
      </c>
      <c r="L1009">
        <v>2400</v>
      </c>
      <c r="M1009">
        <v>2400</v>
      </c>
      <c r="N1009">
        <v>0</v>
      </c>
    </row>
    <row r="1010" spans="1:14" x14ac:dyDescent="0.25">
      <c r="A1010">
        <v>549.707133</v>
      </c>
      <c r="B1010" s="1">
        <f>DATE(2011,11,1) + TIME(16,58,16)</f>
        <v>40848.707129629627</v>
      </c>
      <c r="C1010">
        <v>80</v>
      </c>
      <c r="D1010">
        <v>79.863586425999998</v>
      </c>
      <c r="E1010">
        <v>50</v>
      </c>
      <c r="F1010">
        <v>51.715518951</v>
      </c>
      <c r="G1010">
        <v>1330.1228027</v>
      </c>
      <c r="H1010">
        <v>1329.4747314000001</v>
      </c>
      <c r="I1010">
        <v>1338.6851807</v>
      </c>
      <c r="J1010">
        <v>1336.1984863</v>
      </c>
      <c r="K1010">
        <v>0</v>
      </c>
      <c r="L1010">
        <v>2400</v>
      </c>
      <c r="M1010">
        <v>2400</v>
      </c>
      <c r="N1010">
        <v>0</v>
      </c>
    </row>
    <row r="1011" spans="1:14" x14ac:dyDescent="0.25">
      <c r="A1011">
        <v>549.78157899999997</v>
      </c>
      <c r="B1011" s="1">
        <f>DATE(2011,11,1) + TIME(18,45,28)</f>
        <v>40848.781574074077</v>
      </c>
      <c r="C1011">
        <v>80</v>
      </c>
      <c r="D1011">
        <v>79.854827881000006</v>
      </c>
      <c r="E1011">
        <v>50</v>
      </c>
      <c r="F1011">
        <v>51.523281097000002</v>
      </c>
      <c r="G1011">
        <v>1330.0938721</v>
      </c>
      <c r="H1011">
        <v>1329.4437256000001</v>
      </c>
      <c r="I1011">
        <v>1338.6921387</v>
      </c>
      <c r="J1011">
        <v>1336.2016602000001</v>
      </c>
      <c r="K1011">
        <v>0</v>
      </c>
      <c r="L1011">
        <v>2400</v>
      </c>
      <c r="M1011">
        <v>2400</v>
      </c>
      <c r="N1011">
        <v>0</v>
      </c>
    </row>
    <row r="1012" spans="1:14" x14ac:dyDescent="0.25">
      <c r="A1012">
        <v>549.86065799999994</v>
      </c>
      <c r="B1012" s="1">
        <f>DATE(2011,11,1) + TIME(20,39,20)</f>
        <v>40848.860648148147</v>
      </c>
      <c r="C1012">
        <v>80</v>
      </c>
      <c r="D1012">
        <v>79.845611571999996</v>
      </c>
      <c r="E1012">
        <v>50</v>
      </c>
      <c r="F1012">
        <v>51.343151093000003</v>
      </c>
      <c r="G1012">
        <v>1330.0683594</v>
      </c>
      <c r="H1012">
        <v>1329.4162598</v>
      </c>
      <c r="I1012">
        <v>1338.6953125</v>
      </c>
      <c r="J1012">
        <v>1336.2014160000001</v>
      </c>
      <c r="K1012">
        <v>0</v>
      </c>
      <c r="L1012">
        <v>2400</v>
      </c>
      <c r="M1012">
        <v>2400</v>
      </c>
      <c r="N1012">
        <v>0</v>
      </c>
    </row>
    <row r="1013" spans="1:14" x14ac:dyDescent="0.25">
      <c r="A1013">
        <v>549.94491900000003</v>
      </c>
      <c r="B1013" s="1">
        <f>DATE(2011,11,1) + TIME(22,40,40)</f>
        <v>40848.944907407407</v>
      </c>
      <c r="C1013">
        <v>80</v>
      </c>
      <c r="D1013">
        <v>79.835884093999994</v>
      </c>
      <c r="E1013">
        <v>50</v>
      </c>
      <c r="F1013">
        <v>51.175075530999997</v>
      </c>
      <c r="G1013">
        <v>1330.0456543</v>
      </c>
      <c r="H1013">
        <v>1329.3916016000001</v>
      </c>
      <c r="I1013">
        <v>1338.6958007999999</v>
      </c>
      <c r="J1013">
        <v>1336.1988524999999</v>
      </c>
      <c r="K1013">
        <v>0</v>
      </c>
      <c r="L1013">
        <v>2400</v>
      </c>
      <c r="M1013">
        <v>2400</v>
      </c>
      <c r="N1013">
        <v>0</v>
      </c>
    </row>
    <row r="1014" spans="1:14" x14ac:dyDescent="0.25">
      <c r="A1014">
        <v>550.03501400000005</v>
      </c>
      <c r="B1014" s="1">
        <f>DATE(2011,11,2) + TIME(0,50,25)</f>
        <v>40849.035011574073</v>
      </c>
      <c r="C1014">
        <v>80</v>
      </c>
      <c r="D1014">
        <v>79.825569153000004</v>
      </c>
      <c r="E1014">
        <v>50</v>
      </c>
      <c r="F1014">
        <v>51.018985747999999</v>
      </c>
      <c r="G1014">
        <v>1330.0253906</v>
      </c>
      <c r="H1014">
        <v>1329.3695068</v>
      </c>
      <c r="I1014">
        <v>1338.6940918</v>
      </c>
      <c r="J1014">
        <v>1336.1943358999999</v>
      </c>
      <c r="K1014">
        <v>0</v>
      </c>
      <c r="L1014">
        <v>2400</v>
      </c>
      <c r="M1014">
        <v>2400</v>
      </c>
      <c r="N1014">
        <v>0</v>
      </c>
    </row>
    <row r="1015" spans="1:14" x14ac:dyDescent="0.25">
      <c r="A1015">
        <v>550.13171999999997</v>
      </c>
      <c r="B1015" s="1">
        <f>DATE(2011,11,2) + TIME(3,9,40)</f>
        <v>40849.131712962961</v>
      </c>
      <c r="C1015">
        <v>80</v>
      </c>
      <c r="D1015">
        <v>79.814613342000001</v>
      </c>
      <c r="E1015">
        <v>50</v>
      </c>
      <c r="F1015">
        <v>50.874805449999997</v>
      </c>
      <c r="G1015">
        <v>1330.0070800999999</v>
      </c>
      <c r="H1015">
        <v>1329.3493652</v>
      </c>
      <c r="I1015">
        <v>1338.6910399999999</v>
      </c>
      <c r="J1015">
        <v>1336.1888428</v>
      </c>
      <c r="K1015">
        <v>0</v>
      </c>
      <c r="L1015">
        <v>2400</v>
      </c>
      <c r="M1015">
        <v>2400</v>
      </c>
      <c r="N1015">
        <v>0</v>
      </c>
    </row>
    <row r="1016" spans="1:14" x14ac:dyDescent="0.25">
      <c r="A1016">
        <v>550.23597199999995</v>
      </c>
      <c r="B1016" s="1">
        <f>DATE(2011,11,2) + TIME(5,39,48)</f>
        <v>40849.235972222225</v>
      </c>
      <c r="C1016">
        <v>80</v>
      </c>
      <c r="D1016">
        <v>79.802909850999995</v>
      </c>
      <c r="E1016">
        <v>50</v>
      </c>
      <c r="F1016">
        <v>50.742424010999997</v>
      </c>
      <c r="G1016">
        <v>1329.9906006000001</v>
      </c>
      <c r="H1016">
        <v>1329.3310547000001</v>
      </c>
      <c r="I1016">
        <v>1338.6871338000001</v>
      </c>
      <c r="J1016">
        <v>1336.1826172000001</v>
      </c>
      <c r="K1016">
        <v>0</v>
      </c>
      <c r="L1016">
        <v>2400</v>
      </c>
      <c r="M1016">
        <v>2400</v>
      </c>
      <c r="N1016">
        <v>0</v>
      </c>
    </row>
    <row r="1017" spans="1:14" x14ac:dyDescent="0.25">
      <c r="A1017">
        <v>550.34891000000005</v>
      </c>
      <c r="B1017" s="1">
        <f>DATE(2011,11,2) + TIME(8,22,25)</f>
        <v>40849.348900462966</v>
      </c>
      <c r="C1017">
        <v>80</v>
      </c>
      <c r="D1017">
        <v>79.790374756000006</v>
      </c>
      <c r="E1017">
        <v>50</v>
      </c>
      <c r="F1017">
        <v>50.621726989999999</v>
      </c>
      <c r="G1017">
        <v>1329.9754639</v>
      </c>
      <c r="H1017">
        <v>1329.3140868999999</v>
      </c>
      <c r="I1017">
        <v>1338.6824951000001</v>
      </c>
      <c r="J1017">
        <v>1336.1761475000001</v>
      </c>
      <c r="K1017">
        <v>0</v>
      </c>
      <c r="L1017">
        <v>2400</v>
      </c>
      <c r="M1017">
        <v>2400</v>
      </c>
      <c r="N1017">
        <v>0</v>
      </c>
    </row>
    <row r="1018" spans="1:14" x14ac:dyDescent="0.25">
      <c r="A1018">
        <v>550.47193500000003</v>
      </c>
      <c r="B1018" s="1">
        <f>DATE(2011,11,2) + TIME(11,19,35)</f>
        <v>40849.471932870372</v>
      </c>
      <c r="C1018">
        <v>80</v>
      </c>
      <c r="D1018">
        <v>79.776863098000007</v>
      </c>
      <c r="E1018">
        <v>50</v>
      </c>
      <c r="F1018">
        <v>50.512569427000003</v>
      </c>
      <c r="G1018">
        <v>1329.9615478999999</v>
      </c>
      <c r="H1018">
        <v>1329.2983397999999</v>
      </c>
      <c r="I1018">
        <v>1338.6776123</v>
      </c>
      <c r="J1018">
        <v>1336.1695557</v>
      </c>
      <c r="K1018">
        <v>0</v>
      </c>
      <c r="L1018">
        <v>2400</v>
      </c>
      <c r="M1018">
        <v>2400</v>
      </c>
      <c r="N1018">
        <v>0</v>
      </c>
    </row>
    <row r="1019" spans="1:14" x14ac:dyDescent="0.25">
      <c r="A1019">
        <v>550.60680500000001</v>
      </c>
      <c r="B1019" s="1">
        <f>DATE(2011,11,2) + TIME(14,33,47)</f>
        <v>40849.606793981482</v>
      </c>
      <c r="C1019">
        <v>80</v>
      </c>
      <c r="D1019">
        <v>79.762229919000006</v>
      </c>
      <c r="E1019">
        <v>50</v>
      </c>
      <c r="F1019">
        <v>50.414764404000003</v>
      </c>
      <c r="G1019">
        <v>1329.9487305</v>
      </c>
      <c r="H1019">
        <v>1329.2835693</v>
      </c>
      <c r="I1019">
        <v>1338.6727295000001</v>
      </c>
      <c r="J1019">
        <v>1336.1632079999999</v>
      </c>
      <c r="K1019">
        <v>0</v>
      </c>
      <c r="L1019">
        <v>2400</v>
      </c>
      <c r="M1019">
        <v>2400</v>
      </c>
      <c r="N1019">
        <v>0</v>
      </c>
    </row>
    <row r="1020" spans="1:14" x14ac:dyDescent="0.25">
      <c r="A1020">
        <v>550.75572499999998</v>
      </c>
      <c r="B1020" s="1">
        <f>DATE(2011,11,2) + TIME(18,8,14)</f>
        <v>40849.75571759259</v>
      </c>
      <c r="C1020">
        <v>80</v>
      </c>
      <c r="D1020">
        <v>79.746276855000005</v>
      </c>
      <c r="E1020">
        <v>50</v>
      </c>
      <c r="F1020">
        <v>50.328117370999998</v>
      </c>
      <c r="G1020">
        <v>1329.9366454999999</v>
      </c>
      <c r="H1020">
        <v>1329.2694091999999</v>
      </c>
      <c r="I1020">
        <v>1338.6678466999999</v>
      </c>
      <c r="J1020">
        <v>1336.1572266000001</v>
      </c>
      <c r="K1020">
        <v>0</v>
      </c>
      <c r="L1020">
        <v>2400</v>
      </c>
      <c r="M1020">
        <v>2400</v>
      </c>
      <c r="N1020">
        <v>0</v>
      </c>
    </row>
    <row r="1021" spans="1:14" x14ac:dyDescent="0.25">
      <c r="A1021">
        <v>550.92158600000005</v>
      </c>
      <c r="B1021" s="1">
        <f>DATE(2011,11,2) + TIME(22,7,5)</f>
        <v>40849.921585648146</v>
      </c>
      <c r="C1021">
        <v>80</v>
      </c>
      <c r="D1021">
        <v>79.728752135999997</v>
      </c>
      <c r="E1021">
        <v>50</v>
      </c>
      <c r="F1021">
        <v>50.252346039000003</v>
      </c>
      <c r="G1021">
        <v>1329.9251709</v>
      </c>
      <c r="H1021">
        <v>1329.2559814000001</v>
      </c>
      <c r="I1021">
        <v>1338.6629639</v>
      </c>
      <c r="J1021">
        <v>1336.1516113</v>
      </c>
      <c r="K1021">
        <v>0</v>
      </c>
      <c r="L1021">
        <v>2400</v>
      </c>
      <c r="M1021">
        <v>2400</v>
      </c>
      <c r="N1021">
        <v>0</v>
      </c>
    </row>
    <row r="1022" spans="1:14" x14ac:dyDescent="0.25">
      <c r="A1022">
        <v>551.10822299999995</v>
      </c>
      <c r="B1022" s="1">
        <f>DATE(2011,11,3) + TIME(2,35,50)</f>
        <v>40850.108217592591</v>
      </c>
      <c r="C1022">
        <v>80</v>
      </c>
      <c r="D1022">
        <v>79.709335327000005</v>
      </c>
      <c r="E1022">
        <v>50</v>
      </c>
      <c r="F1022">
        <v>50.187129974000001</v>
      </c>
      <c r="G1022">
        <v>1329.9141846</v>
      </c>
      <c r="H1022">
        <v>1329.2426757999999</v>
      </c>
      <c r="I1022">
        <v>1338.6582031</v>
      </c>
      <c r="J1022">
        <v>1336.1462402</v>
      </c>
      <c r="K1022">
        <v>0</v>
      </c>
      <c r="L1022">
        <v>2400</v>
      </c>
      <c r="M1022">
        <v>2400</v>
      </c>
      <c r="N1022">
        <v>0</v>
      </c>
    </row>
    <row r="1023" spans="1:14" x14ac:dyDescent="0.25">
      <c r="A1023">
        <v>551.30697099999998</v>
      </c>
      <c r="B1023" s="1">
        <f>DATE(2011,11,3) + TIME(7,22,2)</f>
        <v>40850.306967592594</v>
      </c>
      <c r="C1023">
        <v>80</v>
      </c>
      <c r="D1023">
        <v>79.688842773000005</v>
      </c>
      <c r="E1023">
        <v>50</v>
      </c>
      <c r="F1023">
        <v>50.134769439999999</v>
      </c>
      <c r="G1023">
        <v>1329.9035644999999</v>
      </c>
      <c r="H1023">
        <v>1329.2298584</v>
      </c>
      <c r="I1023">
        <v>1338.6542969</v>
      </c>
      <c r="J1023">
        <v>1336.1419678</v>
      </c>
      <c r="K1023">
        <v>0</v>
      </c>
      <c r="L1023">
        <v>2400</v>
      </c>
      <c r="M1023">
        <v>2400</v>
      </c>
      <c r="N1023">
        <v>0</v>
      </c>
    </row>
    <row r="1024" spans="1:14" x14ac:dyDescent="0.25">
      <c r="A1024">
        <v>551.50941599999999</v>
      </c>
      <c r="B1024" s="1">
        <f>DATE(2011,11,3) + TIME(12,13,33)</f>
        <v>40850.509409722225</v>
      </c>
      <c r="C1024">
        <v>80</v>
      </c>
      <c r="D1024">
        <v>79.668037415000001</v>
      </c>
      <c r="E1024">
        <v>50</v>
      </c>
      <c r="F1024">
        <v>50.094726561999998</v>
      </c>
      <c r="G1024">
        <v>1329.8936768000001</v>
      </c>
      <c r="H1024">
        <v>1329.2175293</v>
      </c>
      <c r="I1024">
        <v>1338.6507568</v>
      </c>
      <c r="J1024">
        <v>1336.1383057</v>
      </c>
      <c r="K1024">
        <v>0</v>
      </c>
      <c r="L1024">
        <v>2400</v>
      </c>
      <c r="M1024">
        <v>2400</v>
      </c>
      <c r="N1024">
        <v>0</v>
      </c>
    </row>
    <row r="1025" spans="1:14" x14ac:dyDescent="0.25">
      <c r="A1025">
        <v>551.71754999999996</v>
      </c>
      <c r="B1025" s="1">
        <f>DATE(2011,11,3) + TIME(17,13,16)</f>
        <v>40850.717546296299</v>
      </c>
      <c r="C1025">
        <v>80</v>
      </c>
      <c r="D1025">
        <v>79.646736145000006</v>
      </c>
      <c r="E1025">
        <v>50</v>
      </c>
      <c r="F1025">
        <v>50.064014434999997</v>
      </c>
      <c r="G1025">
        <v>1329.8843993999999</v>
      </c>
      <c r="H1025">
        <v>1329.2059326000001</v>
      </c>
      <c r="I1025">
        <v>1338.6470947</v>
      </c>
      <c r="J1025">
        <v>1336.1347656</v>
      </c>
      <c r="K1025">
        <v>0</v>
      </c>
      <c r="L1025">
        <v>2400</v>
      </c>
      <c r="M1025">
        <v>2400</v>
      </c>
      <c r="N1025">
        <v>0</v>
      </c>
    </row>
    <row r="1026" spans="1:14" x14ac:dyDescent="0.25">
      <c r="A1026">
        <v>551.93267700000001</v>
      </c>
      <c r="B1026" s="1">
        <f>DATE(2011,11,3) + TIME(22,23,3)</f>
        <v>40850.932673611111</v>
      </c>
      <c r="C1026">
        <v>80</v>
      </c>
      <c r="D1026">
        <v>79.624824524000005</v>
      </c>
      <c r="E1026">
        <v>50</v>
      </c>
      <c r="F1026">
        <v>50.040515900000003</v>
      </c>
      <c r="G1026">
        <v>1329.8754882999999</v>
      </c>
      <c r="H1026">
        <v>1329.1947021000001</v>
      </c>
      <c r="I1026">
        <v>1338.6430664</v>
      </c>
      <c r="J1026">
        <v>1336.1312256000001</v>
      </c>
      <c r="K1026">
        <v>0</v>
      </c>
      <c r="L1026">
        <v>2400</v>
      </c>
      <c r="M1026">
        <v>2400</v>
      </c>
      <c r="N1026">
        <v>0</v>
      </c>
    </row>
    <row r="1027" spans="1:14" x14ac:dyDescent="0.25">
      <c r="A1027">
        <v>552.15572799999995</v>
      </c>
      <c r="B1027" s="1">
        <f>DATE(2011,11,4) + TIME(3,44,14)</f>
        <v>40851.155717592592</v>
      </c>
      <c r="C1027">
        <v>80</v>
      </c>
      <c r="D1027">
        <v>79.602233886999997</v>
      </c>
      <c r="E1027">
        <v>50</v>
      </c>
      <c r="F1027">
        <v>50.022647857999999</v>
      </c>
      <c r="G1027">
        <v>1329.8666992000001</v>
      </c>
      <c r="H1027">
        <v>1329.1835937999999</v>
      </c>
      <c r="I1027">
        <v>1338.6387939000001</v>
      </c>
      <c r="J1027">
        <v>1336.1276855000001</v>
      </c>
      <c r="K1027">
        <v>0</v>
      </c>
      <c r="L1027">
        <v>2400</v>
      </c>
      <c r="M1027">
        <v>2400</v>
      </c>
      <c r="N1027">
        <v>0</v>
      </c>
    </row>
    <row r="1028" spans="1:14" x14ac:dyDescent="0.25">
      <c r="A1028">
        <v>552.38654299999996</v>
      </c>
      <c r="B1028" s="1">
        <f>DATE(2011,11,4) + TIME(9,16,37)</f>
        <v>40851.38653935185</v>
      </c>
      <c r="C1028">
        <v>80</v>
      </c>
      <c r="D1028">
        <v>79.578964232999994</v>
      </c>
      <c r="E1028">
        <v>50</v>
      </c>
      <c r="F1028">
        <v>50.009193420000003</v>
      </c>
      <c r="G1028">
        <v>1329.8580322</v>
      </c>
      <c r="H1028">
        <v>1329.1726074000001</v>
      </c>
      <c r="I1028">
        <v>1338.6342772999999</v>
      </c>
      <c r="J1028">
        <v>1336.1240233999999</v>
      </c>
      <c r="K1028">
        <v>0</v>
      </c>
      <c r="L1028">
        <v>2400</v>
      </c>
      <c r="M1028">
        <v>2400</v>
      </c>
      <c r="N1028">
        <v>0</v>
      </c>
    </row>
    <row r="1029" spans="1:14" x14ac:dyDescent="0.25">
      <c r="A1029">
        <v>552.62657899999999</v>
      </c>
      <c r="B1029" s="1">
        <f>DATE(2011,11,4) + TIME(15,2,16)</f>
        <v>40851.626574074071</v>
      </c>
      <c r="C1029">
        <v>80</v>
      </c>
      <c r="D1029">
        <v>79.554908752000003</v>
      </c>
      <c r="E1029">
        <v>50</v>
      </c>
      <c r="F1029">
        <v>49.999118805000002</v>
      </c>
      <c r="G1029">
        <v>1329.8493652</v>
      </c>
      <c r="H1029">
        <v>1329.161499</v>
      </c>
      <c r="I1029">
        <v>1338.6293945</v>
      </c>
      <c r="J1029">
        <v>1336.1202393000001</v>
      </c>
      <c r="K1029">
        <v>0</v>
      </c>
      <c r="L1029">
        <v>2400</v>
      </c>
      <c r="M1029">
        <v>2400</v>
      </c>
      <c r="N1029">
        <v>0</v>
      </c>
    </row>
    <row r="1030" spans="1:14" x14ac:dyDescent="0.25">
      <c r="A1030">
        <v>552.87734699999999</v>
      </c>
      <c r="B1030" s="1">
        <f>DATE(2011,11,4) + TIME(21,3,22)</f>
        <v>40851.877337962964</v>
      </c>
      <c r="C1030">
        <v>80</v>
      </c>
      <c r="D1030">
        <v>79.529922485</v>
      </c>
      <c r="E1030">
        <v>50</v>
      </c>
      <c r="F1030">
        <v>49.991619110000002</v>
      </c>
      <c r="G1030">
        <v>1329.8405762</v>
      </c>
      <c r="H1030">
        <v>1329.1502685999999</v>
      </c>
      <c r="I1030">
        <v>1338.6242675999999</v>
      </c>
      <c r="J1030">
        <v>1336.1162108999999</v>
      </c>
      <c r="K1030">
        <v>0</v>
      </c>
      <c r="L1030">
        <v>2400</v>
      </c>
      <c r="M1030">
        <v>2400</v>
      </c>
      <c r="N1030">
        <v>0</v>
      </c>
    </row>
    <row r="1031" spans="1:14" x14ac:dyDescent="0.25">
      <c r="A1031">
        <v>553.14059399999996</v>
      </c>
      <c r="B1031" s="1">
        <f>DATE(2011,11,5) + TIME(3,22,27)</f>
        <v>40852.140590277777</v>
      </c>
      <c r="C1031">
        <v>80</v>
      </c>
      <c r="D1031">
        <v>79.503868103000002</v>
      </c>
      <c r="E1031">
        <v>50</v>
      </c>
      <c r="F1031">
        <v>49.986080170000001</v>
      </c>
      <c r="G1031">
        <v>1329.8316649999999</v>
      </c>
      <c r="H1031">
        <v>1329.1389160000001</v>
      </c>
      <c r="I1031">
        <v>1338.6187743999999</v>
      </c>
      <c r="J1031">
        <v>1336.1120605000001</v>
      </c>
      <c r="K1031">
        <v>0</v>
      </c>
      <c r="L1031">
        <v>2400</v>
      </c>
      <c r="M1031">
        <v>2400</v>
      </c>
      <c r="N1031">
        <v>0</v>
      </c>
    </row>
    <row r="1032" spans="1:14" x14ac:dyDescent="0.25">
      <c r="A1032">
        <v>553.41837799999996</v>
      </c>
      <c r="B1032" s="1">
        <f>DATE(2011,11,5) + TIME(10,2,27)</f>
        <v>40852.418368055558</v>
      </c>
      <c r="C1032">
        <v>80</v>
      </c>
      <c r="D1032">
        <v>79.476577758999994</v>
      </c>
      <c r="E1032">
        <v>50</v>
      </c>
      <c r="F1032">
        <v>49.982028960999997</v>
      </c>
      <c r="G1032">
        <v>1329.8223877</v>
      </c>
      <c r="H1032">
        <v>1329.1270752</v>
      </c>
      <c r="I1032">
        <v>1338.6130370999999</v>
      </c>
      <c r="J1032">
        <v>1336.1075439000001</v>
      </c>
      <c r="K1032">
        <v>0</v>
      </c>
      <c r="L1032">
        <v>2400</v>
      </c>
      <c r="M1032">
        <v>2400</v>
      </c>
      <c r="N1032">
        <v>0</v>
      </c>
    </row>
    <row r="1033" spans="1:14" x14ac:dyDescent="0.25">
      <c r="A1033">
        <v>553.71312699999999</v>
      </c>
      <c r="B1033" s="1">
        <f>DATE(2011,11,5) + TIME(17,6,54)</f>
        <v>40852.713125000002</v>
      </c>
      <c r="C1033">
        <v>80</v>
      </c>
      <c r="D1033">
        <v>79.447853088000002</v>
      </c>
      <c r="E1033">
        <v>50</v>
      </c>
      <c r="F1033">
        <v>49.979099273999999</v>
      </c>
      <c r="G1033">
        <v>1329.8128661999999</v>
      </c>
      <c r="H1033">
        <v>1329.1148682</v>
      </c>
      <c r="I1033">
        <v>1338.6069336</v>
      </c>
      <c r="J1033">
        <v>1336.1029053</v>
      </c>
      <c r="K1033">
        <v>0</v>
      </c>
      <c r="L1033">
        <v>2400</v>
      </c>
      <c r="M1033">
        <v>2400</v>
      </c>
      <c r="N1033">
        <v>0</v>
      </c>
    </row>
    <row r="1034" spans="1:14" x14ac:dyDescent="0.25">
      <c r="A1034">
        <v>554.02494300000001</v>
      </c>
      <c r="B1034" s="1">
        <f>DATE(2011,11,6) + TIME(0,35,55)</f>
        <v>40853.024942129632</v>
      </c>
      <c r="C1034">
        <v>80</v>
      </c>
      <c r="D1034">
        <v>79.417686462000006</v>
      </c>
      <c r="E1034">
        <v>50</v>
      </c>
      <c r="F1034">
        <v>49.977012633999998</v>
      </c>
      <c r="G1034">
        <v>1329.8028564000001</v>
      </c>
      <c r="H1034">
        <v>1329.1021728999999</v>
      </c>
      <c r="I1034">
        <v>1338.6005858999999</v>
      </c>
      <c r="J1034">
        <v>1336.0980225000001</v>
      </c>
      <c r="K1034">
        <v>0</v>
      </c>
      <c r="L1034">
        <v>2400</v>
      </c>
      <c r="M1034">
        <v>2400</v>
      </c>
      <c r="N1034">
        <v>0</v>
      </c>
    </row>
    <row r="1035" spans="1:14" x14ac:dyDescent="0.25">
      <c r="A1035">
        <v>554.35544800000002</v>
      </c>
      <c r="B1035" s="1">
        <f>DATE(2011,11,6) + TIME(8,31,50)</f>
        <v>40853.355439814812</v>
      </c>
      <c r="C1035">
        <v>80</v>
      </c>
      <c r="D1035">
        <v>79.385940551999994</v>
      </c>
      <c r="E1035">
        <v>50</v>
      </c>
      <c r="F1035">
        <v>49.975551605</v>
      </c>
      <c r="G1035">
        <v>1329.7924805</v>
      </c>
      <c r="H1035">
        <v>1329.0888672000001</v>
      </c>
      <c r="I1035">
        <v>1338.5939940999999</v>
      </c>
      <c r="J1035">
        <v>1336.0928954999999</v>
      </c>
      <c r="K1035">
        <v>0</v>
      </c>
      <c r="L1035">
        <v>2400</v>
      </c>
      <c r="M1035">
        <v>2400</v>
      </c>
      <c r="N1035">
        <v>0</v>
      </c>
    </row>
    <row r="1036" spans="1:14" x14ac:dyDescent="0.25">
      <c r="A1036">
        <v>554.70710199999996</v>
      </c>
      <c r="B1036" s="1">
        <f>DATE(2011,11,6) + TIME(16,58,13)</f>
        <v>40853.707094907404</v>
      </c>
      <c r="C1036">
        <v>80</v>
      </c>
      <c r="D1036">
        <v>79.352424622000001</v>
      </c>
      <c r="E1036">
        <v>50</v>
      </c>
      <c r="F1036">
        <v>49.974540709999999</v>
      </c>
      <c r="G1036">
        <v>1329.7816161999999</v>
      </c>
      <c r="H1036">
        <v>1329.0749512</v>
      </c>
      <c r="I1036">
        <v>1338.5870361</v>
      </c>
      <c r="J1036">
        <v>1336.0875243999999</v>
      </c>
      <c r="K1036">
        <v>0</v>
      </c>
      <c r="L1036">
        <v>2400</v>
      </c>
      <c r="M1036">
        <v>2400</v>
      </c>
      <c r="N1036">
        <v>0</v>
      </c>
    </row>
    <row r="1037" spans="1:14" x14ac:dyDescent="0.25">
      <c r="A1037">
        <v>555.07799399999999</v>
      </c>
      <c r="B1037" s="1">
        <f>DATE(2011,11,7) + TIME(1,52,18)</f>
        <v>40854.077986111108</v>
      </c>
      <c r="C1037">
        <v>80</v>
      </c>
      <c r="D1037">
        <v>79.317283630000006</v>
      </c>
      <c r="E1037">
        <v>50</v>
      </c>
      <c r="F1037">
        <v>49.973854064999998</v>
      </c>
      <c r="G1037">
        <v>1329.7701416</v>
      </c>
      <c r="H1037">
        <v>1329.0603027</v>
      </c>
      <c r="I1037">
        <v>1338.5799560999999</v>
      </c>
      <c r="J1037">
        <v>1336.0820312000001</v>
      </c>
      <c r="K1037">
        <v>0</v>
      </c>
      <c r="L1037">
        <v>2400</v>
      </c>
      <c r="M1037">
        <v>2400</v>
      </c>
      <c r="N1037">
        <v>0</v>
      </c>
    </row>
    <row r="1038" spans="1:14" x14ac:dyDescent="0.25">
      <c r="A1038">
        <v>555.45666900000003</v>
      </c>
      <c r="B1038" s="1">
        <f>DATE(2011,11,7) + TIME(10,57,36)</f>
        <v>40854.456666666665</v>
      </c>
      <c r="C1038">
        <v>80</v>
      </c>
      <c r="D1038">
        <v>79.281356811999999</v>
      </c>
      <c r="E1038">
        <v>50</v>
      </c>
      <c r="F1038">
        <v>49.973403931</v>
      </c>
      <c r="G1038">
        <v>1329.7583007999999</v>
      </c>
      <c r="H1038">
        <v>1329.0450439000001</v>
      </c>
      <c r="I1038">
        <v>1338.5727539</v>
      </c>
      <c r="J1038">
        <v>1336.0762939000001</v>
      </c>
      <c r="K1038">
        <v>0</v>
      </c>
      <c r="L1038">
        <v>2400</v>
      </c>
      <c r="M1038">
        <v>2400</v>
      </c>
      <c r="N1038">
        <v>0</v>
      </c>
    </row>
    <row r="1039" spans="1:14" x14ac:dyDescent="0.25">
      <c r="A1039">
        <v>555.84421299999997</v>
      </c>
      <c r="B1039" s="1">
        <f>DATE(2011,11,7) + TIME(20,15,40)</f>
        <v>40854.844212962962</v>
      </c>
      <c r="C1039">
        <v>80</v>
      </c>
      <c r="D1039">
        <v>79.244598389000004</v>
      </c>
      <c r="E1039">
        <v>50</v>
      </c>
      <c r="F1039">
        <v>49.973110198999997</v>
      </c>
      <c r="G1039">
        <v>1329.7462158000001</v>
      </c>
      <c r="H1039">
        <v>1329.0296631000001</v>
      </c>
      <c r="I1039">
        <v>1338.5655518000001</v>
      </c>
      <c r="J1039">
        <v>1336.0705565999999</v>
      </c>
      <c r="K1039">
        <v>0</v>
      </c>
      <c r="L1039">
        <v>2400</v>
      </c>
      <c r="M1039">
        <v>2400</v>
      </c>
      <c r="N1039">
        <v>0</v>
      </c>
    </row>
    <row r="1040" spans="1:14" x14ac:dyDescent="0.25">
      <c r="A1040">
        <v>556.24152500000002</v>
      </c>
      <c r="B1040" s="1">
        <f>DATE(2011,11,8) + TIME(5,47,47)</f>
        <v>40855.241516203707</v>
      </c>
      <c r="C1040">
        <v>80</v>
      </c>
      <c r="D1040">
        <v>79.206993103000002</v>
      </c>
      <c r="E1040">
        <v>50</v>
      </c>
      <c r="F1040">
        <v>49.972911834999998</v>
      </c>
      <c r="G1040">
        <v>1329.7338867000001</v>
      </c>
      <c r="H1040">
        <v>1329.0139160000001</v>
      </c>
      <c r="I1040">
        <v>1338.5584716999999</v>
      </c>
      <c r="J1040">
        <v>1336.0649414</v>
      </c>
      <c r="K1040">
        <v>0</v>
      </c>
      <c r="L1040">
        <v>2400</v>
      </c>
      <c r="M1040">
        <v>2400</v>
      </c>
      <c r="N1040">
        <v>0</v>
      </c>
    </row>
    <row r="1041" spans="1:14" x14ac:dyDescent="0.25">
      <c r="A1041">
        <v>556.64623300000005</v>
      </c>
      <c r="B1041" s="1">
        <f>DATE(2011,11,8) + TIME(15,30,34)</f>
        <v>40855.646226851852</v>
      </c>
      <c r="C1041">
        <v>80</v>
      </c>
      <c r="D1041">
        <v>79.168724060000002</v>
      </c>
      <c r="E1041">
        <v>50</v>
      </c>
      <c r="F1041">
        <v>49.972782135000003</v>
      </c>
      <c r="G1041">
        <v>1329.7214355000001</v>
      </c>
      <c r="H1041">
        <v>1328.9979248</v>
      </c>
      <c r="I1041">
        <v>1338.5515137</v>
      </c>
      <c r="J1041">
        <v>1336.0593262</v>
      </c>
      <c r="K1041">
        <v>0</v>
      </c>
      <c r="L1041">
        <v>2400</v>
      </c>
      <c r="M1041">
        <v>2400</v>
      </c>
      <c r="N1041">
        <v>0</v>
      </c>
    </row>
    <row r="1042" spans="1:14" x14ac:dyDescent="0.25">
      <c r="A1042">
        <v>557.05735000000004</v>
      </c>
      <c r="B1042" s="1">
        <f>DATE(2011,11,9) + TIME(1,22,35)</f>
        <v>40856.057349537034</v>
      </c>
      <c r="C1042">
        <v>80</v>
      </c>
      <c r="D1042">
        <v>79.129898071</v>
      </c>
      <c r="E1042">
        <v>50</v>
      </c>
      <c r="F1042">
        <v>49.972698211999997</v>
      </c>
      <c r="G1042">
        <v>1329.7088623</v>
      </c>
      <c r="H1042">
        <v>1328.9816894999999</v>
      </c>
      <c r="I1042">
        <v>1338.5446777</v>
      </c>
      <c r="J1042">
        <v>1336.0537108999999</v>
      </c>
      <c r="K1042">
        <v>0</v>
      </c>
      <c r="L1042">
        <v>2400</v>
      </c>
      <c r="M1042">
        <v>2400</v>
      </c>
      <c r="N1042">
        <v>0</v>
      </c>
    </row>
    <row r="1043" spans="1:14" x14ac:dyDescent="0.25">
      <c r="A1043">
        <v>557.47555299999999</v>
      </c>
      <c r="B1043" s="1">
        <f>DATE(2011,11,9) + TIME(11,24,47)</f>
        <v>40856.475543981483</v>
      </c>
      <c r="C1043">
        <v>80</v>
      </c>
      <c r="D1043">
        <v>79.090499878000003</v>
      </c>
      <c r="E1043">
        <v>50</v>
      </c>
      <c r="F1043">
        <v>49.972640990999999</v>
      </c>
      <c r="G1043">
        <v>1329.6960449000001</v>
      </c>
      <c r="H1043">
        <v>1328.965332</v>
      </c>
      <c r="I1043">
        <v>1338.5379639</v>
      </c>
      <c r="J1043">
        <v>1336.0482178</v>
      </c>
      <c r="K1043">
        <v>0</v>
      </c>
      <c r="L1043">
        <v>2400</v>
      </c>
      <c r="M1043">
        <v>2400</v>
      </c>
      <c r="N1043">
        <v>0</v>
      </c>
    </row>
    <row r="1044" spans="1:14" x14ac:dyDescent="0.25">
      <c r="A1044">
        <v>557.90196700000001</v>
      </c>
      <c r="B1044" s="1">
        <f>DATE(2011,11,9) + TIME(21,38,49)</f>
        <v>40856.901956018519</v>
      </c>
      <c r="C1044">
        <v>80</v>
      </c>
      <c r="D1044">
        <v>79.050476074000002</v>
      </c>
      <c r="E1044">
        <v>50</v>
      </c>
      <c r="F1044">
        <v>49.972602844000001</v>
      </c>
      <c r="G1044">
        <v>1329.6831055</v>
      </c>
      <c r="H1044">
        <v>1328.9488524999999</v>
      </c>
      <c r="I1044">
        <v>1338.5314940999999</v>
      </c>
      <c r="J1044">
        <v>1336.0428466999999</v>
      </c>
      <c r="K1044">
        <v>0</v>
      </c>
      <c r="L1044">
        <v>2400</v>
      </c>
      <c r="M1044">
        <v>2400</v>
      </c>
      <c r="N1044">
        <v>0</v>
      </c>
    </row>
    <row r="1045" spans="1:14" x14ac:dyDescent="0.25">
      <c r="A1045">
        <v>558.33752200000004</v>
      </c>
      <c r="B1045" s="1">
        <f>DATE(2011,11,10) + TIME(8,6,1)</f>
        <v>40857.337511574071</v>
      </c>
      <c r="C1045">
        <v>80</v>
      </c>
      <c r="D1045">
        <v>79.009773253999995</v>
      </c>
      <c r="E1045">
        <v>50</v>
      </c>
      <c r="F1045">
        <v>49.972576140999998</v>
      </c>
      <c r="G1045">
        <v>1329.6701660000001</v>
      </c>
      <c r="H1045">
        <v>1328.9321289</v>
      </c>
      <c r="I1045">
        <v>1338.5250243999999</v>
      </c>
      <c r="J1045">
        <v>1336.0375977000001</v>
      </c>
      <c r="K1045">
        <v>0</v>
      </c>
      <c r="L1045">
        <v>2400</v>
      </c>
      <c r="M1045">
        <v>2400</v>
      </c>
      <c r="N1045">
        <v>0</v>
      </c>
    </row>
    <row r="1046" spans="1:14" x14ac:dyDescent="0.25">
      <c r="A1046">
        <v>558.78317100000004</v>
      </c>
      <c r="B1046" s="1">
        <f>DATE(2011,11,10) + TIME(18,47,45)</f>
        <v>40857.783159722225</v>
      </c>
      <c r="C1046">
        <v>80</v>
      </c>
      <c r="D1046">
        <v>78.968345642000003</v>
      </c>
      <c r="E1046">
        <v>50</v>
      </c>
      <c r="F1046">
        <v>49.972560883</v>
      </c>
      <c r="G1046">
        <v>1329.6568603999999</v>
      </c>
      <c r="H1046">
        <v>1328.9151611</v>
      </c>
      <c r="I1046">
        <v>1338.5187988</v>
      </c>
      <c r="J1046">
        <v>1336.0322266000001</v>
      </c>
      <c r="K1046">
        <v>0</v>
      </c>
      <c r="L1046">
        <v>2400</v>
      </c>
      <c r="M1046">
        <v>2400</v>
      </c>
      <c r="N1046">
        <v>0</v>
      </c>
    </row>
    <row r="1047" spans="1:14" x14ac:dyDescent="0.25">
      <c r="A1047">
        <v>559.23990600000002</v>
      </c>
      <c r="B1047" s="1">
        <f>DATE(2011,11,11) + TIME(5,45,27)</f>
        <v>40858.239895833336</v>
      </c>
      <c r="C1047">
        <v>80</v>
      </c>
      <c r="D1047">
        <v>78.926124572999996</v>
      </c>
      <c r="E1047">
        <v>50</v>
      </c>
      <c r="F1047">
        <v>49.972553253000001</v>
      </c>
      <c r="G1047">
        <v>1329.6435547000001</v>
      </c>
      <c r="H1047">
        <v>1328.8979492000001</v>
      </c>
      <c r="I1047">
        <v>1338.5126952999999</v>
      </c>
      <c r="J1047">
        <v>1336.0270995999999</v>
      </c>
      <c r="K1047">
        <v>0</v>
      </c>
      <c r="L1047">
        <v>2400</v>
      </c>
      <c r="M1047">
        <v>2400</v>
      </c>
      <c r="N1047">
        <v>0</v>
      </c>
    </row>
    <row r="1048" spans="1:14" x14ac:dyDescent="0.25">
      <c r="A1048">
        <v>559.70879000000002</v>
      </c>
      <c r="B1048" s="1">
        <f>DATE(2011,11,11) + TIME(17,0,39)</f>
        <v>40858.708784722221</v>
      </c>
      <c r="C1048">
        <v>80</v>
      </c>
      <c r="D1048">
        <v>78.883033752000003</v>
      </c>
      <c r="E1048">
        <v>50</v>
      </c>
      <c r="F1048">
        <v>49.972545623999999</v>
      </c>
      <c r="G1048">
        <v>1329.6298827999999</v>
      </c>
      <c r="H1048">
        <v>1328.8803711</v>
      </c>
      <c r="I1048">
        <v>1338.5065918</v>
      </c>
      <c r="J1048">
        <v>1336.0218506000001</v>
      </c>
      <c r="K1048">
        <v>0</v>
      </c>
      <c r="L1048">
        <v>2400</v>
      </c>
      <c r="M1048">
        <v>2400</v>
      </c>
      <c r="N1048">
        <v>0</v>
      </c>
    </row>
    <row r="1049" spans="1:14" x14ac:dyDescent="0.25">
      <c r="A1049">
        <v>560.19090900000003</v>
      </c>
      <c r="B1049" s="1">
        <f>DATE(2011,11,12) + TIME(4,34,54)</f>
        <v>40859.19090277778</v>
      </c>
      <c r="C1049">
        <v>80</v>
      </c>
      <c r="D1049">
        <v>78.839019774999997</v>
      </c>
      <c r="E1049">
        <v>50</v>
      </c>
      <c r="F1049">
        <v>49.972545623999999</v>
      </c>
      <c r="G1049">
        <v>1329.6159668</v>
      </c>
      <c r="H1049">
        <v>1328.8625488</v>
      </c>
      <c r="I1049">
        <v>1338.5006103999999</v>
      </c>
      <c r="J1049">
        <v>1336.0167236</v>
      </c>
      <c r="K1049">
        <v>0</v>
      </c>
      <c r="L1049">
        <v>2400</v>
      </c>
      <c r="M1049">
        <v>2400</v>
      </c>
      <c r="N1049">
        <v>0</v>
      </c>
    </row>
    <row r="1050" spans="1:14" x14ac:dyDescent="0.25">
      <c r="A1050">
        <v>560.68742699999996</v>
      </c>
      <c r="B1050" s="1">
        <f>DATE(2011,11,12) + TIME(16,29,53)</f>
        <v>40859.687418981484</v>
      </c>
      <c r="C1050">
        <v>80</v>
      </c>
      <c r="D1050">
        <v>78.793991089000002</v>
      </c>
      <c r="E1050">
        <v>50</v>
      </c>
      <c r="F1050">
        <v>49.972545623999999</v>
      </c>
      <c r="G1050">
        <v>1329.6018065999999</v>
      </c>
      <c r="H1050">
        <v>1328.8443603999999</v>
      </c>
      <c r="I1050">
        <v>1338.494751</v>
      </c>
      <c r="J1050">
        <v>1336.0115966999999</v>
      </c>
      <c r="K1050">
        <v>0</v>
      </c>
      <c r="L1050">
        <v>2400</v>
      </c>
      <c r="M1050">
        <v>2400</v>
      </c>
      <c r="N1050">
        <v>0</v>
      </c>
    </row>
    <row r="1051" spans="1:14" x14ac:dyDescent="0.25">
      <c r="A1051">
        <v>561.19960400000002</v>
      </c>
      <c r="B1051" s="1">
        <f>DATE(2011,11,13) + TIME(4,47,25)</f>
        <v>40860.199594907404</v>
      </c>
      <c r="C1051">
        <v>80</v>
      </c>
      <c r="D1051">
        <v>78.747863769999995</v>
      </c>
      <c r="E1051">
        <v>50</v>
      </c>
      <c r="F1051">
        <v>49.972549438000001</v>
      </c>
      <c r="G1051">
        <v>1329.5872803</v>
      </c>
      <c r="H1051">
        <v>1328.8258057</v>
      </c>
      <c r="I1051">
        <v>1338.4888916</v>
      </c>
      <c r="J1051">
        <v>1336.0064697</v>
      </c>
      <c r="K1051">
        <v>0</v>
      </c>
      <c r="L1051">
        <v>2400</v>
      </c>
      <c r="M1051">
        <v>2400</v>
      </c>
      <c r="N1051">
        <v>0</v>
      </c>
    </row>
    <row r="1052" spans="1:14" x14ac:dyDescent="0.25">
      <c r="A1052">
        <v>561.72878100000003</v>
      </c>
      <c r="B1052" s="1">
        <f>DATE(2011,11,13) + TIME(17,29,26)</f>
        <v>40860.728773148148</v>
      </c>
      <c r="C1052">
        <v>80</v>
      </c>
      <c r="D1052">
        <v>78.700546265</v>
      </c>
      <c r="E1052">
        <v>50</v>
      </c>
      <c r="F1052">
        <v>49.972553253000001</v>
      </c>
      <c r="G1052">
        <v>1329.5725098</v>
      </c>
      <c r="H1052">
        <v>1328.8067627</v>
      </c>
      <c r="I1052">
        <v>1338.4830322</v>
      </c>
      <c r="J1052">
        <v>1336.0013428</v>
      </c>
      <c r="K1052">
        <v>0</v>
      </c>
      <c r="L1052">
        <v>2400</v>
      </c>
      <c r="M1052">
        <v>2400</v>
      </c>
      <c r="N1052">
        <v>0</v>
      </c>
    </row>
    <row r="1053" spans="1:14" x14ac:dyDescent="0.25">
      <c r="A1053">
        <v>562.27618600000005</v>
      </c>
      <c r="B1053" s="1">
        <f>DATE(2011,11,14) + TIME(6,37,42)</f>
        <v>40861.276180555556</v>
      </c>
      <c r="C1053">
        <v>80</v>
      </c>
      <c r="D1053">
        <v>78.651954650999997</v>
      </c>
      <c r="E1053">
        <v>50</v>
      </c>
      <c r="F1053">
        <v>49.972560883</v>
      </c>
      <c r="G1053">
        <v>1329.557251</v>
      </c>
      <c r="H1053">
        <v>1328.7871094</v>
      </c>
      <c r="I1053">
        <v>1338.4772949000001</v>
      </c>
      <c r="J1053">
        <v>1335.9962158000001</v>
      </c>
      <c r="K1053">
        <v>0</v>
      </c>
      <c r="L1053">
        <v>2400</v>
      </c>
      <c r="M1053">
        <v>2400</v>
      </c>
      <c r="N1053">
        <v>0</v>
      </c>
    </row>
    <row r="1054" spans="1:14" x14ac:dyDescent="0.25">
      <c r="A1054">
        <v>562.84351800000002</v>
      </c>
      <c r="B1054" s="1">
        <f>DATE(2011,11,14) + TIME(20,14,39)</f>
        <v>40861.843506944446</v>
      </c>
      <c r="C1054">
        <v>80</v>
      </c>
      <c r="D1054">
        <v>78.601989746000001</v>
      </c>
      <c r="E1054">
        <v>50</v>
      </c>
      <c r="F1054">
        <v>49.972568512000002</v>
      </c>
      <c r="G1054">
        <v>1329.541626</v>
      </c>
      <c r="H1054">
        <v>1328.7669678</v>
      </c>
      <c r="I1054">
        <v>1338.4715576000001</v>
      </c>
      <c r="J1054">
        <v>1335.9910889</v>
      </c>
      <c r="K1054">
        <v>0</v>
      </c>
      <c r="L1054">
        <v>2400</v>
      </c>
      <c r="M1054">
        <v>2400</v>
      </c>
      <c r="N1054">
        <v>0</v>
      </c>
    </row>
    <row r="1055" spans="1:14" x14ac:dyDescent="0.25">
      <c r="A1055">
        <v>563.43253000000004</v>
      </c>
      <c r="B1055" s="1">
        <f>DATE(2011,11,15) + TIME(10,22,50)</f>
        <v>40862.432523148149</v>
      </c>
      <c r="C1055">
        <v>80</v>
      </c>
      <c r="D1055">
        <v>78.550514221</v>
      </c>
      <c r="E1055">
        <v>50</v>
      </c>
      <c r="F1055">
        <v>49.972576140999998</v>
      </c>
      <c r="G1055">
        <v>1329.5255127</v>
      </c>
      <c r="H1055">
        <v>1328.7463379000001</v>
      </c>
      <c r="I1055">
        <v>1338.4658202999999</v>
      </c>
      <c r="J1055">
        <v>1335.9859618999999</v>
      </c>
      <c r="K1055">
        <v>0</v>
      </c>
      <c r="L1055">
        <v>2400</v>
      </c>
      <c r="M1055">
        <v>2400</v>
      </c>
      <c r="N1055">
        <v>0</v>
      </c>
    </row>
    <row r="1056" spans="1:14" x14ac:dyDescent="0.25">
      <c r="A1056">
        <v>564.04512399999999</v>
      </c>
      <c r="B1056" s="1">
        <f>DATE(2011,11,16) + TIME(1,4,58)</f>
        <v>40863.045115740744</v>
      </c>
      <c r="C1056">
        <v>80</v>
      </c>
      <c r="D1056">
        <v>78.497421265</v>
      </c>
      <c r="E1056">
        <v>50</v>
      </c>
      <c r="F1056">
        <v>49.972587584999999</v>
      </c>
      <c r="G1056">
        <v>1329.5089111</v>
      </c>
      <c r="H1056">
        <v>1328.7249756000001</v>
      </c>
      <c r="I1056">
        <v>1338.4600829999999</v>
      </c>
      <c r="J1056">
        <v>1335.9808350000001</v>
      </c>
      <c r="K1056">
        <v>0</v>
      </c>
      <c r="L1056">
        <v>2400</v>
      </c>
      <c r="M1056">
        <v>2400</v>
      </c>
      <c r="N1056">
        <v>0</v>
      </c>
    </row>
    <row r="1057" spans="1:14" x14ac:dyDescent="0.25">
      <c r="A1057">
        <v>564.68339400000002</v>
      </c>
      <c r="B1057" s="1">
        <f>DATE(2011,11,16) + TIME(16,24,5)</f>
        <v>40863.683391203704</v>
      </c>
      <c r="C1057">
        <v>80</v>
      </c>
      <c r="D1057">
        <v>78.442565918</v>
      </c>
      <c r="E1057">
        <v>50</v>
      </c>
      <c r="F1057">
        <v>49.972599029999998</v>
      </c>
      <c r="G1057">
        <v>1329.4916992000001</v>
      </c>
      <c r="H1057">
        <v>1328.7028809000001</v>
      </c>
      <c r="I1057">
        <v>1338.4543457</v>
      </c>
      <c r="J1057">
        <v>1335.9755858999999</v>
      </c>
      <c r="K1057">
        <v>0</v>
      </c>
      <c r="L1057">
        <v>2400</v>
      </c>
      <c r="M1057">
        <v>2400</v>
      </c>
      <c r="N1057">
        <v>0</v>
      </c>
    </row>
    <row r="1058" spans="1:14" x14ac:dyDescent="0.25">
      <c r="A1058">
        <v>565.34966399999996</v>
      </c>
      <c r="B1058" s="1">
        <f>DATE(2011,11,17) + TIME(8,23,30)</f>
        <v>40864.349652777775</v>
      </c>
      <c r="C1058">
        <v>80</v>
      </c>
      <c r="D1058">
        <v>78.385795592999997</v>
      </c>
      <c r="E1058">
        <v>50</v>
      </c>
      <c r="F1058">
        <v>49.972614288000003</v>
      </c>
      <c r="G1058">
        <v>1329.4738769999999</v>
      </c>
      <c r="H1058">
        <v>1328.6800536999999</v>
      </c>
      <c r="I1058">
        <v>1338.4486084</v>
      </c>
      <c r="J1058">
        <v>1335.9703368999999</v>
      </c>
      <c r="K1058">
        <v>0</v>
      </c>
      <c r="L1058">
        <v>2400</v>
      </c>
      <c r="M1058">
        <v>2400</v>
      </c>
      <c r="N1058">
        <v>0</v>
      </c>
    </row>
    <row r="1059" spans="1:14" x14ac:dyDescent="0.25">
      <c r="A1059">
        <v>566.04651200000001</v>
      </c>
      <c r="B1059" s="1">
        <f>DATE(2011,11,18) + TIME(1,6,58)</f>
        <v>40865.04650462963</v>
      </c>
      <c r="C1059">
        <v>80</v>
      </c>
      <c r="D1059">
        <v>78.326965332</v>
      </c>
      <c r="E1059">
        <v>50</v>
      </c>
      <c r="F1059">
        <v>49.972629546999997</v>
      </c>
      <c r="G1059">
        <v>1329.4554443</v>
      </c>
      <c r="H1059">
        <v>1328.65625</v>
      </c>
      <c r="I1059">
        <v>1338.4428711</v>
      </c>
      <c r="J1059">
        <v>1335.9649658000001</v>
      </c>
      <c r="K1059">
        <v>0</v>
      </c>
      <c r="L1059">
        <v>2400</v>
      </c>
      <c r="M1059">
        <v>2400</v>
      </c>
      <c r="N1059">
        <v>0</v>
      </c>
    </row>
    <row r="1060" spans="1:14" x14ac:dyDescent="0.25">
      <c r="A1060">
        <v>566.77681500000006</v>
      </c>
      <c r="B1060" s="1">
        <f>DATE(2011,11,18) + TIME(18,38,36)</f>
        <v>40865.776805555557</v>
      </c>
      <c r="C1060">
        <v>80</v>
      </c>
      <c r="D1060">
        <v>78.265884399000001</v>
      </c>
      <c r="E1060">
        <v>50</v>
      </c>
      <c r="F1060">
        <v>49.972644805999998</v>
      </c>
      <c r="G1060">
        <v>1329.4364014</v>
      </c>
      <c r="H1060">
        <v>1328.6315918</v>
      </c>
      <c r="I1060">
        <v>1338.4370117000001</v>
      </c>
      <c r="J1060">
        <v>1335.9594727000001</v>
      </c>
      <c r="K1060">
        <v>0</v>
      </c>
      <c r="L1060">
        <v>2400</v>
      </c>
      <c r="M1060">
        <v>2400</v>
      </c>
      <c r="N1060">
        <v>0</v>
      </c>
    </row>
    <row r="1061" spans="1:14" x14ac:dyDescent="0.25">
      <c r="A1061">
        <v>567.54382099999998</v>
      </c>
      <c r="B1061" s="1">
        <f>DATE(2011,11,19) + TIME(13,3,6)</f>
        <v>40866.543819444443</v>
      </c>
      <c r="C1061">
        <v>80</v>
      </c>
      <c r="D1061">
        <v>78.202354431000003</v>
      </c>
      <c r="E1061">
        <v>50</v>
      </c>
      <c r="F1061">
        <v>49.972660064999999</v>
      </c>
      <c r="G1061">
        <v>1329.4163818</v>
      </c>
      <c r="H1061">
        <v>1328.605957</v>
      </c>
      <c r="I1061">
        <v>1338.4312743999999</v>
      </c>
      <c r="J1061">
        <v>1335.9539795000001</v>
      </c>
      <c r="K1061">
        <v>0</v>
      </c>
      <c r="L1061">
        <v>2400</v>
      </c>
      <c r="M1061">
        <v>2400</v>
      </c>
      <c r="N1061">
        <v>0</v>
      </c>
    </row>
    <row r="1062" spans="1:14" x14ac:dyDescent="0.25">
      <c r="A1062">
        <v>568.351178</v>
      </c>
      <c r="B1062" s="1">
        <f>DATE(2011,11,20) + TIME(8,25,41)</f>
        <v>40867.351168981484</v>
      </c>
      <c r="C1062">
        <v>80</v>
      </c>
      <c r="D1062">
        <v>78.136161803999997</v>
      </c>
      <c r="E1062">
        <v>50</v>
      </c>
      <c r="F1062">
        <v>49.972682953000003</v>
      </c>
      <c r="G1062">
        <v>1329.3956298999999</v>
      </c>
      <c r="H1062">
        <v>1328.5792236</v>
      </c>
      <c r="I1062">
        <v>1338.425293</v>
      </c>
      <c r="J1062">
        <v>1335.9483643000001</v>
      </c>
      <c r="K1062">
        <v>0</v>
      </c>
      <c r="L1062">
        <v>2400</v>
      </c>
      <c r="M1062">
        <v>2400</v>
      </c>
      <c r="N1062">
        <v>0</v>
      </c>
    </row>
    <row r="1063" spans="1:14" x14ac:dyDescent="0.25">
      <c r="A1063">
        <v>569.176511</v>
      </c>
      <c r="B1063" s="1">
        <f>DATE(2011,11,21) + TIME(4,14,10)</f>
        <v>40868.176504629628</v>
      </c>
      <c r="C1063">
        <v>80</v>
      </c>
      <c r="D1063">
        <v>78.068344116000006</v>
      </c>
      <c r="E1063">
        <v>50</v>
      </c>
      <c r="F1063">
        <v>49.972702026</v>
      </c>
      <c r="G1063">
        <v>1329.3739014</v>
      </c>
      <c r="H1063">
        <v>1328.5512695</v>
      </c>
      <c r="I1063">
        <v>1338.4194336</v>
      </c>
      <c r="J1063">
        <v>1335.942749</v>
      </c>
      <c r="K1063">
        <v>0</v>
      </c>
      <c r="L1063">
        <v>2400</v>
      </c>
      <c r="M1063">
        <v>2400</v>
      </c>
      <c r="N1063">
        <v>0</v>
      </c>
    </row>
    <row r="1064" spans="1:14" x14ac:dyDescent="0.25">
      <c r="A1064">
        <v>570.012833</v>
      </c>
      <c r="B1064" s="1">
        <f>DATE(2011,11,22) + TIME(0,18,28)</f>
        <v>40869.012824074074</v>
      </c>
      <c r="C1064">
        <v>80</v>
      </c>
      <c r="D1064">
        <v>77.999526978000006</v>
      </c>
      <c r="E1064">
        <v>50</v>
      </c>
      <c r="F1064">
        <v>49.972721100000001</v>
      </c>
      <c r="G1064">
        <v>1329.3516846</v>
      </c>
      <c r="H1064">
        <v>1328.5225829999999</v>
      </c>
      <c r="I1064">
        <v>1338.4135742000001</v>
      </c>
      <c r="J1064">
        <v>1335.9371338000001</v>
      </c>
      <c r="K1064">
        <v>0</v>
      </c>
      <c r="L1064">
        <v>2400</v>
      </c>
      <c r="M1064">
        <v>2400</v>
      </c>
      <c r="N1064">
        <v>0</v>
      </c>
    </row>
    <row r="1065" spans="1:14" x14ac:dyDescent="0.25">
      <c r="A1065">
        <v>570.85981400000003</v>
      </c>
      <c r="B1065" s="1">
        <f>DATE(2011,11,22) + TIME(20,38,7)</f>
        <v>40869.859803240739</v>
      </c>
      <c r="C1065">
        <v>80</v>
      </c>
      <c r="D1065">
        <v>77.929977417000003</v>
      </c>
      <c r="E1065">
        <v>50</v>
      </c>
      <c r="F1065">
        <v>49.972743987999998</v>
      </c>
      <c r="G1065">
        <v>1329.3292236</v>
      </c>
      <c r="H1065">
        <v>1328.4936522999999</v>
      </c>
      <c r="I1065">
        <v>1338.4078368999999</v>
      </c>
      <c r="J1065">
        <v>1335.9315185999999</v>
      </c>
      <c r="K1065">
        <v>0</v>
      </c>
      <c r="L1065">
        <v>2400</v>
      </c>
      <c r="M1065">
        <v>2400</v>
      </c>
      <c r="N1065">
        <v>0</v>
      </c>
    </row>
    <row r="1066" spans="1:14" x14ac:dyDescent="0.25">
      <c r="A1066">
        <v>571.71946000000003</v>
      </c>
      <c r="B1066" s="1">
        <f>DATE(2011,11,23) + TIME(17,16,1)</f>
        <v>40870.719456018516</v>
      </c>
      <c r="C1066">
        <v>80</v>
      </c>
      <c r="D1066">
        <v>77.859802246000001</v>
      </c>
      <c r="E1066">
        <v>50</v>
      </c>
      <c r="F1066">
        <v>49.972766876000001</v>
      </c>
      <c r="G1066">
        <v>1329.3065185999999</v>
      </c>
      <c r="H1066">
        <v>1328.4643555</v>
      </c>
      <c r="I1066">
        <v>1338.4022216999999</v>
      </c>
      <c r="J1066">
        <v>1335.9260254000001</v>
      </c>
      <c r="K1066">
        <v>0</v>
      </c>
      <c r="L1066">
        <v>2400</v>
      </c>
      <c r="M1066">
        <v>2400</v>
      </c>
      <c r="N1066">
        <v>0</v>
      </c>
    </row>
    <row r="1067" spans="1:14" x14ac:dyDescent="0.25">
      <c r="A1067">
        <v>572.59376199999997</v>
      </c>
      <c r="B1067" s="1">
        <f>DATE(2011,11,24) + TIME(14,15,1)</f>
        <v>40871.593761574077</v>
      </c>
      <c r="C1067">
        <v>80</v>
      </c>
      <c r="D1067">
        <v>77.788986206000004</v>
      </c>
      <c r="E1067">
        <v>50</v>
      </c>
      <c r="F1067">
        <v>49.972789763999998</v>
      </c>
      <c r="G1067">
        <v>1329.2835693</v>
      </c>
      <c r="H1067">
        <v>1328.4346923999999</v>
      </c>
      <c r="I1067">
        <v>1338.3968506000001</v>
      </c>
      <c r="J1067">
        <v>1335.9206543</v>
      </c>
      <c r="K1067">
        <v>0</v>
      </c>
      <c r="L1067">
        <v>2400</v>
      </c>
      <c r="M1067">
        <v>2400</v>
      </c>
      <c r="N1067">
        <v>0</v>
      </c>
    </row>
    <row r="1068" spans="1:14" x14ac:dyDescent="0.25">
      <c r="A1068">
        <v>573.48475699999995</v>
      </c>
      <c r="B1068" s="1">
        <f>DATE(2011,11,25) + TIME(11,38,2)</f>
        <v>40872.48474537037</v>
      </c>
      <c r="C1068">
        <v>80</v>
      </c>
      <c r="D1068">
        <v>77.717475891000007</v>
      </c>
      <c r="E1068">
        <v>50</v>
      </c>
      <c r="F1068">
        <v>49.972816467000001</v>
      </c>
      <c r="G1068">
        <v>1329.260376</v>
      </c>
      <c r="H1068">
        <v>1328.4046631000001</v>
      </c>
      <c r="I1068">
        <v>1338.3914795000001</v>
      </c>
      <c r="J1068">
        <v>1335.9154053</v>
      </c>
      <c r="K1068">
        <v>0</v>
      </c>
      <c r="L1068">
        <v>2400</v>
      </c>
      <c r="M1068">
        <v>2400</v>
      </c>
      <c r="N1068">
        <v>0</v>
      </c>
    </row>
    <row r="1069" spans="1:14" x14ac:dyDescent="0.25">
      <c r="A1069">
        <v>574.39455199999998</v>
      </c>
      <c r="B1069" s="1">
        <f>DATE(2011,11,26) + TIME(9,28,9)</f>
        <v>40873.394548611112</v>
      </c>
      <c r="C1069">
        <v>80</v>
      </c>
      <c r="D1069">
        <v>77.645179748999993</v>
      </c>
      <c r="E1069">
        <v>50</v>
      </c>
      <c r="F1069">
        <v>49.972839354999998</v>
      </c>
      <c r="G1069">
        <v>1329.2368164</v>
      </c>
      <c r="H1069">
        <v>1328.3742675999999</v>
      </c>
      <c r="I1069">
        <v>1338.3863524999999</v>
      </c>
      <c r="J1069">
        <v>1335.9101562000001</v>
      </c>
      <c r="K1069">
        <v>0</v>
      </c>
      <c r="L1069">
        <v>2400</v>
      </c>
      <c r="M1069">
        <v>2400</v>
      </c>
      <c r="N1069">
        <v>0</v>
      </c>
    </row>
    <row r="1070" spans="1:14" x14ac:dyDescent="0.25">
      <c r="A1070">
        <v>575.32531100000006</v>
      </c>
      <c r="B1070" s="1">
        <f>DATE(2011,11,27) + TIME(7,48,26)</f>
        <v>40874.325300925928</v>
      </c>
      <c r="C1070">
        <v>80</v>
      </c>
      <c r="D1070">
        <v>77.571990967000005</v>
      </c>
      <c r="E1070">
        <v>50</v>
      </c>
      <c r="F1070">
        <v>49.972866058000001</v>
      </c>
      <c r="G1070">
        <v>1329.2128906</v>
      </c>
      <c r="H1070">
        <v>1328.3433838000001</v>
      </c>
      <c r="I1070">
        <v>1338.3812256000001</v>
      </c>
      <c r="J1070">
        <v>1335.9049072</v>
      </c>
      <c r="K1070">
        <v>0</v>
      </c>
      <c r="L1070">
        <v>2400</v>
      </c>
      <c r="M1070">
        <v>2400</v>
      </c>
      <c r="N1070">
        <v>0</v>
      </c>
    </row>
    <row r="1071" spans="1:14" x14ac:dyDescent="0.25">
      <c r="A1071">
        <v>576.27581599999996</v>
      </c>
      <c r="B1071" s="1">
        <f>DATE(2011,11,28) + TIME(6,37,10)</f>
        <v>40875.275810185187</v>
      </c>
      <c r="C1071">
        <v>80</v>
      </c>
      <c r="D1071">
        <v>77.497932434000006</v>
      </c>
      <c r="E1071">
        <v>50</v>
      </c>
      <c r="F1071">
        <v>49.972896575999997</v>
      </c>
      <c r="G1071">
        <v>1329.1885986</v>
      </c>
      <c r="H1071">
        <v>1328.3120117000001</v>
      </c>
      <c r="I1071">
        <v>1338.3760986</v>
      </c>
      <c r="J1071">
        <v>1335.8997803</v>
      </c>
      <c r="K1071">
        <v>0</v>
      </c>
      <c r="L1071">
        <v>2400</v>
      </c>
      <c r="M1071">
        <v>2400</v>
      </c>
      <c r="N1071">
        <v>0</v>
      </c>
    </row>
    <row r="1072" spans="1:14" x14ac:dyDescent="0.25">
      <c r="A1072">
        <v>577.24099200000001</v>
      </c>
      <c r="B1072" s="1">
        <f>DATE(2011,11,29) + TIME(5,47,1)</f>
        <v>40876.240983796299</v>
      </c>
      <c r="C1072">
        <v>80</v>
      </c>
      <c r="D1072">
        <v>77.423240661999998</v>
      </c>
      <c r="E1072">
        <v>50</v>
      </c>
      <c r="F1072">
        <v>49.972923279</v>
      </c>
      <c r="G1072">
        <v>1329.1639404</v>
      </c>
      <c r="H1072">
        <v>1328.2800293</v>
      </c>
      <c r="I1072">
        <v>1338.3710937999999</v>
      </c>
      <c r="J1072">
        <v>1335.8946533000001</v>
      </c>
      <c r="K1072">
        <v>0</v>
      </c>
      <c r="L1072">
        <v>2400</v>
      </c>
      <c r="M1072">
        <v>2400</v>
      </c>
      <c r="N1072">
        <v>0</v>
      </c>
    </row>
    <row r="1073" spans="1:14" x14ac:dyDescent="0.25">
      <c r="A1073">
        <v>578.22312299999999</v>
      </c>
      <c r="B1073" s="1">
        <f>DATE(2011,11,30) + TIME(5,21,17)</f>
        <v>40877.223113425927</v>
      </c>
      <c r="C1073">
        <v>80</v>
      </c>
      <c r="D1073">
        <v>77.347923279</v>
      </c>
      <c r="E1073">
        <v>50</v>
      </c>
      <c r="F1073">
        <v>49.972953795999999</v>
      </c>
      <c r="G1073">
        <v>1329.1389160000001</v>
      </c>
      <c r="H1073">
        <v>1328.2476807</v>
      </c>
      <c r="I1073">
        <v>1338.3662108999999</v>
      </c>
      <c r="J1073">
        <v>1335.8895264</v>
      </c>
      <c r="K1073">
        <v>0</v>
      </c>
      <c r="L1073">
        <v>2400</v>
      </c>
      <c r="M1073">
        <v>2400</v>
      </c>
      <c r="N1073">
        <v>0</v>
      </c>
    </row>
    <row r="1074" spans="1:14" x14ac:dyDescent="0.25">
      <c r="A1074">
        <v>579</v>
      </c>
      <c r="B1074" s="1">
        <f>DATE(2011,12,1) + TIME(0,0,0)</f>
        <v>40878</v>
      </c>
      <c r="C1074">
        <v>80</v>
      </c>
      <c r="D1074">
        <v>77.282012938999998</v>
      </c>
      <c r="E1074">
        <v>50</v>
      </c>
      <c r="F1074">
        <v>49.97297287</v>
      </c>
      <c r="G1074">
        <v>1329.1141356999999</v>
      </c>
      <c r="H1074">
        <v>1328.2155762</v>
      </c>
      <c r="I1074">
        <v>1338.3613281</v>
      </c>
      <c r="J1074">
        <v>1335.8845214999999</v>
      </c>
      <c r="K1074">
        <v>0</v>
      </c>
      <c r="L1074">
        <v>2400</v>
      </c>
      <c r="M1074">
        <v>2400</v>
      </c>
      <c r="N1074">
        <v>0</v>
      </c>
    </row>
    <row r="1075" spans="1:14" x14ac:dyDescent="0.25">
      <c r="A1075">
        <v>580.00133400000004</v>
      </c>
      <c r="B1075" s="1">
        <f>DATE(2011,12,2) + TIME(0,1,55)</f>
        <v>40879.001331018517</v>
      </c>
      <c r="C1075">
        <v>80</v>
      </c>
      <c r="D1075">
        <v>77.209297179999993</v>
      </c>
      <c r="E1075">
        <v>50</v>
      </c>
      <c r="F1075">
        <v>49.973007201999998</v>
      </c>
      <c r="G1075">
        <v>1329.0921631000001</v>
      </c>
      <c r="H1075">
        <v>1328.1871338000001</v>
      </c>
      <c r="I1075">
        <v>1338.3576660000001</v>
      </c>
      <c r="J1075">
        <v>1335.8804932</v>
      </c>
      <c r="K1075">
        <v>0</v>
      </c>
      <c r="L1075">
        <v>2400</v>
      </c>
      <c r="M1075">
        <v>2400</v>
      </c>
      <c r="N1075">
        <v>0</v>
      </c>
    </row>
    <row r="1076" spans="1:14" x14ac:dyDescent="0.25">
      <c r="A1076">
        <v>581.04277500000001</v>
      </c>
      <c r="B1076" s="1">
        <f>DATE(2011,12,3) + TIME(1,1,35)</f>
        <v>40880.042766203704</v>
      </c>
      <c r="C1076">
        <v>80</v>
      </c>
      <c r="D1076">
        <v>77.133834839000002</v>
      </c>
      <c r="E1076">
        <v>50</v>
      </c>
      <c r="F1076">
        <v>49.973037720000001</v>
      </c>
      <c r="G1076">
        <v>1329.0672606999999</v>
      </c>
      <c r="H1076">
        <v>1328.1549072</v>
      </c>
      <c r="I1076">
        <v>1338.3530272999999</v>
      </c>
      <c r="J1076">
        <v>1335.8757324000001</v>
      </c>
      <c r="K1076">
        <v>0</v>
      </c>
      <c r="L1076">
        <v>2400</v>
      </c>
      <c r="M1076">
        <v>2400</v>
      </c>
      <c r="N1076">
        <v>0</v>
      </c>
    </row>
    <row r="1077" spans="1:14" x14ac:dyDescent="0.25">
      <c r="A1077">
        <v>582.10962400000005</v>
      </c>
      <c r="B1077" s="1">
        <f>DATE(2011,12,4) + TIME(2,37,51)</f>
        <v>40881.109618055554</v>
      </c>
      <c r="C1077">
        <v>80</v>
      </c>
      <c r="D1077">
        <v>77.056419372999997</v>
      </c>
      <c r="E1077">
        <v>50</v>
      </c>
      <c r="F1077">
        <v>49.973068237</v>
      </c>
      <c r="G1077">
        <v>1329.0411377</v>
      </c>
      <c r="H1077">
        <v>1328.1210937999999</v>
      </c>
      <c r="I1077">
        <v>1338.3483887</v>
      </c>
      <c r="J1077">
        <v>1335.8708495999999</v>
      </c>
      <c r="K1077">
        <v>0</v>
      </c>
      <c r="L1077">
        <v>2400</v>
      </c>
      <c r="M1077">
        <v>2400</v>
      </c>
      <c r="N1077">
        <v>0</v>
      </c>
    </row>
    <row r="1078" spans="1:14" x14ac:dyDescent="0.25">
      <c r="A1078">
        <v>583.20498299999997</v>
      </c>
      <c r="B1078" s="1">
        <f>DATE(2011,12,5) + TIME(4,55,10)</f>
        <v>40882.204976851855</v>
      </c>
      <c r="C1078">
        <v>80</v>
      </c>
      <c r="D1078">
        <v>76.977371215999995</v>
      </c>
      <c r="E1078">
        <v>50</v>
      </c>
      <c r="F1078">
        <v>49.973102570000002</v>
      </c>
      <c r="G1078">
        <v>1329.0142822</v>
      </c>
      <c r="H1078">
        <v>1328.0863036999999</v>
      </c>
      <c r="I1078">
        <v>1338.34375</v>
      </c>
      <c r="J1078">
        <v>1335.8658447</v>
      </c>
      <c r="K1078">
        <v>0</v>
      </c>
      <c r="L1078">
        <v>2400</v>
      </c>
      <c r="M1078">
        <v>2400</v>
      </c>
      <c r="N1078">
        <v>0</v>
      </c>
    </row>
    <row r="1079" spans="1:14" x14ac:dyDescent="0.25">
      <c r="A1079">
        <v>584.33149100000003</v>
      </c>
      <c r="B1079" s="1">
        <f>DATE(2011,12,6) + TIME(7,57,20)</f>
        <v>40883.33148148148</v>
      </c>
      <c r="C1079">
        <v>80</v>
      </c>
      <c r="D1079">
        <v>76.896781920999999</v>
      </c>
      <c r="E1079">
        <v>50</v>
      </c>
      <c r="F1079">
        <v>49.973136902</v>
      </c>
      <c r="G1079">
        <v>1328.9866943</v>
      </c>
      <c r="H1079">
        <v>1328.0506591999999</v>
      </c>
      <c r="I1079">
        <v>1338.3392334</v>
      </c>
      <c r="J1079">
        <v>1335.8609618999999</v>
      </c>
      <c r="K1079">
        <v>0</v>
      </c>
      <c r="L1079">
        <v>2400</v>
      </c>
      <c r="M1079">
        <v>2400</v>
      </c>
      <c r="N1079">
        <v>0</v>
      </c>
    </row>
    <row r="1080" spans="1:14" x14ac:dyDescent="0.25">
      <c r="A1080">
        <v>585.49172199999998</v>
      </c>
      <c r="B1080" s="1">
        <f>DATE(2011,12,7) + TIME(11,48,4)</f>
        <v>40884.491712962961</v>
      </c>
      <c r="C1080">
        <v>80</v>
      </c>
      <c r="D1080">
        <v>76.814659118999998</v>
      </c>
      <c r="E1080">
        <v>50</v>
      </c>
      <c r="F1080">
        <v>49.973171233999999</v>
      </c>
      <c r="G1080">
        <v>1328.9584961</v>
      </c>
      <c r="H1080">
        <v>1328.0139160000001</v>
      </c>
      <c r="I1080">
        <v>1338.3345947</v>
      </c>
      <c r="J1080">
        <v>1335.8560791</v>
      </c>
      <c r="K1080">
        <v>0</v>
      </c>
      <c r="L1080">
        <v>2400</v>
      </c>
      <c r="M1080">
        <v>2400</v>
      </c>
      <c r="N1080">
        <v>0</v>
      </c>
    </row>
    <row r="1081" spans="1:14" x14ac:dyDescent="0.25">
      <c r="A1081">
        <v>586.68901000000005</v>
      </c>
      <c r="B1081" s="1">
        <f>DATE(2011,12,8) + TIME(16,32,10)</f>
        <v>40885.689004629632</v>
      </c>
      <c r="C1081">
        <v>80</v>
      </c>
      <c r="D1081">
        <v>76.730918884000005</v>
      </c>
      <c r="E1081">
        <v>50</v>
      </c>
      <c r="F1081">
        <v>49.973209380999997</v>
      </c>
      <c r="G1081">
        <v>1328.9294434000001</v>
      </c>
      <c r="H1081">
        <v>1327.9764404</v>
      </c>
      <c r="I1081">
        <v>1338.3300781</v>
      </c>
      <c r="J1081">
        <v>1335.8510742000001</v>
      </c>
      <c r="K1081">
        <v>0</v>
      </c>
      <c r="L1081">
        <v>2400</v>
      </c>
      <c r="M1081">
        <v>2400</v>
      </c>
      <c r="N1081">
        <v>0</v>
      </c>
    </row>
    <row r="1082" spans="1:14" x14ac:dyDescent="0.25">
      <c r="A1082">
        <v>587.92686100000003</v>
      </c>
      <c r="B1082" s="1">
        <f>DATE(2011,12,9) + TIME(22,14,40)</f>
        <v>40886.926851851851</v>
      </c>
      <c r="C1082">
        <v>80</v>
      </c>
      <c r="D1082">
        <v>76.645446777000004</v>
      </c>
      <c r="E1082">
        <v>50</v>
      </c>
      <c r="F1082">
        <v>49.973247528000002</v>
      </c>
      <c r="G1082">
        <v>1328.8996582</v>
      </c>
      <c r="H1082">
        <v>1327.9377440999999</v>
      </c>
      <c r="I1082">
        <v>1338.3255615</v>
      </c>
      <c r="J1082">
        <v>1335.8461914</v>
      </c>
      <c r="K1082">
        <v>0</v>
      </c>
      <c r="L1082">
        <v>2400</v>
      </c>
      <c r="M1082">
        <v>2400</v>
      </c>
      <c r="N1082">
        <v>0</v>
      </c>
    </row>
    <row r="1083" spans="1:14" x14ac:dyDescent="0.25">
      <c r="A1083">
        <v>589.20908099999997</v>
      </c>
      <c r="B1083" s="1">
        <f>DATE(2011,12,11) + TIME(5,1,4)</f>
        <v>40888.209074074075</v>
      </c>
      <c r="C1083">
        <v>80</v>
      </c>
      <c r="D1083">
        <v>76.558090210000003</v>
      </c>
      <c r="E1083">
        <v>50</v>
      </c>
      <c r="F1083">
        <v>49.973285675</v>
      </c>
      <c r="G1083">
        <v>1328.8690185999999</v>
      </c>
      <c r="H1083">
        <v>1327.8980713000001</v>
      </c>
      <c r="I1083">
        <v>1338.3210449000001</v>
      </c>
      <c r="J1083">
        <v>1335.8411865</v>
      </c>
      <c r="K1083">
        <v>0</v>
      </c>
      <c r="L1083">
        <v>2400</v>
      </c>
      <c r="M1083">
        <v>2400</v>
      </c>
      <c r="N1083">
        <v>0</v>
      </c>
    </row>
    <row r="1084" spans="1:14" x14ac:dyDescent="0.25">
      <c r="A1084">
        <v>590.53982599999995</v>
      </c>
      <c r="B1084" s="1">
        <f>DATE(2011,12,12) + TIME(12,57,20)</f>
        <v>40889.539814814816</v>
      </c>
      <c r="C1084">
        <v>80</v>
      </c>
      <c r="D1084">
        <v>76.468666076999995</v>
      </c>
      <c r="E1084">
        <v>50</v>
      </c>
      <c r="F1084">
        <v>49.973327636999997</v>
      </c>
      <c r="G1084">
        <v>1328.8375243999999</v>
      </c>
      <c r="H1084">
        <v>1327.8570557</v>
      </c>
      <c r="I1084">
        <v>1338.3164062000001</v>
      </c>
      <c r="J1084">
        <v>1335.8360596</v>
      </c>
      <c r="K1084">
        <v>0</v>
      </c>
      <c r="L1084">
        <v>2400</v>
      </c>
      <c r="M1084">
        <v>2400</v>
      </c>
      <c r="N1084">
        <v>0</v>
      </c>
    </row>
    <row r="1085" spans="1:14" x14ac:dyDescent="0.25">
      <c r="A1085">
        <v>591.92367400000001</v>
      </c>
      <c r="B1085" s="1">
        <f>DATE(2011,12,13) + TIME(22,10,5)</f>
        <v>40890.923668981479</v>
      </c>
      <c r="C1085">
        <v>80</v>
      </c>
      <c r="D1085">
        <v>76.377006531000006</v>
      </c>
      <c r="E1085">
        <v>50</v>
      </c>
      <c r="F1085">
        <v>49.973369597999998</v>
      </c>
      <c r="G1085">
        <v>1328.8048096</v>
      </c>
      <c r="H1085">
        <v>1327.8146973</v>
      </c>
      <c r="I1085">
        <v>1338.3118896000001</v>
      </c>
      <c r="J1085">
        <v>1335.8310547000001</v>
      </c>
      <c r="K1085">
        <v>0</v>
      </c>
      <c r="L1085">
        <v>2400</v>
      </c>
      <c r="M1085">
        <v>2400</v>
      </c>
      <c r="N1085">
        <v>0</v>
      </c>
    </row>
    <row r="1086" spans="1:14" x14ac:dyDescent="0.25">
      <c r="A1086">
        <v>593.34598900000003</v>
      </c>
      <c r="B1086" s="1">
        <f>DATE(2011,12,15) + TIME(8,18,13)</f>
        <v>40892.345983796295</v>
      </c>
      <c r="C1086">
        <v>80</v>
      </c>
      <c r="D1086">
        <v>76.283432007000002</v>
      </c>
      <c r="E1086">
        <v>50</v>
      </c>
      <c r="F1086">
        <v>49.973411560000002</v>
      </c>
      <c r="G1086">
        <v>1328.7711182</v>
      </c>
      <c r="H1086">
        <v>1327.770874</v>
      </c>
      <c r="I1086">
        <v>1338.307251</v>
      </c>
      <c r="J1086">
        <v>1335.8259277</v>
      </c>
      <c r="K1086">
        <v>0</v>
      </c>
      <c r="L1086">
        <v>2400</v>
      </c>
      <c r="M1086">
        <v>2400</v>
      </c>
      <c r="N1086">
        <v>0</v>
      </c>
    </row>
    <row r="1087" spans="1:14" x14ac:dyDescent="0.25">
      <c r="A1087">
        <v>594.78799000000004</v>
      </c>
      <c r="B1087" s="1">
        <f>DATE(2011,12,16) + TIME(18,54,42)</f>
        <v>40893.787986111114</v>
      </c>
      <c r="C1087">
        <v>80</v>
      </c>
      <c r="D1087">
        <v>76.188789368000002</v>
      </c>
      <c r="E1087">
        <v>50</v>
      </c>
      <c r="F1087">
        <v>49.973453522</v>
      </c>
      <c r="G1087">
        <v>1328.7365723</v>
      </c>
      <c r="H1087">
        <v>1327.7259521000001</v>
      </c>
      <c r="I1087">
        <v>1338.3026123</v>
      </c>
      <c r="J1087">
        <v>1335.8208007999999</v>
      </c>
      <c r="K1087">
        <v>0</v>
      </c>
      <c r="L1087">
        <v>2400</v>
      </c>
      <c r="M1087">
        <v>2400</v>
      </c>
      <c r="N1087">
        <v>0</v>
      </c>
    </row>
    <row r="1088" spans="1:14" x14ac:dyDescent="0.25">
      <c r="A1088">
        <v>596.25152000000003</v>
      </c>
      <c r="B1088" s="1">
        <f>DATE(2011,12,18) + TIME(6,2,11)</f>
        <v>40895.251516203702</v>
      </c>
      <c r="C1088">
        <v>80</v>
      </c>
      <c r="D1088">
        <v>76.093620299999998</v>
      </c>
      <c r="E1088">
        <v>50</v>
      </c>
      <c r="F1088">
        <v>49.973499298</v>
      </c>
      <c r="G1088">
        <v>1328.7014160000001</v>
      </c>
      <c r="H1088">
        <v>1327.6801757999999</v>
      </c>
      <c r="I1088">
        <v>1338.2980957</v>
      </c>
      <c r="J1088">
        <v>1335.8156738</v>
      </c>
      <c r="K1088">
        <v>0</v>
      </c>
      <c r="L1088">
        <v>2400</v>
      </c>
      <c r="M1088">
        <v>2400</v>
      </c>
      <c r="N1088">
        <v>0</v>
      </c>
    </row>
    <row r="1089" spans="1:14" x14ac:dyDescent="0.25">
      <c r="A1089">
        <v>597.73525500000005</v>
      </c>
      <c r="B1089" s="1">
        <f>DATE(2011,12,19) + TIME(17,38,46)</f>
        <v>40896.735254629632</v>
      </c>
      <c r="C1089">
        <v>80</v>
      </c>
      <c r="D1089">
        <v>75.998191833000007</v>
      </c>
      <c r="E1089">
        <v>50</v>
      </c>
      <c r="F1089">
        <v>49.973545074</v>
      </c>
      <c r="G1089">
        <v>1328.6657714999999</v>
      </c>
      <c r="H1089">
        <v>1327.6339111</v>
      </c>
      <c r="I1089">
        <v>1338.2937012</v>
      </c>
      <c r="J1089">
        <v>1335.8107910000001</v>
      </c>
      <c r="K1089">
        <v>0</v>
      </c>
      <c r="L1089">
        <v>2400</v>
      </c>
      <c r="M1089">
        <v>2400</v>
      </c>
      <c r="N1089">
        <v>0</v>
      </c>
    </row>
    <row r="1090" spans="1:14" x14ac:dyDescent="0.25">
      <c r="A1090">
        <v>599.24291000000005</v>
      </c>
      <c r="B1090" s="1">
        <f>DATE(2011,12,21) + TIME(5,49,47)</f>
        <v>40898.242905092593</v>
      </c>
      <c r="C1090">
        <v>80</v>
      </c>
      <c r="D1090">
        <v>75.902534485000004</v>
      </c>
      <c r="E1090">
        <v>50</v>
      </c>
      <c r="F1090">
        <v>49.973590850999997</v>
      </c>
      <c r="G1090">
        <v>1328.6298827999999</v>
      </c>
      <c r="H1090">
        <v>1327.5870361</v>
      </c>
      <c r="I1090">
        <v>1338.2894286999999</v>
      </c>
      <c r="J1090">
        <v>1335.8057861</v>
      </c>
      <c r="K1090">
        <v>0</v>
      </c>
      <c r="L1090">
        <v>2400</v>
      </c>
      <c r="M1090">
        <v>2400</v>
      </c>
      <c r="N1090">
        <v>0</v>
      </c>
    </row>
    <row r="1091" spans="1:14" x14ac:dyDescent="0.25">
      <c r="A1091">
        <v>600.77823000000001</v>
      </c>
      <c r="B1091" s="1">
        <f>DATE(2011,12,22) + TIME(18,40,39)</f>
        <v>40899.778229166666</v>
      </c>
      <c r="C1091">
        <v>80</v>
      </c>
      <c r="D1091">
        <v>75.806556701999995</v>
      </c>
      <c r="E1091">
        <v>50</v>
      </c>
      <c r="F1091">
        <v>49.973636626999998</v>
      </c>
      <c r="G1091">
        <v>1328.5935059000001</v>
      </c>
      <c r="H1091">
        <v>1327.5396728999999</v>
      </c>
      <c r="I1091">
        <v>1338.2851562000001</v>
      </c>
      <c r="J1091">
        <v>1335.8009033000001</v>
      </c>
      <c r="K1091">
        <v>0</v>
      </c>
      <c r="L1091">
        <v>2400</v>
      </c>
      <c r="M1091">
        <v>2400</v>
      </c>
      <c r="N1091">
        <v>0</v>
      </c>
    </row>
    <row r="1092" spans="1:14" x14ac:dyDescent="0.25">
      <c r="A1092">
        <v>602.34506099999999</v>
      </c>
      <c r="B1092" s="1">
        <f>DATE(2011,12,24) + TIME(8,16,53)</f>
        <v>40901.345057870371</v>
      </c>
      <c r="C1092">
        <v>80</v>
      </c>
      <c r="D1092">
        <v>75.710098267000006</v>
      </c>
      <c r="E1092">
        <v>50</v>
      </c>
      <c r="F1092">
        <v>49.973682404000002</v>
      </c>
      <c r="G1092">
        <v>1328.5565185999999</v>
      </c>
      <c r="H1092">
        <v>1327.4915771000001</v>
      </c>
      <c r="I1092">
        <v>1338.2808838000001</v>
      </c>
      <c r="J1092">
        <v>1335.7961425999999</v>
      </c>
      <c r="K1092">
        <v>0</v>
      </c>
      <c r="L1092">
        <v>2400</v>
      </c>
      <c r="M1092">
        <v>2400</v>
      </c>
      <c r="N1092">
        <v>0</v>
      </c>
    </row>
    <row r="1093" spans="1:14" x14ac:dyDescent="0.25">
      <c r="A1093">
        <v>603.94741399999998</v>
      </c>
      <c r="B1093" s="1">
        <f>DATE(2011,12,25) + TIME(22,44,16)</f>
        <v>40902.94740740741</v>
      </c>
      <c r="C1093">
        <v>80</v>
      </c>
      <c r="D1093">
        <v>75.612976074000002</v>
      </c>
      <c r="E1093">
        <v>50</v>
      </c>
      <c r="F1093">
        <v>49.973731995000001</v>
      </c>
      <c r="G1093">
        <v>1328.5191649999999</v>
      </c>
      <c r="H1093">
        <v>1327.442749</v>
      </c>
      <c r="I1093">
        <v>1338.2767334</v>
      </c>
      <c r="J1093">
        <v>1335.7913818</v>
      </c>
      <c r="K1093">
        <v>0</v>
      </c>
      <c r="L1093">
        <v>2400</v>
      </c>
      <c r="M1093">
        <v>2400</v>
      </c>
      <c r="N1093">
        <v>0</v>
      </c>
    </row>
    <row r="1094" spans="1:14" x14ac:dyDescent="0.25">
      <c r="A1094">
        <v>605.57934599999999</v>
      </c>
      <c r="B1094" s="1">
        <f>DATE(2011,12,27) + TIME(13,54,15)</f>
        <v>40904.579340277778</v>
      </c>
      <c r="C1094">
        <v>80</v>
      </c>
      <c r="D1094">
        <v>75.515213012999993</v>
      </c>
      <c r="E1094">
        <v>50</v>
      </c>
      <c r="F1094">
        <v>49.973777771000002</v>
      </c>
      <c r="G1094">
        <v>1328.480957</v>
      </c>
      <c r="H1094">
        <v>1327.3930664</v>
      </c>
      <c r="I1094">
        <v>1338.2725829999999</v>
      </c>
      <c r="J1094">
        <v>1335.7866211</v>
      </c>
      <c r="K1094">
        <v>0</v>
      </c>
      <c r="L1094">
        <v>2400</v>
      </c>
      <c r="M1094">
        <v>2400</v>
      </c>
      <c r="N1094">
        <v>0</v>
      </c>
    </row>
    <row r="1095" spans="1:14" x14ac:dyDescent="0.25">
      <c r="A1095">
        <v>607.24342200000001</v>
      </c>
      <c r="B1095" s="1">
        <f>DATE(2011,12,29) + TIME(5,50,31)</f>
        <v>40906.243414351855</v>
      </c>
      <c r="C1095">
        <v>80</v>
      </c>
      <c r="D1095">
        <v>75.416870117000002</v>
      </c>
      <c r="E1095">
        <v>50</v>
      </c>
      <c r="F1095">
        <v>49.973827362000002</v>
      </c>
      <c r="G1095">
        <v>1328.4422606999999</v>
      </c>
      <c r="H1095">
        <v>1327.3426514</v>
      </c>
      <c r="I1095">
        <v>1338.2684326000001</v>
      </c>
      <c r="J1095">
        <v>1335.7818603999999</v>
      </c>
      <c r="K1095">
        <v>0</v>
      </c>
      <c r="L1095">
        <v>2400</v>
      </c>
      <c r="M1095">
        <v>2400</v>
      </c>
      <c r="N1095">
        <v>0</v>
      </c>
    </row>
    <row r="1096" spans="1:14" x14ac:dyDescent="0.25">
      <c r="A1096">
        <v>608.94269999999995</v>
      </c>
      <c r="B1096" s="1">
        <f>DATE(2011,12,30) + TIME(22,37,29)</f>
        <v>40907.942696759259</v>
      </c>
      <c r="C1096">
        <v>80</v>
      </c>
      <c r="D1096">
        <v>75.317901610999996</v>
      </c>
      <c r="E1096">
        <v>50</v>
      </c>
      <c r="F1096">
        <v>49.973876953000001</v>
      </c>
      <c r="G1096">
        <v>1328.4029541</v>
      </c>
      <c r="H1096">
        <v>1327.2912598</v>
      </c>
      <c r="I1096">
        <v>1338.2644043</v>
      </c>
      <c r="J1096">
        <v>1335.7772216999999</v>
      </c>
      <c r="K1096">
        <v>0</v>
      </c>
      <c r="L1096">
        <v>2400</v>
      </c>
      <c r="M1096">
        <v>2400</v>
      </c>
      <c r="N1096">
        <v>0</v>
      </c>
    </row>
    <row r="1097" spans="1:14" x14ac:dyDescent="0.25">
      <c r="A1097">
        <v>610</v>
      </c>
      <c r="B1097" s="1">
        <f>DATE(2012,1,1) + TIME(0,0,0)</f>
        <v>40909</v>
      </c>
      <c r="C1097">
        <v>80</v>
      </c>
      <c r="D1097">
        <v>75.236465453999998</v>
      </c>
      <c r="E1097">
        <v>50</v>
      </c>
      <c r="F1097">
        <v>49.973907470999997</v>
      </c>
      <c r="G1097">
        <v>1328.3641356999999</v>
      </c>
      <c r="H1097">
        <v>1327.2406006000001</v>
      </c>
      <c r="I1097">
        <v>1338.2602539</v>
      </c>
      <c r="J1097">
        <v>1335.7725829999999</v>
      </c>
      <c r="K1097">
        <v>0</v>
      </c>
      <c r="L1097">
        <v>2400</v>
      </c>
      <c r="M1097">
        <v>2400</v>
      </c>
      <c r="N1097">
        <v>0</v>
      </c>
    </row>
    <row r="1098" spans="1:14" x14ac:dyDescent="0.25">
      <c r="A1098">
        <v>611.73882800000001</v>
      </c>
      <c r="B1098" s="1">
        <f>DATE(2012,1,2) + TIME(17,43,54)</f>
        <v>40910.738819444443</v>
      </c>
      <c r="C1098">
        <v>80</v>
      </c>
      <c r="D1098">
        <v>75.150154114000003</v>
      </c>
      <c r="E1098">
        <v>50</v>
      </c>
      <c r="F1098">
        <v>49.973960876</v>
      </c>
      <c r="G1098">
        <v>1328.3336182</v>
      </c>
      <c r="H1098">
        <v>1327.2000731999999</v>
      </c>
      <c r="I1098">
        <v>1338.2578125</v>
      </c>
      <c r="J1098">
        <v>1335.7694091999999</v>
      </c>
      <c r="K1098">
        <v>0</v>
      </c>
      <c r="L1098">
        <v>2400</v>
      </c>
      <c r="M1098">
        <v>2400</v>
      </c>
      <c r="N1098">
        <v>0</v>
      </c>
    </row>
    <row r="1099" spans="1:14" x14ac:dyDescent="0.25">
      <c r="A1099">
        <v>613.551647</v>
      </c>
      <c r="B1099" s="1">
        <f>DATE(2012,1,4) + TIME(13,14,22)</f>
        <v>40912.55164351852</v>
      </c>
      <c r="C1099">
        <v>80</v>
      </c>
      <c r="D1099">
        <v>75.054168700999995</v>
      </c>
      <c r="E1099">
        <v>50</v>
      </c>
      <c r="F1099">
        <v>49.974010468000003</v>
      </c>
      <c r="G1099">
        <v>1328.2960204999999</v>
      </c>
      <c r="H1099">
        <v>1327.1513672000001</v>
      </c>
      <c r="I1099">
        <v>1338.2539062000001</v>
      </c>
      <c r="J1099">
        <v>1335.7650146000001</v>
      </c>
      <c r="K1099">
        <v>0</v>
      </c>
      <c r="L1099">
        <v>2400</v>
      </c>
      <c r="M1099">
        <v>2400</v>
      </c>
      <c r="N1099">
        <v>0</v>
      </c>
    </row>
    <row r="1100" spans="1:14" x14ac:dyDescent="0.25">
      <c r="A1100">
        <v>615.415843</v>
      </c>
      <c r="B1100" s="1">
        <f>DATE(2012,1,6) + TIME(9,58,48)</f>
        <v>40914.415833333333</v>
      </c>
      <c r="C1100">
        <v>80</v>
      </c>
      <c r="D1100">
        <v>74.953269958000007</v>
      </c>
      <c r="E1100">
        <v>50</v>
      </c>
      <c r="F1100">
        <v>49.974063872999999</v>
      </c>
      <c r="G1100">
        <v>1328.2550048999999</v>
      </c>
      <c r="H1100">
        <v>1327.0979004000001</v>
      </c>
      <c r="I1100">
        <v>1338.2498779</v>
      </c>
      <c r="J1100">
        <v>1335.7604980000001</v>
      </c>
      <c r="K1100">
        <v>0</v>
      </c>
      <c r="L1100">
        <v>2400</v>
      </c>
      <c r="M1100">
        <v>2400</v>
      </c>
      <c r="N1100">
        <v>0</v>
      </c>
    </row>
    <row r="1101" spans="1:14" x14ac:dyDescent="0.25">
      <c r="A1101">
        <v>617.33652800000004</v>
      </c>
      <c r="B1101" s="1">
        <f>DATE(2012,1,8) + TIME(8,4,35)</f>
        <v>40916.336516203701</v>
      </c>
      <c r="C1101">
        <v>80</v>
      </c>
      <c r="D1101">
        <v>74.849548339999998</v>
      </c>
      <c r="E1101">
        <v>50</v>
      </c>
      <c r="F1101">
        <v>49.974117278999998</v>
      </c>
      <c r="G1101">
        <v>1328.2121582</v>
      </c>
      <c r="H1101">
        <v>1327.0418701000001</v>
      </c>
      <c r="I1101">
        <v>1338.2458495999999</v>
      </c>
      <c r="J1101">
        <v>1335.7559814000001</v>
      </c>
      <c r="K1101">
        <v>0</v>
      </c>
      <c r="L1101">
        <v>2400</v>
      </c>
      <c r="M1101">
        <v>2400</v>
      </c>
      <c r="N1101">
        <v>0</v>
      </c>
    </row>
    <row r="1102" spans="1:14" x14ac:dyDescent="0.25">
      <c r="A1102">
        <v>619.31095600000003</v>
      </c>
      <c r="B1102" s="1">
        <f>DATE(2012,1,10) + TIME(7,27,46)</f>
        <v>40918.310949074075</v>
      </c>
      <c r="C1102">
        <v>80</v>
      </c>
      <c r="D1102">
        <v>74.743774414000001</v>
      </c>
      <c r="E1102">
        <v>50</v>
      </c>
      <c r="F1102">
        <v>49.974170684999997</v>
      </c>
      <c r="G1102">
        <v>1328.1680908000001</v>
      </c>
      <c r="H1102">
        <v>1326.9841309000001</v>
      </c>
      <c r="I1102">
        <v>1338.2418213000001</v>
      </c>
      <c r="J1102">
        <v>1335.7513428</v>
      </c>
      <c r="K1102">
        <v>0</v>
      </c>
      <c r="L1102">
        <v>2400</v>
      </c>
      <c r="M1102">
        <v>2400</v>
      </c>
      <c r="N1102">
        <v>0</v>
      </c>
    </row>
    <row r="1103" spans="1:14" x14ac:dyDescent="0.25">
      <c r="A1103">
        <v>621.32912399999998</v>
      </c>
      <c r="B1103" s="1">
        <f>DATE(2012,1,12) + TIME(7,53,56)</f>
        <v>40920.32912037037</v>
      </c>
      <c r="C1103">
        <v>80</v>
      </c>
      <c r="D1103">
        <v>74.636428832999997</v>
      </c>
      <c r="E1103">
        <v>50</v>
      </c>
      <c r="F1103">
        <v>49.974227904999999</v>
      </c>
      <c r="G1103">
        <v>1328.1228027</v>
      </c>
      <c r="H1103">
        <v>1326.9248047000001</v>
      </c>
      <c r="I1103">
        <v>1338.237793</v>
      </c>
      <c r="J1103">
        <v>1335.7467041</v>
      </c>
      <c r="K1103">
        <v>0</v>
      </c>
      <c r="L1103">
        <v>2400</v>
      </c>
      <c r="M1103">
        <v>2400</v>
      </c>
      <c r="N1103">
        <v>0</v>
      </c>
    </row>
    <row r="1104" spans="1:14" x14ac:dyDescent="0.25">
      <c r="A1104">
        <v>623.39625899999999</v>
      </c>
      <c r="B1104" s="1">
        <f>DATE(2012,1,14) + TIME(9,30,36)</f>
        <v>40922.396249999998</v>
      </c>
      <c r="C1104">
        <v>80</v>
      </c>
      <c r="D1104">
        <v>74.527801514000004</v>
      </c>
      <c r="E1104">
        <v>50</v>
      </c>
      <c r="F1104">
        <v>49.974281310999999</v>
      </c>
      <c r="G1104">
        <v>1328.0765381000001</v>
      </c>
      <c r="H1104">
        <v>1326.8642577999999</v>
      </c>
      <c r="I1104">
        <v>1338.2337646000001</v>
      </c>
      <c r="J1104">
        <v>1335.7421875</v>
      </c>
      <c r="K1104">
        <v>0</v>
      </c>
      <c r="L1104">
        <v>2400</v>
      </c>
      <c r="M1104">
        <v>2400</v>
      </c>
      <c r="N1104">
        <v>0</v>
      </c>
    </row>
    <row r="1105" spans="1:14" x14ac:dyDescent="0.25">
      <c r="A1105">
        <v>625.51736300000005</v>
      </c>
      <c r="B1105" s="1">
        <f>DATE(2012,1,16) + TIME(12,25,0)</f>
        <v>40924.517361111109</v>
      </c>
      <c r="C1105">
        <v>80</v>
      </c>
      <c r="D1105">
        <v>74.417778014999996</v>
      </c>
      <c r="E1105">
        <v>50</v>
      </c>
      <c r="F1105">
        <v>49.974338531000001</v>
      </c>
      <c r="G1105">
        <v>1328.0294189000001</v>
      </c>
      <c r="H1105">
        <v>1326.8024902</v>
      </c>
      <c r="I1105">
        <v>1338.2298584</v>
      </c>
      <c r="J1105">
        <v>1335.7375488</v>
      </c>
      <c r="K1105">
        <v>0</v>
      </c>
      <c r="L1105">
        <v>2400</v>
      </c>
      <c r="M1105">
        <v>2400</v>
      </c>
      <c r="N1105">
        <v>0</v>
      </c>
    </row>
    <row r="1106" spans="1:14" x14ac:dyDescent="0.25">
      <c r="A1106">
        <v>627.68836599999997</v>
      </c>
      <c r="B1106" s="1">
        <f>DATE(2012,1,18) + TIME(16,31,14)</f>
        <v>40926.688356481478</v>
      </c>
      <c r="C1106">
        <v>80</v>
      </c>
      <c r="D1106">
        <v>74.306228637999993</v>
      </c>
      <c r="E1106">
        <v>50</v>
      </c>
      <c r="F1106">
        <v>49.974399566999999</v>
      </c>
      <c r="G1106">
        <v>1327.9813231999999</v>
      </c>
      <c r="H1106">
        <v>1326.7393798999999</v>
      </c>
      <c r="I1106">
        <v>1338.2258300999999</v>
      </c>
      <c r="J1106">
        <v>1335.7330322</v>
      </c>
      <c r="K1106">
        <v>0</v>
      </c>
      <c r="L1106">
        <v>2400</v>
      </c>
      <c r="M1106">
        <v>2400</v>
      </c>
      <c r="N1106">
        <v>0</v>
      </c>
    </row>
    <row r="1107" spans="1:14" x14ac:dyDescent="0.25">
      <c r="A1107">
        <v>629.91276600000003</v>
      </c>
      <c r="B1107" s="1">
        <f>DATE(2012,1,20) + TIME(21,54,22)</f>
        <v>40928.912754629629</v>
      </c>
      <c r="C1107">
        <v>80</v>
      </c>
      <c r="D1107">
        <v>74.193122864000003</v>
      </c>
      <c r="E1107">
        <v>50</v>
      </c>
      <c r="F1107">
        <v>49.974456787000001</v>
      </c>
      <c r="G1107">
        <v>1327.9323730000001</v>
      </c>
      <c r="H1107">
        <v>1326.6749268000001</v>
      </c>
      <c r="I1107">
        <v>1338.2218018000001</v>
      </c>
      <c r="J1107">
        <v>1335.7285156</v>
      </c>
      <c r="K1107">
        <v>0</v>
      </c>
      <c r="L1107">
        <v>2400</v>
      </c>
      <c r="M1107">
        <v>2400</v>
      </c>
      <c r="N1107">
        <v>0</v>
      </c>
    </row>
    <row r="1108" spans="1:14" x14ac:dyDescent="0.25">
      <c r="A1108">
        <v>632.18666499999995</v>
      </c>
      <c r="B1108" s="1">
        <f>DATE(2012,1,23) + TIME(4,28,47)</f>
        <v>40931.186655092592</v>
      </c>
      <c r="C1108">
        <v>80</v>
      </c>
      <c r="D1108">
        <v>74.078369140999996</v>
      </c>
      <c r="E1108">
        <v>50</v>
      </c>
      <c r="F1108">
        <v>49.974514008</v>
      </c>
      <c r="G1108">
        <v>1327.8823242000001</v>
      </c>
      <c r="H1108">
        <v>1326.6092529</v>
      </c>
      <c r="I1108">
        <v>1338.2177733999999</v>
      </c>
      <c r="J1108">
        <v>1335.7241211</v>
      </c>
      <c r="K1108">
        <v>0</v>
      </c>
      <c r="L1108">
        <v>2400</v>
      </c>
      <c r="M1108">
        <v>2400</v>
      </c>
      <c r="N1108">
        <v>0</v>
      </c>
    </row>
    <row r="1109" spans="1:14" x14ac:dyDescent="0.25">
      <c r="A1109">
        <v>634.49106900000004</v>
      </c>
      <c r="B1109" s="1">
        <f>DATE(2012,1,25) + TIME(11,47,8)</f>
        <v>40933.491064814814</v>
      </c>
      <c r="C1109">
        <v>80</v>
      </c>
      <c r="D1109">
        <v>73.962196349999999</v>
      </c>
      <c r="E1109">
        <v>50</v>
      </c>
      <c r="F1109">
        <v>49.974575043000002</v>
      </c>
      <c r="G1109">
        <v>1327.8314209</v>
      </c>
      <c r="H1109">
        <v>1326.5423584</v>
      </c>
      <c r="I1109">
        <v>1338.2138672000001</v>
      </c>
      <c r="J1109">
        <v>1335.7196045000001</v>
      </c>
      <c r="K1109">
        <v>0</v>
      </c>
      <c r="L1109">
        <v>2400</v>
      </c>
      <c r="M1109">
        <v>2400</v>
      </c>
      <c r="N1109">
        <v>0</v>
      </c>
    </row>
    <row r="1110" spans="1:14" x14ac:dyDescent="0.25">
      <c r="A1110">
        <v>636.82795599999997</v>
      </c>
      <c r="B1110" s="1">
        <f>DATE(2012,1,27) + TIME(19,52,15)</f>
        <v>40935.827951388892</v>
      </c>
      <c r="C1110">
        <v>80</v>
      </c>
      <c r="D1110">
        <v>73.844993591000005</v>
      </c>
      <c r="E1110">
        <v>50</v>
      </c>
      <c r="F1110">
        <v>49.974632262999997</v>
      </c>
      <c r="G1110">
        <v>1327.7799072</v>
      </c>
      <c r="H1110">
        <v>1326.4744873</v>
      </c>
      <c r="I1110">
        <v>1338.2098389</v>
      </c>
      <c r="J1110">
        <v>1335.715332</v>
      </c>
      <c r="K1110">
        <v>0</v>
      </c>
      <c r="L1110">
        <v>2400</v>
      </c>
      <c r="M1110">
        <v>2400</v>
      </c>
      <c r="N1110">
        <v>0</v>
      </c>
    </row>
    <row r="1111" spans="1:14" x14ac:dyDescent="0.25">
      <c r="A1111">
        <v>639.20366300000001</v>
      </c>
      <c r="B1111" s="1">
        <f>DATE(2012,1,30) + TIME(4,53,16)</f>
        <v>40938.203657407408</v>
      </c>
      <c r="C1111">
        <v>80</v>
      </c>
      <c r="D1111">
        <v>73.726593018000003</v>
      </c>
      <c r="E1111">
        <v>50</v>
      </c>
      <c r="F1111">
        <v>49.974693297999998</v>
      </c>
      <c r="G1111">
        <v>1327.7279053</v>
      </c>
      <c r="H1111">
        <v>1326.4060059000001</v>
      </c>
      <c r="I1111">
        <v>1338.2059326000001</v>
      </c>
      <c r="J1111">
        <v>1335.7109375</v>
      </c>
      <c r="K1111">
        <v>0</v>
      </c>
      <c r="L1111">
        <v>2400</v>
      </c>
      <c r="M1111">
        <v>2400</v>
      </c>
      <c r="N1111">
        <v>0</v>
      </c>
    </row>
    <row r="1112" spans="1:14" x14ac:dyDescent="0.25">
      <c r="A1112">
        <v>641</v>
      </c>
      <c r="B1112" s="1">
        <f>DATE(2012,2,1) + TIME(0,0,0)</f>
        <v>40940</v>
      </c>
      <c r="C1112">
        <v>80</v>
      </c>
      <c r="D1112">
        <v>73.616149902000004</v>
      </c>
      <c r="E1112">
        <v>50</v>
      </c>
      <c r="F1112">
        <v>49.974739075000002</v>
      </c>
      <c r="G1112">
        <v>1327.6760254000001</v>
      </c>
      <c r="H1112">
        <v>1326.3376464999999</v>
      </c>
      <c r="I1112">
        <v>1338.2020264</v>
      </c>
      <c r="J1112">
        <v>1335.7067870999999</v>
      </c>
      <c r="K1112">
        <v>0</v>
      </c>
      <c r="L1112">
        <v>2400</v>
      </c>
      <c r="M1112">
        <v>2400</v>
      </c>
      <c r="N1112">
        <v>0</v>
      </c>
    </row>
    <row r="1113" spans="1:14" x14ac:dyDescent="0.25">
      <c r="A1113">
        <v>643.42098999999996</v>
      </c>
      <c r="B1113" s="1">
        <f>DATE(2012,2,3) + TIME(10,6,13)</f>
        <v>40942.420983796299</v>
      </c>
      <c r="C1113">
        <v>80</v>
      </c>
      <c r="D1113">
        <v>73.511047363000003</v>
      </c>
      <c r="E1113">
        <v>50</v>
      </c>
      <c r="F1113">
        <v>49.974800109999997</v>
      </c>
      <c r="G1113">
        <v>1327.6309814000001</v>
      </c>
      <c r="H1113">
        <v>1326.2774658000001</v>
      </c>
      <c r="I1113">
        <v>1338.1990966999999</v>
      </c>
      <c r="J1113">
        <v>1335.7033690999999</v>
      </c>
      <c r="K1113">
        <v>0</v>
      </c>
      <c r="L1113">
        <v>2400</v>
      </c>
      <c r="M1113">
        <v>2400</v>
      </c>
      <c r="N1113">
        <v>0</v>
      </c>
    </row>
    <row r="1114" spans="1:14" x14ac:dyDescent="0.25">
      <c r="A1114">
        <v>645.924035</v>
      </c>
      <c r="B1114" s="1">
        <f>DATE(2012,2,5) + TIME(22,10,36)</f>
        <v>40944.924027777779</v>
      </c>
      <c r="C1114">
        <v>80</v>
      </c>
      <c r="D1114">
        <v>73.392211914000001</v>
      </c>
      <c r="E1114">
        <v>50</v>
      </c>
      <c r="F1114">
        <v>49.974857329999999</v>
      </c>
      <c r="G1114">
        <v>1327.5814209</v>
      </c>
      <c r="H1114">
        <v>1326.2125243999999</v>
      </c>
      <c r="I1114">
        <v>1338.1953125</v>
      </c>
      <c r="J1114">
        <v>1335.6994629000001</v>
      </c>
      <c r="K1114">
        <v>0</v>
      </c>
      <c r="L1114">
        <v>2400</v>
      </c>
      <c r="M1114">
        <v>2400</v>
      </c>
      <c r="N1114">
        <v>0</v>
      </c>
    </row>
    <row r="1115" spans="1:14" x14ac:dyDescent="0.25">
      <c r="A1115">
        <v>648.47026600000004</v>
      </c>
      <c r="B1115" s="1">
        <f>DATE(2012,2,8) + TIME(11,17,10)</f>
        <v>40947.470254629632</v>
      </c>
      <c r="C1115">
        <v>80</v>
      </c>
      <c r="D1115">
        <v>73.266975403000004</v>
      </c>
      <c r="E1115">
        <v>50</v>
      </c>
      <c r="F1115">
        <v>49.974918365000001</v>
      </c>
      <c r="G1115">
        <v>1327.5280762</v>
      </c>
      <c r="H1115">
        <v>1326.1420897999999</v>
      </c>
      <c r="I1115">
        <v>1338.1914062000001</v>
      </c>
      <c r="J1115">
        <v>1335.6953125</v>
      </c>
      <c r="K1115">
        <v>0</v>
      </c>
      <c r="L1115">
        <v>2400</v>
      </c>
      <c r="M1115">
        <v>2400</v>
      </c>
      <c r="N1115">
        <v>0</v>
      </c>
    </row>
    <row r="1116" spans="1:14" x14ac:dyDescent="0.25">
      <c r="A1116">
        <v>651.066959</v>
      </c>
      <c r="B1116" s="1">
        <f>DATE(2012,2,11) + TIME(1,36,25)</f>
        <v>40950.06695601852</v>
      </c>
      <c r="C1116">
        <v>80</v>
      </c>
      <c r="D1116">
        <v>73.137947083</v>
      </c>
      <c r="E1116">
        <v>50</v>
      </c>
      <c r="F1116">
        <v>49.974979400999999</v>
      </c>
      <c r="G1116">
        <v>1327.4731445</v>
      </c>
      <c r="H1116">
        <v>1326.0695800999999</v>
      </c>
      <c r="I1116">
        <v>1338.1875</v>
      </c>
      <c r="J1116">
        <v>1335.6912841999999</v>
      </c>
      <c r="K1116">
        <v>0</v>
      </c>
      <c r="L1116">
        <v>2400</v>
      </c>
      <c r="M1116">
        <v>2400</v>
      </c>
      <c r="N1116">
        <v>0</v>
      </c>
    </row>
    <row r="1117" spans="1:14" x14ac:dyDescent="0.25">
      <c r="A1117">
        <v>653.72124299999996</v>
      </c>
      <c r="B1117" s="1">
        <f>DATE(2012,2,13) + TIME(17,18,35)</f>
        <v>40952.721238425926</v>
      </c>
      <c r="C1117">
        <v>80</v>
      </c>
      <c r="D1117">
        <v>73.005249023000005</v>
      </c>
      <c r="E1117">
        <v>50</v>
      </c>
      <c r="F1117">
        <v>49.975040436</v>
      </c>
      <c r="G1117">
        <v>1327.4173584</v>
      </c>
      <c r="H1117">
        <v>1325.9957274999999</v>
      </c>
      <c r="I1117">
        <v>1338.1835937999999</v>
      </c>
      <c r="J1117">
        <v>1335.6872559000001</v>
      </c>
      <c r="K1117">
        <v>0</v>
      </c>
      <c r="L1117">
        <v>2400</v>
      </c>
      <c r="M1117">
        <v>2400</v>
      </c>
      <c r="N1117">
        <v>0</v>
      </c>
    </row>
    <row r="1118" spans="1:14" x14ac:dyDescent="0.25">
      <c r="A1118">
        <v>656.44068500000003</v>
      </c>
      <c r="B1118" s="1">
        <f>DATE(2012,2,16) + TIME(10,34,35)</f>
        <v>40955.440682870372</v>
      </c>
      <c r="C1118">
        <v>80</v>
      </c>
      <c r="D1118">
        <v>72.868309021000002</v>
      </c>
      <c r="E1118">
        <v>50</v>
      </c>
      <c r="F1118">
        <v>49.975101471000002</v>
      </c>
      <c r="G1118">
        <v>1327.3607178</v>
      </c>
      <c r="H1118">
        <v>1325.9206543</v>
      </c>
      <c r="I1118">
        <v>1338.1796875</v>
      </c>
      <c r="J1118">
        <v>1335.6833495999999</v>
      </c>
      <c r="K1118">
        <v>0</v>
      </c>
      <c r="L1118">
        <v>2400</v>
      </c>
      <c r="M1118">
        <v>2400</v>
      </c>
      <c r="N1118">
        <v>0</v>
      </c>
    </row>
    <row r="1119" spans="1:14" x14ac:dyDescent="0.25">
      <c r="A1119">
        <v>659.22423200000003</v>
      </c>
      <c r="B1119" s="1">
        <f>DATE(2012,2,19) + TIME(5,22,53)</f>
        <v>40958.224224537036</v>
      </c>
      <c r="C1119">
        <v>80</v>
      </c>
      <c r="D1119">
        <v>72.726478576999995</v>
      </c>
      <c r="E1119">
        <v>50</v>
      </c>
      <c r="F1119">
        <v>49.975162505999997</v>
      </c>
      <c r="G1119">
        <v>1327.3032227000001</v>
      </c>
      <c r="H1119">
        <v>1325.8443603999999</v>
      </c>
      <c r="I1119">
        <v>1338.1757812000001</v>
      </c>
      <c r="J1119">
        <v>1335.6793213000001</v>
      </c>
      <c r="K1119">
        <v>0</v>
      </c>
      <c r="L1119">
        <v>2400</v>
      </c>
      <c r="M1119">
        <v>2400</v>
      </c>
      <c r="N1119">
        <v>0</v>
      </c>
    </row>
    <row r="1120" spans="1:14" x14ac:dyDescent="0.25">
      <c r="A1120">
        <v>662.07511499999998</v>
      </c>
      <c r="B1120" s="1">
        <f>DATE(2012,2,22) + TIME(1,48,9)</f>
        <v>40961.075104166666</v>
      </c>
      <c r="C1120">
        <v>80</v>
      </c>
      <c r="D1120">
        <v>72.579200744999994</v>
      </c>
      <c r="E1120">
        <v>50</v>
      </c>
      <c r="F1120">
        <v>49.975227355999998</v>
      </c>
      <c r="G1120">
        <v>1327.2446289</v>
      </c>
      <c r="H1120">
        <v>1325.7666016000001</v>
      </c>
      <c r="I1120">
        <v>1338.1717529</v>
      </c>
      <c r="J1120">
        <v>1335.6754149999999</v>
      </c>
      <c r="K1120">
        <v>0</v>
      </c>
      <c r="L1120">
        <v>2400</v>
      </c>
      <c r="M1120">
        <v>2400</v>
      </c>
      <c r="N1120">
        <v>0</v>
      </c>
    </row>
    <row r="1121" spans="1:14" x14ac:dyDescent="0.25">
      <c r="A1121">
        <v>665.002251</v>
      </c>
      <c r="B1121" s="1">
        <f>DATE(2012,2,25) + TIME(0,3,14)</f>
        <v>40964.002245370371</v>
      </c>
      <c r="C1121">
        <v>80</v>
      </c>
      <c r="D1121">
        <v>72.425743103000002</v>
      </c>
      <c r="E1121">
        <v>50</v>
      </c>
      <c r="F1121">
        <v>49.975288390999999</v>
      </c>
      <c r="G1121">
        <v>1327.1851807</v>
      </c>
      <c r="H1121">
        <v>1325.6876221</v>
      </c>
      <c r="I1121">
        <v>1338.1677245999999</v>
      </c>
      <c r="J1121">
        <v>1335.6715088000001</v>
      </c>
      <c r="K1121">
        <v>0</v>
      </c>
      <c r="L1121">
        <v>2400</v>
      </c>
      <c r="M1121">
        <v>2400</v>
      </c>
      <c r="N1121">
        <v>0</v>
      </c>
    </row>
    <row r="1122" spans="1:14" x14ac:dyDescent="0.25">
      <c r="A1122">
        <v>668.01522999999997</v>
      </c>
      <c r="B1122" s="1">
        <f>DATE(2012,2,28) + TIME(0,21,55)</f>
        <v>40967.015219907407</v>
      </c>
      <c r="C1122">
        <v>80</v>
      </c>
      <c r="D1122">
        <v>72.265083313000005</v>
      </c>
      <c r="E1122">
        <v>50</v>
      </c>
      <c r="F1122">
        <v>49.975353241000001</v>
      </c>
      <c r="G1122">
        <v>1327.1247559000001</v>
      </c>
      <c r="H1122">
        <v>1325.6070557</v>
      </c>
      <c r="I1122">
        <v>1338.1636963000001</v>
      </c>
      <c r="J1122">
        <v>1335.6676024999999</v>
      </c>
      <c r="K1122">
        <v>0</v>
      </c>
      <c r="L1122">
        <v>2400</v>
      </c>
      <c r="M1122">
        <v>2400</v>
      </c>
      <c r="N1122">
        <v>0</v>
      </c>
    </row>
    <row r="1123" spans="1:14" x14ac:dyDescent="0.25">
      <c r="A1123">
        <v>670</v>
      </c>
      <c r="B1123" s="1">
        <f>DATE(2012,3,1) + TIME(0,0,0)</f>
        <v>40969</v>
      </c>
      <c r="C1123">
        <v>80</v>
      </c>
      <c r="D1123">
        <v>72.112205505000006</v>
      </c>
      <c r="E1123">
        <v>50</v>
      </c>
      <c r="F1123">
        <v>49.975391387999998</v>
      </c>
      <c r="G1123">
        <v>1327.0639647999999</v>
      </c>
      <c r="H1123">
        <v>1325.5264893000001</v>
      </c>
      <c r="I1123">
        <v>1338.1595459</v>
      </c>
      <c r="J1123">
        <v>1335.6638184000001</v>
      </c>
      <c r="K1123">
        <v>0</v>
      </c>
      <c r="L1123">
        <v>2400</v>
      </c>
      <c r="M1123">
        <v>2400</v>
      </c>
      <c r="N1123">
        <v>0</v>
      </c>
    </row>
    <row r="1124" spans="1:14" x14ac:dyDescent="0.25">
      <c r="A1124">
        <v>673.10740199999998</v>
      </c>
      <c r="B1124" s="1">
        <f>DATE(2012,3,4) + TIME(2,34,39)</f>
        <v>40972.107395833336</v>
      </c>
      <c r="C1124">
        <v>80</v>
      </c>
      <c r="D1124">
        <v>71.974143982000001</v>
      </c>
      <c r="E1124">
        <v>50</v>
      </c>
      <c r="F1124">
        <v>49.975460052000003</v>
      </c>
      <c r="G1124">
        <v>1327.0145264</v>
      </c>
      <c r="H1124">
        <v>1325.4588623</v>
      </c>
      <c r="I1124">
        <v>1338.1568603999999</v>
      </c>
      <c r="J1124">
        <v>1335.6610106999999</v>
      </c>
      <c r="K1124">
        <v>0</v>
      </c>
      <c r="L1124">
        <v>2400</v>
      </c>
      <c r="M1124">
        <v>2400</v>
      </c>
      <c r="N1124">
        <v>0</v>
      </c>
    </row>
    <row r="1125" spans="1:14" x14ac:dyDescent="0.25">
      <c r="A1125">
        <v>676.32702500000005</v>
      </c>
      <c r="B1125" s="1">
        <f>DATE(2012,3,7) + TIME(7,50,54)</f>
        <v>40975.327013888891</v>
      </c>
      <c r="C1125">
        <v>80</v>
      </c>
      <c r="D1125">
        <v>71.798583984000004</v>
      </c>
      <c r="E1125">
        <v>50</v>
      </c>
      <c r="F1125">
        <v>49.975524901999997</v>
      </c>
      <c r="G1125">
        <v>1326.958374</v>
      </c>
      <c r="H1125">
        <v>1325.3848877</v>
      </c>
      <c r="I1125">
        <v>1338.1527100000001</v>
      </c>
      <c r="J1125">
        <v>1335.6574707</v>
      </c>
      <c r="K1125">
        <v>0</v>
      </c>
      <c r="L1125">
        <v>2400</v>
      </c>
      <c r="M1125">
        <v>2400</v>
      </c>
      <c r="N1125">
        <v>0</v>
      </c>
    </row>
    <row r="1126" spans="1:14" x14ac:dyDescent="0.25">
      <c r="A1126">
        <v>679.598388</v>
      </c>
      <c r="B1126" s="1">
        <f>DATE(2012,3,10) + TIME(14,21,40)</f>
        <v>40978.598379629628</v>
      </c>
      <c r="C1126">
        <v>80</v>
      </c>
      <c r="D1126">
        <v>71.606468200999998</v>
      </c>
      <c r="E1126">
        <v>50</v>
      </c>
      <c r="F1126">
        <v>49.975589751999998</v>
      </c>
      <c r="G1126">
        <v>1326.8955077999999</v>
      </c>
      <c r="H1126">
        <v>1325.3010254000001</v>
      </c>
      <c r="I1126">
        <v>1338.1484375</v>
      </c>
      <c r="J1126">
        <v>1335.6536865</v>
      </c>
      <c r="K1126">
        <v>0</v>
      </c>
      <c r="L1126">
        <v>2400</v>
      </c>
      <c r="M1126">
        <v>2400</v>
      </c>
      <c r="N1126">
        <v>0</v>
      </c>
    </row>
    <row r="1127" spans="1:14" x14ac:dyDescent="0.25">
      <c r="A1127">
        <v>682.92853700000001</v>
      </c>
      <c r="B1127" s="1">
        <f>DATE(2012,3,13) + TIME(22,17,5)</f>
        <v>40981.928530092591</v>
      </c>
      <c r="C1127">
        <v>80</v>
      </c>
      <c r="D1127">
        <v>71.403663635000001</v>
      </c>
      <c r="E1127">
        <v>50</v>
      </c>
      <c r="F1127">
        <v>49.975654601999999</v>
      </c>
      <c r="G1127">
        <v>1326.8310547000001</v>
      </c>
      <c r="H1127">
        <v>1325.2145995999999</v>
      </c>
      <c r="I1127">
        <v>1338.1441649999999</v>
      </c>
      <c r="J1127">
        <v>1335.6499022999999</v>
      </c>
      <c r="K1127">
        <v>0</v>
      </c>
      <c r="L1127">
        <v>2400</v>
      </c>
      <c r="M1127">
        <v>2400</v>
      </c>
      <c r="N1127">
        <v>0</v>
      </c>
    </row>
    <row r="1128" spans="1:14" x14ac:dyDescent="0.25">
      <c r="A1128">
        <v>686.32905400000004</v>
      </c>
      <c r="B1128" s="1">
        <f>DATE(2012,3,17) + TIME(7,53,50)</f>
        <v>40985.329050925924</v>
      </c>
      <c r="C1128">
        <v>80</v>
      </c>
      <c r="D1128">
        <v>71.190055846999996</v>
      </c>
      <c r="E1128">
        <v>50</v>
      </c>
      <c r="F1128">
        <v>49.975719452</v>
      </c>
      <c r="G1128">
        <v>1326.7658690999999</v>
      </c>
      <c r="H1128">
        <v>1325.1273193</v>
      </c>
      <c r="I1128">
        <v>1338.1397704999999</v>
      </c>
      <c r="J1128">
        <v>1335.6461182</v>
      </c>
      <c r="K1128">
        <v>0</v>
      </c>
      <c r="L1128">
        <v>2400</v>
      </c>
      <c r="M1128">
        <v>2400</v>
      </c>
      <c r="N1128">
        <v>0</v>
      </c>
    </row>
    <row r="1129" spans="1:14" x14ac:dyDescent="0.25">
      <c r="A1129">
        <v>689.786382</v>
      </c>
      <c r="B1129" s="1">
        <f>DATE(2012,3,20) + TIME(18,52,23)</f>
        <v>40988.786377314813</v>
      </c>
      <c r="C1129">
        <v>80</v>
      </c>
      <c r="D1129">
        <v>70.964653014999996</v>
      </c>
      <c r="E1129">
        <v>50</v>
      </c>
      <c r="F1129">
        <v>49.975784302000001</v>
      </c>
      <c r="G1129">
        <v>1326.7003173999999</v>
      </c>
      <c r="H1129">
        <v>1325.0391846</v>
      </c>
      <c r="I1129">
        <v>1338.135376</v>
      </c>
      <c r="J1129">
        <v>1335.6424560999999</v>
      </c>
      <c r="K1129">
        <v>0</v>
      </c>
      <c r="L1129">
        <v>2400</v>
      </c>
      <c r="M1129">
        <v>2400</v>
      </c>
      <c r="N1129">
        <v>0</v>
      </c>
    </row>
    <row r="1130" spans="1:14" x14ac:dyDescent="0.25">
      <c r="A1130">
        <v>693.31087200000002</v>
      </c>
      <c r="B1130" s="1">
        <f>DATE(2012,3,24) + TIME(7,27,39)</f>
        <v>40992.310868055552</v>
      </c>
      <c r="C1130">
        <v>80</v>
      </c>
      <c r="D1130">
        <v>70.727050781000003</v>
      </c>
      <c r="E1130">
        <v>50</v>
      </c>
      <c r="F1130">
        <v>49.975849152000002</v>
      </c>
      <c r="G1130">
        <v>1326.6345214999999</v>
      </c>
      <c r="H1130">
        <v>1324.9504394999999</v>
      </c>
      <c r="I1130">
        <v>1338.1309814000001</v>
      </c>
      <c r="J1130">
        <v>1335.6386719</v>
      </c>
      <c r="K1130">
        <v>0</v>
      </c>
      <c r="L1130">
        <v>2400</v>
      </c>
      <c r="M1130">
        <v>2400</v>
      </c>
      <c r="N1130">
        <v>0</v>
      </c>
    </row>
    <row r="1131" spans="1:14" x14ac:dyDescent="0.25">
      <c r="A1131">
        <v>696.87157000000002</v>
      </c>
      <c r="B1131" s="1">
        <f>DATE(2012,3,27) + TIME(20,55,3)</f>
        <v>40995.871562499997</v>
      </c>
      <c r="C1131">
        <v>80</v>
      </c>
      <c r="D1131">
        <v>70.476585388000004</v>
      </c>
      <c r="E1131">
        <v>50</v>
      </c>
      <c r="F1131">
        <v>49.975910186999997</v>
      </c>
      <c r="G1131">
        <v>1326.5684814000001</v>
      </c>
      <c r="H1131">
        <v>1324.8613281</v>
      </c>
      <c r="I1131">
        <v>1338.1264647999999</v>
      </c>
      <c r="J1131">
        <v>1335.6351318</v>
      </c>
      <c r="K1131">
        <v>0</v>
      </c>
      <c r="L1131">
        <v>2400</v>
      </c>
      <c r="M1131">
        <v>2400</v>
      </c>
      <c r="N1131">
        <v>0</v>
      </c>
    </row>
    <row r="1132" spans="1:14" x14ac:dyDescent="0.25">
      <c r="A1132">
        <v>700.482665</v>
      </c>
      <c r="B1132" s="1">
        <f>DATE(2012,3,31) + TIME(11,35,2)</f>
        <v>40999.482662037037</v>
      </c>
      <c r="C1132">
        <v>80</v>
      </c>
      <c r="D1132">
        <v>70.213699340999995</v>
      </c>
      <c r="E1132">
        <v>50</v>
      </c>
      <c r="F1132">
        <v>49.975975036999998</v>
      </c>
      <c r="G1132">
        <v>1326.5025635</v>
      </c>
      <c r="H1132">
        <v>1324.7720947</v>
      </c>
      <c r="I1132">
        <v>1338.1219481999999</v>
      </c>
      <c r="J1132">
        <v>1335.6314697</v>
      </c>
      <c r="K1132">
        <v>0</v>
      </c>
      <c r="L1132">
        <v>2400</v>
      </c>
      <c r="M1132">
        <v>2400</v>
      </c>
      <c r="N1132">
        <v>0</v>
      </c>
    </row>
    <row r="1133" spans="1:14" x14ac:dyDescent="0.25">
      <c r="A1133">
        <v>701</v>
      </c>
      <c r="B1133" s="1">
        <f>DATE(2012,4,1) + TIME(0,0,0)</f>
        <v>41000</v>
      </c>
      <c r="C1133">
        <v>80</v>
      </c>
      <c r="D1133">
        <v>70.068786621000001</v>
      </c>
      <c r="E1133">
        <v>50</v>
      </c>
      <c r="F1133">
        <v>49.975978851000001</v>
      </c>
      <c r="G1133">
        <v>1326.4411620999999</v>
      </c>
      <c r="H1133">
        <v>1324.6915283000001</v>
      </c>
      <c r="I1133">
        <v>1338.1176757999999</v>
      </c>
      <c r="J1133">
        <v>1335.6282959</v>
      </c>
      <c r="K1133">
        <v>0</v>
      </c>
      <c r="L1133">
        <v>2400</v>
      </c>
      <c r="M1133">
        <v>2400</v>
      </c>
      <c r="N1133">
        <v>0</v>
      </c>
    </row>
    <row r="1134" spans="1:14" x14ac:dyDescent="0.25">
      <c r="A1134">
        <v>704.67460200000005</v>
      </c>
      <c r="B1134" s="1">
        <f>DATE(2012,4,4) + TIME(16,11,25)</f>
        <v>41003.67459490741</v>
      </c>
      <c r="C1134">
        <v>80</v>
      </c>
      <c r="D1134">
        <v>69.880119324000006</v>
      </c>
      <c r="E1134">
        <v>50</v>
      </c>
      <c r="F1134">
        <v>49.976051331000001</v>
      </c>
      <c r="G1134">
        <v>1326.4154053</v>
      </c>
      <c r="H1134">
        <v>1324.6518555</v>
      </c>
      <c r="I1134">
        <v>1338.1168213000001</v>
      </c>
      <c r="J1134">
        <v>1335.6270752</v>
      </c>
      <c r="K1134">
        <v>0</v>
      </c>
      <c r="L1134">
        <v>2400</v>
      </c>
      <c r="M1134">
        <v>2400</v>
      </c>
      <c r="N1134">
        <v>0</v>
      </c>
    </row>
    <row r="1135" spans="1:14" x14ac:dyDescent="0.25">
      <c r="A1135">
        <v>708.39359000000002</v>
      </c>
      <c r="B1135" s="1">
        <f>DATE(2012,4,8) + TIME(9,26,46)</f>
        <v>41007.393587962964</v>
      </c>
      <c r="C1135">
        <v>80</v>
      </c>
      <c r="D1135">
        <v>69.600059509000005</v>
      </c>
      <c r="E1135">
        <v>50</v>
      </c>
      <c r="F1135">
        <v>49.976112366000002</v>
      </c>
      <c r="G1135">
        <v>1326.3604736</v>
      </c>
      <c r="H1135">
        <v>1324.5789795000001</v>
      </c>
      <c r="I1135">
        <v>1338.1121826000001</v>
      </c>
      <c r="J1135">
        <v>1335.6239014</v>
      </c>
      <c r="K1135">
        <v>0</v>
      </c>
      <c r="L1135">
        <v>2400</v>
      </c>
      <c r="M1135">
        <v>2400</v>
      </c>
      <c r="N1135">
        <v>0</v>
      </c>
    </row>
    <row r="1136" spans="1:14" x14ac:dyDescent="0.25">
      <c r="A1136">
        <v>712.19048199999997</v>
      </c>
      <c r="B1136" s="1">
        <f>DATE(2012,4,12) + TIME(4,34,17)</f>
        <v>41011.190474537034</v>
      </c>
      <c r="C1136">
        <v>80</v>
      </c>
      <c r="D1136">
        <v>69.293304442999997</v>
      </c>
      <c r="E1136">
        <v>50</v>
      </c>
      <c r="F1136">
        <v>49.976177216000004</v>
      </c>
      <c r="G1136">
        <v>1326.2972411999999</v>
      </c>
      <c r="H1136">
        <v>1324.4930420000001</v>
      </c>
      <c r="I1136">
        <v>1338.1075439000001</v>
      </c>
      <c r="J1136">
        <v>1335.6204834</v>
      </c>
      <c r="K1136">
        <v>0</v>
      </c>
      <c r="L1136">
        <v>2400</v>
      </c>
      <c r="M1136">
        <v>2400</v>
      </c>
      <c r="N1136">
        <v>0</v>
      </c>
    </row>
    <row r="1137" spans="1:14" x14ac:dyDescent="0.25">
      <c r="A1137">
        <v>716.03052200000002</v>
      </c>
      <c r="B1137" s="1">
        <f>DATE(2012,4,16) + TIME(0,43,57)</f>
        <v>41015.03052083333</v>
      </c>
      <c r="C1137">
        <v>80</v>
      </c>
      <c r="D1137">
        <v>68.968482971</v>
      </c>
      <c r="E1137">
        <v>50</v>
      </c>
      <c r="F1137">
        <v>49.976238250999998</v>
      </c>
      <c r="G1137">
        <v>1326.2330322</v>
      </c>
      <c r="H1137">
        <v>1324.4053954999999</v>
      </c>
      <c r="I1137">
        <v>1338.1027832</v>
      </c>
      <c r="J1137">
        <v>1335.6169434000001</v>
      </c>
      <c r="K1137">
        <v>0</v>
      </c>
      <c r="L1137">
        <v>2400</v>
      </c>
      <c r="M1137">
        <v>2400</v>
      </c>
      <c r="N1137">
        <v>0</v>
      </c>
    </row>
    <row r="1138" spans="1:14" x14ac:dyDescent="0.25">
      <c r="A1138">
        <v>719.94143899999995</v>
      </c>
      <c r="B1138" s="1">
        <f>DATE(2012,4,19) + TIME(22,35,40)</f>
        <v>41018.941435185188</v>
      </c>
      <c r="C1138">
        <v>80</v>
      </c>
      <c r="D1138">
        <v>68.627403259000005</v>
      </c>
      <c r="E1138">
        <v>50</v>
      </c>
      <c r="F1138">
        <v>49.976299286</v>
      </c>
      <c r="G1138">
        <v>1326.1690673999999</v>
      </c>
      <c r="H1138">
        <v>1324.3178711</v>
      </c>
      <c r="I1138">
        <v>1338.0980225000001</v>
      </c>
      <c r="J1138">
        <v>1335.6135254000001</v>
      </c>
      <c r="K1138">
        <v>0</v>
      </c>
      <c r="L1138">
        <v>2400</v>
      </c>
      <c r="M1138">
        <v>2400</v>
      </c>
      <c r="N1138">
        <v>0</v>
      </c>
    </row>
    <row r="1139" spans="1:14" x14ac:dyDescent="0.25">
      <c r="A1139">
        <v>723.91193799999996</v>
      </c>
      <c r="B1139" s="1">
        <f>DATE(2012,4,23) + TIME(21,53,11)</f>
        <v>41022.911932870367</v>
      </c>
      <c r="C1139">
        <v>80</v>
      </c>
      <c r="D1139">
        <v>68.269432068</v>
      </c>
      <c r="E1139">
        <v>50</v>
      </c>
      <c r="F1139">
        <v>49.976364136000001</v>
      </c>
      <c r="G1139">
        <v>1326.1058350000001</v>
      </c>
      <c r="H1139">
        <v>1324.2310791</v>
      </c>
      <c r="I1139">
        <v>1338.0931396000001</v>
      </c>
      <c r="J1139">
        <v>1335.6101074000001</v>
      </c>
      <c r="K1139">
        <v>0</v>
      </c>
      <c r="L1139">
        <v>2400</v>
      </c>
      <c r="M1139">
        <v>2400</v>
      </c>
      <c r="N1139">
        <v>0</v>
      </c>
    </row>
    <row r="1140" spans="1:14" x14ac:dyDescent="0.25">
      <c r="A1140">
        <v>727.95862399999999</v>
      </c>
      <c r="B1140" s="1">
        <f>DATE(2012,4,27) + TIME(23,0,25)</f>
        <v>41026.958622685182</v>
      </c>
      <c r="C1140">
        <v>80</v>
      </c>
      <c r="D1140">
        <v>67.893768311000002</v>
      </c>
      <c r="E1140">
        <v>50</v>
      </c>
      <c r="F1140">
        <v>49.976425171000002</v>
      </c>
      <c r="G1140">
        <v>1326.0430908000001</v>
      </c>
      <c r="H1140">
        <v>1324.1447754000001</v>
      </c>
      <c r="I1140">
        <v>1338.0882568</v>
      </c>
      <c r="J1140">
        <v>1335.6066894999999</v>
      </c>
      <c r="K1140">
        <v>0</v>
      </c>
      <c r="L1140">
        <v>2400</v>
      </c>
      <c r="M1140">
        <v>2400</v>
      </c>
      <c r="N1140">
        <v>0</v>
      </c>
    </row>
    <row r="1141" spans="1:14" x14ac:dyDescent="0.25">
      <c r="A1141">
        <v>731</v>
      </c>
      <c r="B1141" s="1">
        <f>DATE(2012,5,1) + TIME(0,0,0)</f>
        <v>41030</v>
      </c>
      <c r="C1141">
        <v>80</v>
      </c>
      <c r="D1141">
        <v>67.517654418999996</v>
      </c>
      <c r="E1141">
        <v>50</v>
      </c>
      <c r="F1141">
        <v>49.976467133</v>
      </c>
      <c r="G1141">
        <v>1325.9814452999999</v>
      </c>
      <c r="H1141">
        <v>1324.0601807</v>
      </c>
      <c r="I1141">
        <v>1338.0832519999999</v>
      </c>
      <c r="J1141">
        <v>1335.6032714999999</v>
      </c>
      <c r="K1141">
        <v>0</v>
      </c>
      <c r="L1141">
        <v>2400</v>
      </c>
      <c r="M1141">
        <v>2400</v>
      </c>
      <c r="N1141">
        <v>0</v>
      </c>
    </row>
    <row r="1142" spans="1:14" x14ac:dyDescent="0.25">
      <c r="A1142">
        <v>731.000001</v>
      </c>
      <c r="B1142" s="1">
        <f>DATE(2012,5,1) + TIME(0,0,0)</f>
        <v>41030</v>
      </c>
      <c r="C1142">
        <v>80</v>
      </c>
      <c r="D1142">
        <v>67.517723083000007</v>
      </c>
      <c r="E1142">
        <v>50</v>
      </c>
      <c r="F1142">
        <v>49.976451873999999</v>
      </c>
      <c r="G1142">
        <v>1328.6564940999999</v>
      </c>
      <c r="H1142">
        <v>1325.9967041</v>
      </c>
      <c r="I1142">
        <v>1335.5935059000001</v>
      </c>
      <c r="J1142">
        <v>1334.2384033000001</v>
      </c>
      <c r="K1142">
        <v>2400</v>
      </c>
      <c r="L1142">
        <v>0</v>
      </c>
      <c r="M1142">
        <v>0</v>
      </c>
      <c r="N1142">
        <v>2400</v>
      </c>
    </row>
    <row r="1143" spans="1:14" x14ac:dyDescent="0.25">
      <c r="A1143">
        <v>731.00000399999999</v>
      </c>
      <c r="B1143" s="1">
        <f>DATE(2012,5,1) + TIME(0,0,0)</f>
        <v>41030</v>
      </c>
      <c r="C1143">
        <v>80</v>
      </c>
      <c r="D1143">
        <v>67.517913817999997</v>
      </c>
      <c r="E1143">
        <v>50</v>
      </c>
      <c r="F1143">
        <v>49.976406097000002</v>
      </c>
      <c r="G1143">
        <v>1328.6894531</v>
      </c>
      <c r="H1143">
        <v>1326.041626</v>
      </c>
      <c r="I1143">
        <v>1335.5645752</v>
      </c>
      <c r="J1143">
        <v>1334.2093506000001</v>
      </c>
      <c r="K1143">
        <v>2400</v>
      </c>
      <c r="L1143">
        <v>0</v>
      </c>
      <c r="M1143">
        <v>0</v>
      </c>
      <c r="N1143">
        <v>2400</v>
      </c>
    </row>
    <row r="1144" spans="1:14" x14ac:dyDescent="0.25">
      <c r="A1144">
        <v>731.00001299999997</v>
      </c>
      <c r="B1144" s="1">
        <f>DATE(2012,5,1) + TIME(0,0,1)</f>
        <v>41030.000011574077</v>
      </c>
      <c r="C1144">
        <v>80</v>
      </c>
      <c r="D1144">
        <v>67.518486022999994</v>
      </c>
      <c r="E1144">
        <v>50</v>
      </c>
      <c r="F1144">
        <v>49.976272582999997</v>
      </c>
      <c r="G1144">
        <v>1328.7841797000001</v>
      </c>
      <c r="H1144">
        <v>1326.168457</v>
      </c>
      <c r="I1144">
        <v>1335.4812012</v>
      </c>
      <c r="J1144">
        <v>1334.1259766000001</v>
      </c>
      <c r="K1144">
        <v>2400</v>
      </c>
      <c r="L1144">
        <v>0</v>
      </c>
      <c r="M1144">
        <v>0</v>
      </c>
      <c r="N1144">
        <v>2400</v>
      </c>
    </row>
    <row r="1145" spans="1:14" x14ac:dyDescent="0.25">
      <c r="A1145">
        <v>731.00004000000001</v>
      </c>
      <c r="B1145" s="1">
        <f>DATE(2012,5,1) + TIME(0,0,3)</f>
        <v>41030.000034722223</v>
      </c>
      <c r="C1145">
        <v>80</v>
      </c>
      <c r="D1145">
        <v>67.520019531000003</v>
      </c>
      <c r="E1145">
        <v>50</v>
      </c>
      <c r="F1145">
        <v>49.975917815999999</v>
      </c>
      <c r="G1145">
        <v>1329.0356445</v>
      </c>
      <c r="H1145">
        <v>1326.4923096</v>
      </c>
      <c r="I1145">
        <v>1335.2579346</v>
      </c>
      <c r="J1145">
        <v>1333.9027100000001</v>
      </c>
      <c r="K1145">
        <v>2400</v>
      </c>
      <c r="L1145">
        <v>0</v>
      </c>
      <c r="M1145">
        <v>0</v>
      </c>
      <c r="N1145">
        <v>2400</v>
      </c>
    </row>
    <row r="1146" spans="1:14" x14ac:dyDescent="0.25">
      <c r="A1146">
        <v>731.00012100000004</v>
      </c>
      <c r="B1146" s="1">
        <f>DATE(2012,5,1) + TIME(0,0,10)</f>
        <v>41030.000115740739</v>
      </c>
      <c r="C1146">
        <v>80</v>
      </c>
      <c r="D1146">
        <v>67.523818969999994</v>
      </c>
      <c r="E1146">
        <v>50</v>
      </c>
      <c r="F1146">
        <v>49.975112914999997</v>
      </c>
      <c r="G1146">
        <v>1329.6010742000001</v>
      </c>
      <c r="H1146">
        <v>1327.1628418</v>
      </c>
      <c r="I1146">
        <v>1334.7529297000001</v>
      </c>
      <c r="J1146">
        <v>1333.3977050999999</v>
      </c>
      <c r="K1146">
        <v>2400</v>
      </c>
      <c r="L1146">
        <v>0</v>
      </c>
      <c r="M1146">
        <v>0</v>
      </c>
      <c r="N1146">
        <v>2400</v>
      </c>
    </row>
    <row r="1147" spans="1:14" x14ac:dyDescent="0.25">
      <c r="A1147">
        <v>731.00036399999999</v>
      </c>
      <c r="B1147" s="1">
        <f>DATE(2012,5,1) + TIME(0,0,31)</f>
        <v>41030.000358796293</v>
      </c>
      <c r="C1147">
        <v>80</v>
      </c>
      <c r="D1147">
        <v>67.532592773000005</v>
      </c>
      <c r="E1147">
        <v>50</v>
      </c>
      <c r="F1147">
        <v>49.973743439000003</v>
      </c>
      <c r="G1147">
        <v>1330.5725098</v>
      </c>
      <c r="H1147">
        <v>1328.1896973</v>
      </c>
      <c r="I1147">
        <v>1333.8981934000001</v>
      </c>
      <c r="J1147">
        <v>1332.5429687999999</v>
      </c>
      <c r="K1147">
        <v>2400</v>
      </c>
      <c r="L1147">
        <v>0</v>
      </c>
      <c r="M1147">
        <v>0</v>
      </c>
      <c r="N1147">
        <v>2400</v>
      </c>
    </row>
    <row r="1148" spans="1:14" x14ac:dyDescent="0.25">
      <c r="A1148">
        <v>731.00109299999997</v>
      </c>
      <c r="B1148" s="1">
        <f>DATE(2012,5,1) + TIME(0,1,34)</f>
        <v>41030.001087962963</v>
      </c>
      <c r="C1148">
        <v>80</v>
      </c>
      <c r="D1148">
        <v>67.554443359000004</v>
      </c>
      <c r="E1148">
        <v>50</v>
      </c>
      <c r="F1148">
        <v>49.972007751</v>
      </c>
      <c r="G1148">
        <v>1331.8209228999999</v>
      </c>
      <c r="H1148">
        <v>1329.4095459</v>
      </c>
      <c r="I1148">
        <v>1332.8417969</v>
      </c>
      <c r="J1148">
        <v>1331.4868164</v>
      </c>
      <c r="K1148">
        <v>2400</v>
      </c>
      <c r="L1148">
        <v>0</v>
      </c>
      <c r="M1148">
        <v>0</v>
      </c>
      <c r="N1148">
        <v>2400</v>
      </c>
    </row>
    <row r="1149" spans="1:14" x14ac:dyDescent="0.25">
      <c r="A1149">
        <v>731.00328000000002</v>
      </c>
      <c r="B1149" s="1">
        <f>DATE(2012,5,1) + TIME(0,4,43)</f>
        <v>41030.003275462965</v>
      </c>
      <c r="C1149">
        <v>80</v>
      </c>
      <c r="D1149">
        <v>67.614845275999997</v>
      </c>
      <c r="E1149">
        <v>50</v>
      </c>
      <c r="F1149">
        <v>49.9700737</v>
      </c>
      <c r="G1149">
        <v>1333.1501464999999</v>
      </c>
      <c r="H1149">
        <v>1330.6936035000001</v>
      </c>
      <c r="I1149">
        <v>1331.7463379000001</v>
      </c>
      <c r="J1149">
        <v>1330.3919678</v>
      </c>
      <c r="K1149">
        <v>2400</v>
      </c>
      <c r="L1149">
        <v>0</v>
      </c>
      <c r="M1149">
        <v>0</v>
      </c>
      <c r="N1149">
        <v>2400</v>
      </c>
    </row>
    <row r="1150" spans="1:14" x14ac:dyDescent="0.25">
      <c r="A1150">
        <v>731.00984100000005</v>
      </c>
      <c r="B1150" s="1">
        <f>DATE(2012,5,1) + TIME(0,14,10)</f>
        <v>41030.009837962964</v>
      </c>
      <c r="C1150">
        <v>80</v>
      </c>
      <c r="D1150">
        <v>67.789825438999998</v>
      </c>
      <c r="E1150">
        <v>50</v>
      </c>
      <c r="F1150">
        <v>49.967716217000003</v>
      </c>
      <c r="G1150">
        <v>1334.4908447</v>
      </c>
      <c r="H1150">
        <v>1332.0024414</v>
      </c>
      <c r="I1150">
        <v>1330.6464844</v>
      </c>
      <c r="J1150">
        <v>1329.2911377</v>
      </c>
      <c r="K1150">
        <v>2400</v>
      </c>
      <c r="L1150">
        <v>0</v>
      </c>
      <c r="M1150">
        <v>0</v>
      </c>
      <c r="N1150">
        <v>2400</v>
      </c>
    </row>
    <row r="1151" spans="1:14" x14ac:dyDescent="0.25">
      <c r="A1151">
        <v>731.02952400000004</v>
      </c>
      <c r="B1151" s="1">
        <f>DATE(2012,5,1) + TIME(0,42,30)</f>
        <v>41030.029513888891</v>
      </c>
      <c r="C1151">
        <v>80</v>
      </c>
      <c r="D1151">
        <v>68.293548584000007</v>
      </c>
      <c r="E1151">
        <v>50</v>
      </c>
      <c r="F1151">
        <v>49.964096069</v>
      </c>
      <c r="G1151">
        <v>1335.8326416</v>
      </c>
      <c r="H1151">
        <v>1333.3276367000001</v>
      </c>
      <c r="I1151">
        <v>1329.53125</v>
      </c>
      <c r="J1151">
        <v>1328.1573486</v>
      </c>
      <c r="K1151">
        <v>2400</v>
      </c>
      <c r="L1151">
        <v>0</v>
      </c>
      <c r="M1151">
        <v>0</v>
      </c>
      <c r="N1151">
        <v>2400</v>
      </c>
    </row>
    <row r="1152" spans="1:14" x14ac:dyDescent="0.25">
      <c r="A1152">
        <v>731.05167700000004</v>
      </c>
      <c r="B1152" s="1">
        <f>DATE(2012,5,1) + TIME(1,14,24)</f>
        <v>41030.051666666666</v>
      </c>
      <c r="C1152">
        <v>80</v>
      </c>
      <c r="D1152">
        <v>68.839004517000006</v>
      </c>
      <c r="E1152">
        <v>50</v>
      </c>
      <c r="F1152">
        <v>49.960979461999997</v>
      </c>
      <c r="G1152">
        <v>1336.6040039</v>
      </c>
      <c r="H1152">
        <v>1334.0865478999999</v>
      </c>
      <c r="I1152">
        <v>1328.8981934000001</v>
      </c>
      <c r="J1152">
        <v>1327.4974365</v>
      </c>
      <c r="K1152">
        <v>2400</v>
      </c>
      <c r="L1152">
        <v>0</v>
      </c>
      <c r="M1152">
        <v>0</v>
      </c>
      <c r="N1152">
        <v>2400</v>
      </c>
    </row>
    <row r="1153" spans="1:14" x14ac:dyDescent="0.25">
      <c r="A1153">
        <v>731.074522</v>
      </c>
      <c r="B1153" s="1">
        <f>DATE(2012,5,1) + TIME(1,47,18)</f>
        <v>41030.074513888889</v>
      </c>
      <c r="C1153">
        <v>80</v>
      </c>
      <c r="D1153">
        <v>69.378807068</v>
      </c>
      <c r="E1153">
        <v>50</v>
      </c>
      <c r="F1153">
        <v>49.958133697999997</v>
      </c>
      <c r="G1153">
        <v>1337.0987548999999</v>
      </c>
      <c r="H1153">
        <v>1334.5753173999999</v>
      </c>
      <c r="I1153">
        <v>1328.4919434000001</v>
      </c>
      <c r="J1153">
        <v>1327.0638428</v>
      </c>
      <c r="K1153">
        <v>2400</v>
      </c>
      <c r="L1153">
        <v>0</v>
      </c>
      <c r="M1153">
        <v>0</v>
      </c>
      <c r="N1153">
        <v>2400</v>
      </c>
    </row>
    <row r="1154" spans="1:14" x14ac:dyDescent="0.25">
      <c r="A1154">
        <v>731.09802400000001</v>
      </c>
      <c r="B1154" s="1">
        <f>DATE(2012,5,1) + TIME(2,21,9)</f>
        <v>41030.098020833335</v>
      </c>
      <c r="C1154">
        <v>80</v>
      </c>
      <c r="D1154">
        <v>69.91015625</v>
      </c>
      <c r="E1154">
        <v>50</v>
      </c>
      <c r="F1154">
        <v>49.955394745</v>
      </c>
      <c r="G1154">
        <v>1337.449707</v>
      </c>
      <c r="H1154">
        <v>1334.9246826000001</v>
      </c>
      <c r="I1154">
        <v>1328.2028809000001</v>
      </c>
      <c r="J1154">
        <v>1326.7498779</v>
      </c>
      <c r="K1154">
        <v>2400</v>
      </c>
      <c r="L1154">
        <v>0</v>
      </c>
      <c r="M1154">
        <v>0</v>
      </c>
      <c r="N1154">
        <v>2400</v>
      </c>
    </row>
    <row r="1155" spans="1:14" x14ac:dyDescent="0.25">
      <c r="A1155">
        <v>731.12217099999998</v>
      </c>
      <c r="B1155" s="1">
        <f>DATE(2012,5,1) + TIME(2,55,55)</f>
        <v>41030.122164351851</v>
      </c>
      <c r="C1155">
        <v>80</v>
      </c>
      <c r="D1155">
        <v>70.430847168</v>
      </c>
      <c r="E1155">
        <v>50</v>
      </c>
      <c r="F1155">
        <v>49.952701568999998</v>
      </c>
      <c r="G1155">
        <v>1337.715332</v>
      </c>
      <c r="H1155">
        <v>1335.1911620999999</v>
      </c>
      <c r="I1155">
        <v>1327.9846190999999</v>
      </c>
      <c r="J1155">
        <v>1326.5097656</v>
      </c>
      <c r="K1155">
        <v>2400</v>
      </c>
      <c r="L1155">
        <v>0</v>
      </c>
      <c r="M1155">
        <v>0</v>
      </c>
      <c r="N1155">
        <v>2400</v>
      </c>
    </row>
    <row r="1156" spans="1:14" x14ac:dyDescent="0.25">
      <c r="A1156">
        <v>731.146973</v>
      </c>
      <c r="B1156" s="1">
        <f>DATE(2012,5,1) + TIME(3,31,38)</f>
        <v>41030.146967592591</v>
      </c>
      <c r="C1156">
        <v>80</v>
      </c>
      <c r="D1156">
        <v>70.940032959000007</v>
      </c>
      <c r="E1156">
        <v>50</v>
      </c>
      <c r="F1156">
        <v>49.950012207</v>
      </c>
      <c r="G1156">
        <v>1337.9259033000001</v>
      </c>
      <c r="H1156">
        <v>1335.4038086</v>
      </c>
      <c r="I1156">
        <v>1327.8133545000001</v>
      </c>
      <c r="J1156">
        <v>1326.3197021000001</v>
      </c>
      <c r="K1156">
        <v>2400</v>
      </c>
      <c r="L1156">
        <v>0</v>
      </c>
      <c r="M1156">
        <v>0</v>
      </c>
      <c r="N1156">
        <v>2400</v>
      </c>
    </row>
    <row r="1157" spans="1:14" x14ac:dyDescent="0.25">
      <c r="A1157">
        <v>731.17244900000003</v>
      </c>
      <c r="B1157" s="1">
        <f>DATE(2012,5,1) + TIME(4,8,19)</f>
        <v>41030.172442129631</v>
      </c>
      <c r="C1157">
        <v>80</v>
      </c>
      <c r="D1157">
        <v>71.436958313000005</v>
      </c>
      <c r="E1157">
        <v>50</v>
      </c>
      <c r="F1157">
        <v>49.947307586999997</v>
      </c>
      <c r="G1157">
        <v>1338.0985106999999</v>
      </c>
      <c r="H1157">
        <v>1335.5792236</v>
      </c>
      <c r="I1157">
        <v>1327.6751709</v>
      </c>
      <c r="J1157">
        <v>1326.1651611</v>
      </c>
      <c r="K1157">
        <v>2400</v>
      </c>
      <c r="L1157">
        <v>0</v>
      </c>
      <c r="M1157">
        <v>0</v>
      </c>
      <c r="N1157">
        <v>2400</v>
      </c>
    </row>
    <row r="1158" spans="1:14" x14ac:dyDescent="0.25">
      <c r="A1158">
        <v>731.19861600000002</v>
      </c>
      <c r="B1158" s="1">
        <f>DATE(2012,5,1) + TIME(4,46,0)</f>
        <v>41030.198611111111</v>
      </c>
      <c r="C1158">
        <v>80</v>
      </c>
      <c r="D1158">
        <v>71.920921325999998</v>
      </c>
      <c r="E1158">
        <v>50</v>
      </c>
      <c r="F1158">
        <v>49.944580078000001</v>
      </c>
      <c r="G1158">
        <v>1338.2440185999999</v>
      </c>
      <c r="H1158">
        <v>1335.7276611</v>
      </c>
      <c r="I1158">
        <v>1327.5614014</v>
      </c>
      <c r="J1158">
        <v>1326.0373535000001</v>
      </c>
      <c r="K1158">
        <v>2400</v>
      </c>
      <c r="L1158">
        <v>0</v>
      </c>
      <c r="M1158">
        <v>0</v>
      </c>
      <c r="N1158">
        <v>2400</v>
      </c>
    </row>
    <row r="1159" spans="1:14" x14ac:dyDescent="0.25">
      <c r="A1159">
        <v>731.22540800000002</v>
      </c>
      <c r="B1159" s="1">
        <f>DATE(2012,5,1) + TIME(5,24,35)</f>
        <v>41030.225405092591</v>
      </c>
      <c r="C1159">
        <v>80</v>
      </c>
      <c r="D1159">
        <v>72.389984131000006</v>
      </c>
      <c r="E1159">
        <v>50</v>
      </c>
      <c r="F1159">
        <v>49.941825866999999</v>
      </c>
      <c r="G1159">
        <v>1338.3692627</v>
      </c>
      <c r="H1159">
        <v>1335.8557129000001</v>
      </c>
      <c r="I1159">
        <v>1327.4667969</v>
      </c>
      <c r="J1159">
        <v>1325.9304199000001</v>
      </c>
      <c r="K1159">
        <v>2400</v>
      </c>
      <c r="L1159">
        <v>0</v>
      </c>
      <c r="M1159">
        <v>0</v>
      </c>
      <c r="N1159">
        <v>2400</v>
      </c>
    </row>
    <row r="1160" spans="1:14" x14ac:dyDescent="0.25">
      <c r="A1160">
        <v>731.25285199999996</v>
      </c>
      <c r="B1160" s="1">
        <f>DATE(2012,5,1) + TIME(6,4,6)</f>
        <v>41030.252847222226</v>
      </c>
      <c r="C1160">
        <v>80</v>
      </c>
      <c r="D1160">
        <v>72.843963622999993</v>
      </c>
      <c r="E1160">
        <v>50</v>
      </c>
      <c r="F1160">
        <v>49.939037323000001</v>
      </c>
      <c r="G1160">
        <v>1338.4792480000001</v>
      </c>
      <c r="H1160">
        <v>1335.9678954999999</v>
      </c>
      <c r="I1160">
        <v>1327.3870850000001</v>
      </c>
      <c r="J1160">
        <v>1325.8399658000001</v>
      </c>
      <c r="K1160">
        <v>2400</v>
      </c>
      <c r="L1160">
        <v>0</v>
      </c>
      <c r="M1160">
        <v>0</v>
      </c>
      <c r="N1160">
        <v>2400</v>
      </c>
    </row>
    <row r="1161" spans="1:14" x14ac:dyDescent="0.25">
      <c r="A1161">
        <v>731.28097500000001</v>
      </c>
      <c r="B1161" s="1">
        <f>DATE(2012,5,1) + TIME(6,44,36)</f>
        <v>41030.280972222223</v>
      </c>
      <c r="C1161">
        <v>80</v>
      </c>
      <c r="D1161">
        <v>73.282737732000001</v>
      </c>
      <c r="E1161">
        <v>50</v>
      </c>
      <c r="F1161">
        <v>49.936214446999998</v>
      </c>
      <c r="G1161">
        <v>1338.5772704999999</v>
      </c>
      <c r="H1161">
        <v>1336.067749</v>
      </c>
      <c r="I1161">
        <v>1327.3194579999999</v>
      </c>
      <c r="J1161">
        <v>1325.7628173999999</v>
      </c>
      <c r="K1161">
        <v>2400</v>
      </c>
      <c r="L1161">
        <v>0</v>
      </c>
      <c r="M1161">
        <v>0</v>
      </c>
      <c r="N1161">
        <v>2400</v>
      </c>
    </row>
    <row r="1162" spans="1:14" x14ac:dyDescent="0.25">
      <c r="A1162">
        <v>731.30980999999997</v>
      </c>
      <c r="B1162" s="1">
        <f>DATE(2012,5,1) + TIME(7,26,7)</f>
        <v>41030.309803240743</v>
      </c>
      <c r="C1162">
        <v>80</v>
      </c>
      <c r="D1162">
        <v>73.706253051999994</v>
      </c>
      <c r="E1162">
        <v>50</v>
      </c>
      <c r="F1162">
        <v>49.933345795000001</v>
      </c>
      <c r="G1162">
        <v>1338.6658935999999</v>
      </c>
      <c r="H1162">
        <v>1336.1577147999999</v>
      </c>
      <c r="I1162">
        <v>1327.2617187999999</v>
      </c>
      <c r="J1162">
        <v>1325.6965332</v>
      </c>
      <c r="K1162">
        <v>2400</v>
      </c>
      <c r="L1162">
        <v>0</v>
      </c>
      <c r="M1162">
        <v>0</v>
      </c>
      <c r="N1162">
        <v>2400</v>
      </c>
    </row>
    <row r="1163" spans="1:14" x14ac:dyDescent="0.25">
      <c r="A1163">
        <v>731.33938999999998</v>
      </c>
      <c r="B1163" s="1">
        <f>DATE(2012,5,1) + TIME(8,8,43)</f>
        <v>41030.339386574073</v>
      </c>
      <c r="C1163">
        <v>80</v>
      </c>
      <c r="D1163">
        <v>74.114448546999995</v>
      </c>
      <c r="E1163">
        <v>50</v>
      </c>
      <c r="F1163">
        <v>49.930431366000001</v>
      </c>
      <c r="G1163">
        <v>1338.7470702999999</v>
      </c>
      <c r="H1163">
        <v>1336.239624</v>
      </c>
      <c r="I1163">
        <v>1327.2122803</v>
      </c>
      <c r="J1163">
        <v>1325.6394043</v>
      </c>
      <c r="K1163">
        <v>2400</v>
      </c>
      <c r="L1163">
        <v>0</v>
      </c>
      <c r="M1163">
        <v>0</v>
      </c>
      <c r="N1163">
        <v>2400</v>
      </c>
    </row>
    <row r="1164" spans="1:14" x14ac:dyDescent="0.25">
      <c r="A1164">
        <v>731.36974699999996</v>
      </c>
      <c r="B1164" s="1">
        <f>DATE(2012,5,1) + TIME(8,52,26)</f>
        <v>41030.369745370372</v>
      </c>
      <c r="C1164">
        <v>80</v>
      </c>
      <c r="D1164">
        <v>74.507263183999996</v>
      </c>
      <c r="E1164">
        <v>50</v>
      </c>
      <c r="F1164">
        <v>49.927471161</v>
      </c>
      <c r="G1164">
        <v>1338.8221435999999</v>
      </c>
      <c r="H1164">
        <v>1336.3148193</v>
      </c>
      <c r="I1164">
        <v>1327.1699219</v>
      </c>
      <c r="J1164">
        <v>1325.5900879000001</v>
      </c>
      <c r="K1164">
        <v>2400</v>
      </c>
      <c r="L1164">
        <v>0</v>
      </c>
      <c r="M1164">
        <v>0</v>
      </c>
      <c r="N1164">
        <v>2400</v>
      </c>
    </row>
    <row r="1165" spans="1:14" x14ac:dyDescent="0.25">
      <c r="A1165">
        <v>731.40092800000002</v>
      </c>
      <c r="B1165" s="1">
        <f>DATE(2012,5,1) + TIME(9,37,20)</f>
        <v>41030.400925925926</v>
      </c>
      <c r="C1165">
        <v>80</v>
      </c>
      <c r="D1165">
        <v>74.884780883999994</v>
      </c>
      <c r="E1165">
        <v>50</v>
      </c>
      <c r="F1165">
        <v>49.924453735</v>
      </c>
      <c r="G1165">
        <v>1338.8922118999999</v>
      </c>
      <c r="H1165">
        <v>1336.3845214999999</v>
      </c>
      <c r="I1165">
        <v>1327.1335449000001</v>
      </c>
      <c r="J1165">
        <v>1325.5474853999999</v>
      </c>
      <c r="K1165">
        <v>2400</v>
      </c>
      <c r="L1165">
        <v>0</v>
      </c>
      <c r="M1165">
        <v>0</v>
      </c>
      <c r="N1165">
        <v>2400</v>
      </c>
    </row>
    <row r="1166" spans="1:14" x14ac:dyDescent="0.25">
      <c r="A1166">
        <v>731.43297800000005</v>
      </c>
      <c r="B1166" s="1">
        <f>DATE(2012,5,1) + TIME(10,23,29)</f>
        <v>41030.432974537034</v>
      </c>
      <c r="C1166">
        <v>80</v>
      </c>
      <c r="D1166">
        <v>75.246849060000002</v>
      </c>
      <c r="E1166">
        <v>50</v>
      </c>
      <c r="F1166">
        <v>49.921379088999998</v>
      </c>
      <c r="G1166">
        <v>1338.9581298999999</v>
      </c>
      <c r="H1166">
        <v>1336.4494629000001</v>
      </c>
      <c r="I1166">
        <v>1327.1024170000001</v>
      </c>
      <c r="J1166">
        <v>1325.5106201000001</v>
      </c>
      <c r="K1166">
        <v>2400</v>
      </c>
      <c r="L1166">
        <v>0</v>
      </c>
      <c r="M1166">
        <v>0</v>
      </c>
      <c r="N1166">
        <v>2400</v>
      </c>
    </row>
    <row r="1167" spans="1:14" x14ac:dyDescent="0.25">
      <c r="A1167">
        <v>731.46594300000004</v>
      </c>
      <c r="B1167" s="1">
        <f>DATE(2012,5,1) + TIME(11,10,57)</f>
        <v>41030.465937499997</v>
      </c>
      <c r="C1167">
        <v>80</v>
      </c>
      <c r="D1167">
        <v>75.593582153</v>
      </c>
      <c r="E1167">
        <v>50</v>
      </c>
      <c r="F1167">
        <v>49.918243408000002</v>
      </c>
      <c r="G1167">
        <v>1339.0206298999999</v>
      </c>
      <c r="H1167">
        <v>1336.510376</v>
      </c>
      <c r="I1167">
        <v>1327.0758057</v>
      </c>
      <c r="J1167">
        <v>1325.4788818</v>
      </c>
      <c r="K1167">
        <v>2400</v>
      </c>
      <c r="L1167">
        <v>0</v>
      </c>
      <c r="M1167">
        <v>0</v>
      </c>
      <c r="N1167">
        <v>2400</v>
      </c>
    </row>
    <row r="1168" spans="1:14" x14ac:dyDescent="0.25">
      <c r="A1168">
        <v>731.49987499999997</v>
      </c>
      <c r="B1168" s="1">
        <f>DATE(2012,5,1) + TIME(11,59,49)</f>
        <v>41030.499872685185</v>
      </c>
      <c r="C1168">
        <v>80</v>
      </c>
      <c r="D1168">
        <v>75.925102233999993</v>
      </c>
      <c r="E1168">
        <v>50</v>
      </c>
      <c r="F1168">
        <v>49.915039061999998</v>
      </c>
      <c r="G1168">
        <v>1339.0802002</v>
      </c>
      <c r="H1168">
        <v>1336.567749</v>
      </c>
      <c r="I1168">
        <v>1327.0532227000001</v>
      </c>
      <c r="J1168">
        <v>1325.4515381000001</v>
      </c>
      <c r="K1168">
        <v>2400</v>
      </c>
      <c r="L1168">
        <v>0</v>
      </c>
      <c r="M1168">
        <v>0</v>
      </c>
      <c r="N1168">
        <v>2400</v>
      </c>
    </row>
    <row r="1169" spans="1:14" x14ac:dyDescent="0.25">
      <c r="A1169">
        <v>731.53482899999995</v>
      </c>
      <c r="B1169" s="1">
        <f>DATE(2012,5,1) + TIME(12,50,9)</f>
        <v>41030.534826388888</v>
      </c>
      <c r="C1169">
        <v>80</v>
      </c>
      <c r="D1169">
        <v>76.241485596000004</v>
      </c>
      <c r="E1169">
        <v>50</v>
      </c>
      <c r="F1169">
        <v>49.911769866999997</v>
      </c>
      <c r="G1169">
        <v>1339.1370850000001</v>
      </c>
      <c r="H1169">
        <v>1336.6220702999999</v>
      </c>
      <c r="I1169">
        <v>1327.0343018000001</v>
      </c>
      <c r="J1169">
        <v>1325.4282227000001</v>
      </c>
      <c r="K1169">
        <v>2400</v>
      </c>
      <c r="L1169">
        <v>0</v>
      </c>
      <c r="M1169">
        <v>0</v>
      </c>
      <c r="N1169">
        <v>2400</v>
      </c>
    </row>
    <row r="1170" spans="1:14" x14ac:dyDescent="0.25">
      <c r="A1170">
        <v>731.57086500000003</v>
      </c>
      <c r="B1170" s="1">
        <f>DATE(2012,5,1) + TIME(13,42,2)</f>
        <v>41030.570856481485</v>
      </c>
      <c r="C1170">
        <v>80</v>
      </c>
      <c r="D1170">
        <v>76.542793274000005</v>
      </c>
      <c r="E1170">
        <v>50</v>
      </c>
      <c r="F1170">
        <v>49.908424377000003</v>
      </c>
      <c r="G1170">
        <v>1339.1917725000001</v>
      </c>
      <c r="H1170">
        <v>1336.6737060999999</v>
      </c>
      <c r="I1170">
        <v>1327.0184326000001</v>
      </c>
      <c r="J1170">
        <v>1325.4083252</v>
      </c>
      <c r="K1170">
        <v>2400</v>
      </c>
      <c r="L1170">
        <v>0</v>
      </c>
      <c r="M1170">
        <v>0</v>
      </c>
      <c r="N1170">
        <v>2400</v>
      </c>
    </row>
    <row r="1171" spans="1:14" x14ac:dyDescent="0.25">
      <c r="A1171">
        <v>731.60804800000005</v>
      </c>
      <c r="B1171" s="1">
        <f>DATE(2012,5,1) + TIME(14,35,35)</f>
        <v>41030.608043981483</v>
      </c>
      <c r="C1171">
        <v>80</v>
      </c>
      <c r="D1171">
        <v>76.829132079999994</v>
      </c>
      <c r="E1171">
        <v>50</v>
      </c>
      <c r="F1171">
        <v>49.904998779000003</v>
      </c>
      <c r="G1171">
        <v>1339.2446289</v>
      </c>
      <c r="H1171">
        <v>1336.7230225000001</v>
      </c>
      <c r="I1171">
        <v>1327.0053711</v>
      </c>
      <c r="J1171">
        <v>1325.3916016000001</v>
      </c>
      <c r="K1171">
        <v>2400</v>
      </c>
      <c r="L1171">
        <v>0</v>
      </c>
      <c r="M1171">
        <v>0</v>
      </c>
      <c r="N1171">
        <v>2400</v>
      </c>
    </row>
    <row r="1172" spans="1:14" x14ac:dyDescent="0.25">
      <c r="A1172">
        <v>731.64644899999996</v>
      </c>
      <c r="B1172" s="1">
        <f>DATE(2012,5,1) + TIME(15,30,53)</f>
        <v>41030.64644675926</v>
      </c>
      <c r="C1172">
        <v>80</v>
      </c>
      <c r="D1172">
        <v>77.100608825999998</v>
      </c>
      <c r="E1172">
        <v>50</v>
      </c>
      <c r="F1172">
        <v>49.901493072999997</v>
      </c>
      <c r="G1172">
        <v>1339.2956543</v>
      </c>
      <c r="H1172">
        <v>1336.7701416</v>
      </c>
      <c r="I1172">
        <v>1326.994751</v>
      </c>
      <c r="J1172">
        <v>1325.3775635</v>
      </c>
      <c r="K1172">
        <v>2400</v>
      </c>
      <c r="L1172">
        <v>0</v>
      </c>
      <c r="M1172">
        <v>0</v>
      </c>
      <c r="N1172">
        <v>2400</v>
      </c>
    </row>
    <row r="1173" spans="1:14" x14ac:dyDescent="0.25">
      <c r="A1173">
        <v>731.68608099999994</v>
      </c>
      <c r="B1173" s="1">
        <f>DATE(2012,5,1) + TIME(16,27,57)</f>
        <v>41030.686076388891</v>
      </c>
      <c r="C1173">
        <v>80</v>
      </c>
      <c r="D1173">
        <v>77.357002257999994</v>
      </c>
      <c r="E1173">
        <v>50</v>
      </c>
      <c r="F1173">
        <v>49.897899627999998</v>
      </c>
      <c r="G1173">
        <v>1339.3452147999999</v>
      </c>
      <c r="H1173">
        <v>1336.8153076000001</v>
      </c>
      <c r="I1173">
        <v>1326.9863281</v>
      </c>
      <c r="J1173">
        <v>1325.3659668</v>
      </c>
      <c r="K1173">
        <v>2400</v>
      </c>
      <c r="L1173">
        <v>0</v>
      </c>
      <c r="M1173">
        <v>0</v>
      </c>
      <c r="N1173">
        <v>2400</v>
      </c>
    </row>
    <row r="1174" spans="1:14" x14ac:dyDescent="0.25">
      <c r="A1174">
        <v>731.72700799999996</v>
      </c>
      <c r="B1174" s="1">
        <f>DATE(2012,5,1) + TIME(17,26,53)</f>
        <v>41030.727002314816</v>
      </c>
      <c r="C1174">
        <v>80</v>
      </c>
      <c r="D1174">
        <v>77.598464965999995</v>
      </c>
      <c r="E1174">
        <v>50</v>
      </c>
      <c r="F1174">
        <v>49.894222259999999</v>
      </c>
      <c r="G1174">
        <v>1339.3933105000001</v>
      </c>
      <c r="H1174">
        <v>1336.8587646000001</v>
      </c>
      <c r="I1174">
        <v>1326.9799805</v>
      </c>
      <c r="J1174">
        <v>1325.3565673999999</v>
      </c>
      <c r="K1174">
        <v>2400</v>
      </c>
      <c r="L1174">
        <v>0</v>
      </c>
      <c r="M1174">
        <v>0</v>
      </c>
      <c r="N1174">
        <v>2400</v>
      </c>
    </row>
    <row r="1175" spans="1:14" x14ac:dyDescent="0.25">
      <c r="A1175">
        <v>731.76930900000002</v>
      </c>
      <c r="B1175" s="1">
        <f>DATE(2012,5,1) + TIME(18,27,48)</f>
        <v>41030.769305555557</v>
      </c>
      <c r="C1175">
        <v>80</v>
      </c>
      <c r="D1175">
        <v>77.825225829999994</v>
      </c>
      <c r="E1175">
        <v>50</v>
      </c>
      <c r="F1175">
        <v>49.890449523999997</v>
      </c>
      <c r="G1175">
        <v>1339.4400635</v>
      </c>
      <c r="H1175">
        <v>1336.9005127</v>
      </c>
      <c r="I1175">
        <v>1326.9752197</v>
      </c>
      <c r="J1175">
        <v>1325.3491211</v>
      </c>
      <c r="K1175">
        <v>2400</v>
      </c>
      <c r="L1175">
        <v>0</v>
      </c>
      <c r="M1175">
        <v>0</v>
      </c>
      <c r="N1175">
        <v>2400</v>
      </c>
    </row>
    <row r="1176" spans="1:14" x14ac:dyDescent="0.25">
      <c r="A1176">
        <v>731.81306600000005</v>
      </c>
      <c r="B1176" s="1">
        <f>DATE(2012,5,1) + TIME(19,30,48)</f>
        <v>41030.813055555554</v>
      </c>
      <c r="C1176">
        <v>80</v>
      </c>
      <c r="D1176">
        <v>78.037559509000005</v>
      </c>
      <c r="E1176">
        <v>50</v>
      </c>
      <c r="F1176">
        <v>49.886577606000003</v>
      </c>
      <c r="G1176">
        <v>1339.4854736</v>
      </c>
      <c r="H1176">
        <v>1336.9406738</v>
      </c>
      <c r="I1176">
        <v>1326.9719238</v>
      </c>
      <c r="J1176">
        <v>1325.3432617000001</v>
      </c>
      <c r="K1176">
        <v>2400</v>
      </c>
      <c r="L1176">
        <v>0</v>
      </c>
      <c r="M1176">
        <v>0</v>
      </c>
      <c r="N1176">
        <v>2400</v>
      </c>
    </row>
    <row r="1177" spans="1:14" x14ac:dyDescent="0.25">
      <c r="A1177">
        <v>731.85837200000003</v>
      </c>
      <c r="B1177" s="1">
        <f>DATE(2012,5,1) + TIME(20,36,3)</f>
        <v>41030.858368055553</v>
      </c>
      <c r="C1177">
        <v>80</v>
      </c>
      <c r="D1177">
        <v>78.235763550000001</v>
      </c>
      <c r="E1177">
        <v>50</v>
      </c>
      <c r="F1177">
        <v>49.882602691999999</v>
      </c>
      <c r="G1177">
        <v>1339.5297852000001</v>
      </c>
      <c r="H1177">
        <v>1336.9793701000001</v>
      </c>
      <c r="I1177">
        <v>1326.9700928</v>
      </c>
      <c r="J1177">
        <v>1325.3389893000001</v>
      </c>
      <c r="K1177">
        <v>2400</v>
      </c>
      <c r="L1177">
        <v>0</v>
      </c>
      <c r="M1177">
        <v>0</v>
      </c>
      <c r="N1177">
        <v>2400</v>
      </c>
    </row>
    <row r="1178" spans="1:14" x14ac:dyDescent="0.25">
      <c r="A1178">
        <v>731.90532499999995</v>
      </c>
      <c r="B1178" s="1">
        <f>DATE(2012,5,1) + TIME(21,43,40)</f>
        <v>41030.905324074076</v>
      </c>
      <c r="C1178">
        <v>80</v>
      </c>
      <c r="D1178">
        <v>78.420143127000003</v>
      </c>
      <c r="E1178">
        <v>50</v>
      </c>
      <c r="F1178">
        <v>49.878517150999997</v>
      </c>
      <c r="G1178">
        <v>1339.572876</v>
      </c>
      <c r="H1178">
        <v>1337.0167236</v>
      </c>
      <c r="I1178">
        <v>1326.9692382999999</v>
      </c>
      <c r="J1178">
        <v>1325.3358154</v>
      </c>
      <c r="K1178">
        <v>2400</v>
      </c>
      <c r="L1178">
        <v>0</v>
      </c>
      <c r="M1178">
        <v>0</v>
      </c>
      <c r="N1178">
        <v>2400</v>
      </c>
    </row>
    <row r="1179" spans="1:14" x14ac:dyDescent="0.25">
      <c r="A1179">
        <v>731.95403299999998</v>
      </c>
      <c r="B1179" s="1">
        <f>DATE(2012,5,1) + TIME(22,53,48)</f>
        <v>41030.954027777778</v>
      </c>
      <c r="C1179">
        <v>80</v>
      </c>
      <c r="D1179">
        <v>78.591064453000001</v>
      </c>
      <c r="E1179">
        <v>50</v>
      </c>
      <c r="F1179">
        <v>49.874309539999999</v>
      </c>
      <c r="G1179">
        <v>1339.6148682</v>
      </c>
      <c r="H1179">
        <v>1337.0527344</v>
      </c>
      <c r="I1179">
        <v>1326.9693603999999</v>
      </c>
      <c r="J1179">
        <v>1325.3338623</v>
      </c>
      <c r="K1179">
        <v>2400</v>
      </c>
      <c r="L1179">
        <v>0</v>
      </c>
      <c r="M1179">
        <v>0</v>
      </c>
      <c r="N1179">
        <v>2400</v>
      </c>
    </row>
    <row r="1180" spans="1:14" x14ac:dyDescent="0.25">
      <c r="A1180">
        <v>732.00461499999994</v>
      </c>
      <c r="B1180" s="1">
        <f>DATE(2012,5,2) + TIME(0,6,38)</f>
        <v>41031.004606481481</v>
      </c>
      <c r="C1180">
        <v>80</v>
      </c>
      <c r="D1180">
        <v>78.748916625999996</v>
      </c>
      <c r="E1180">
        <v>50</v>
      </c>
      <c r="F1180">
        <v>49.869979858000001</v>
      </c>
      <c r="G1180">
        <v>1339.6558838000001</v>
      </c>
      <c r="H1180">
        <v>1337.0875243999999</v>
      </c>
      <c r="I1180">
        <v>1326.9703368999999</v>
      </c>
      <c r="J1180">
        <v>1325.3326416</v>
      </c>
      <c r="K1180">
        <v>2400</v>
      </c>
      <c r="L1180">
        <v>0</v>
      </c>
      <c r="M1180">
        <v>0</v>
      </c>
      <c r="N1180">
        <v>2400</v>
      </c>
    </row>
    <row r="1181" spans="1:14" x14ac:dyDescent="0.25">
      <c r="A1181">
        <v>732.05721700000004</v>
      </c>
      <c r="B1181" s="1">
        <f>DATE(2012,5,2) + TIME(1,22,23)</f>
        <v>41031.057210648149</v>
      </c>
      <c r="C1181">
        <v>80</v>
      </c>
      <c r="D1181">
        <v>78.894149780000006</v>
      </c>
      <c r="E1181">
        <v>50</v>
      </c>
      <c r="F1181">
        <v>49.865509033000002</v>
      </c>
      <c r="G1181">
        <v>1339.6958007999999</v>
      </c>
      <c r="H1181">
        <v>1337.1212158000001</v>
      </c>
      <c r="I1181">
        <v>1326.9719238</v>
      </c>
      <c r="J1181">
        <v>1325.3323975000001</v>
      </c>
      <c r="K1181">
        <v>2400</v>
      </c>
      <c r="L1181">
        <v>0</v>
      </c>
      <c r="M1181">
        <v>0</v>
      </c>
      <c r="N1181">
        <v>2400</v>
      </c>
    </row>
    <row r="1182" spans="1:14" x14ac:dyDescent="0.25">
      <c r="A1182">
        <v>732.11195999999995</v>
      </c>
      <c r="B1182" s="1">
        <f>DATE(2012,5,2) + TIME(2,41,13)</f>
        <v>41031.111956018518</v>
      </c>
      <c r="C1182">
        <v>80</v>
      </c>
      <c r="D1182">
        <v>79.027145386000001</v>
      </c>
      <c r="E1182">
        <v>50</v>
      </c>
      <c r="F1182">
        <v>49.860897064</v>
      </c>
      <c r="G1182">
        <v>1339.7347411999999</v>
      </c>
      <c r="H1182">
        <v>1337.1536865</v>
      </c>
      <c r="I1182">
        <v>1326.9741211</v>
      </c>
      <c r="J1182">
        <v>1325.3326416</v>
      </c>
      <c r="K1182">
        <v>2400</v>
      </c>
      <c r="L1182">
        <v>0</v>
      </c>
      <c r="M1182">
        <v>0</v>
      </c>
      <c r="N1182">
        <v>2400</v>
      </c>
    </row>
    <row r="1183" spans="1:14" x14ac:dyDescent="0.25">
      <c r="A1183">
        <v>732.16899699999999</v>
      </c>
      <c r="B1183" s="1">
        <f>DATE(2012,5,2) + TIME(4,3,21)</f>
        <v>41031.168993055559</v>
      </c>
      <c r="C1183">
        <v>80</v>
      </c>
      <c r="D1183">
        <v>79.148376464999998</v>
      </c>
      <c r="E1183">
        <v>50</v>
      </c>
      <c r="F1183">
        <v>49.856132506999998</v>
      </c>
      <c r="G1183">
        <v>1339.7727050999999</v>
      </c>
      <c r="H1183">
        <v>1337.1851807</v>
      </c>
      <c r="I1183">
        <v>1326.9768065999999</v>
      </c>
      <c r="J1183">
        <v>1325.333374</v>
      </c>
      <c r="K1183">
        <v>2400</v>
      </c>
      <c r="L1183">
        <v>0</v>
      </c>
      <c r="M1183">
        <v>0</v>
      </c>
      <c r="N1183">
        <v>2400</v>
      </c>
    </row>
    <row r="1184" spans="1:14" x14ac:dyDescent="0.25">
      <c r="A1184">
        <v>732.22849699999995</v>
      </c>
      <c r="B1184" s="1">
        <f>DATE(2012,5,2) + TIME(5,29,2)</f>
        <v>41031.228495370371</v>
      </c>
      <c r="C1184">
        <v>80</v>
      </c>
      <c r="D1184">
        <v>79.258354186999995</v>
      </c>
      <c r="E1184">
        <v>50</v>
      </c>
      <c r="F1184">
        <v>49.851203918000003</v>
      </c>
      <c r="G1184">
        <v>1339.8096923999999</v>
      </c>
      <c r="H1184">
        <v>1337.2154541</v>
      </c>
      <c r="I1184">
        <v>1326.9797363</v>
      </c>
      <c r="J1184">
        <v>1325.3345947</v>
      </c>
      <c r="K1184">
        <v>2400</v>
      </c>
      <c r="L1184">
        <v>0</v>
      </c>
      <c r="M1184">
        <v>0</v>
      </c>
      <c r="N1184">
        <v>2400</v>
      </c>
    </row>
    <row r="1185" spans="1:14" x14ac:dyDescent="0.25">
      <c r="A1185">
        <v>732.29064800000003</v>
      </c>
      <c r="B1185" s="1">
        <f>DATE(2012,5,2) + TIME(6,58,31)</f>
        <v>41031.290636574071</v>
      </c>
      <c r="C1185">
        <v>80</v>
      </c>
      <c r="D1185">
        <v>79.357589722</v>
      </c>
      <c r="E1185">
        <v>50</v>
      </c>
      <c r="F1185">
        <v>49.846096039000003</v>
      </c>
      <c r="G1185">
        <v>1339.8457031</v>
      </c>
      <c r="H1185">
        <v>1337.244751</v>
      </c>
      <c r="I1185">
        <v>1326.9829102000001</v>
      </c>
      <c r="J1185">
        <v>1325.3360596</v>
      </c>
      <c r="K1185">
        <v>2400</v>
      </c>
      <c r="L1185">
        <v>0</v>
      </c>
      <c r="M1185">
        <v>0</v>
      </c>
      <c r="N1185">
        <v>2400</v>
      </c>
    </row>
    <row r="1186" spans="1:14" x14ac:dyDescent="0.25">
      <c r="A1186">
        <v>732.35565599999995</v>
      </c>
      <c r="B1186" s="1">
        <f>DATE(2012,5,2) + TIME(8,32,8)</f>
        <v>41031.35564814815</v>
      </c>
      <c r="C1186">
        <v>80</v>
      </c>
      <c r="D1186">
        <v>79.446632385000001</v>
      </c>
      <c r="E1186">
        <v>50</v>
      </c>
      <c r="F1186">
        <v>49.840801239000001</v>
      </c>
      <c r="G1186">
        <v>1339.8806152</v>
      </c>
      <c r="H1186">
        <v>1337.2729492000001</v>
      </c>
      <c r="I1186">
        <v>1326.9863281</v>
      </c>
      <c r="J1186">
        <v>1325.3377685999999</v>
      </c>
      <c r="K1186">
        <v>2400</v>
      </c>
      <c r="L1186">
        <v>0</v>
      </c>
      <c r="M1186">
        <v>0</v>
      </c>
      <c r="N1186">
        <v>2400</v>
      </c>
    </row>
    <row r="1187" spans="1:14" x14ac:dyDescent="0.25">
      <c r="A1187">
        <v>732.42375400000003</v>
      </c>
      <c r="B1187" s="1">
        <f>DATE(2012,5,2) + TIME(10,10,12)</f>
        <v>41031.423750000002</v>
      </c>
      <c r="C1187">
        <v>80</v>
      </c>
      <c r="D1187">
        <v>79.526054381999998</v>
      </c>
      <c r="E1187">
        <v>50</v>
      </c>
      <c r="F1187">
        <v>49.835300445999998</v>
      </c>
      <c r="G1187">
        <v>1339.9145507999999</v>
      </c>
      <c r="H1187">
        <v>1337.3001709</v>
      </c>
      <c r="I1187">
        <v>1326.9898682</v>
      </c>
      <c r="J1187">
        <v>1325.3395995999999</v>
      </c>
      <c r="K1187">
        <v>2400</v>
      </c>
      <c r="L1187">
        <v>0</v>
      </c>
      <c r="M1187">
        <v>0</v>
      </c>
      <c r="N1187">
        <v>2400</v>
      </c>
    </row>
    <row r="1188" spans="1:14" x14ac:dyDescent="0.25">
      <c r="A1188">
        <v>732.49520099999995</v>
      </c>
      <c r="B1188" s="1">
        <f>DATE(2012,5,2) + TIME(11,53,5)</f>
        <v>41031.495196759257</v>
      </c>
      <c r="C1188">
        <v>80</v>
      </c>
      <c r="D1188">
        <v>79.596443175999994</v>
      </c>
      <c r="E1188">
        <v>50</v>
      </c>
      <c r="F1188">
        <v>49.829578400000003</v>
      </c>
      <c r="G1188">
        <v>1339.9473877</v>
      </c>
      <c r="H1188">
        <v>1337.3264160000001</v>
      </c>
      <c r="I1188">
        <v>1326.9932861</v>
      </c>
      <c r="J1188">
        <v>1325.3415527</v>
      </c>
      <c r="K1188">
        <v>2400</v>
      </c>
      <c r="L1188">
        <v>0</v>
      </c>
      <c r="M1188">
        <v>0</v>
      </c>
      <c r="N1188">
        <v>2400</v>
      </c>
    </row>
    <row r="1189" spans="1:14" x14ac:dyDescent="0.25">
      <c r="A1189">
        <v>732.57028800000001</v>
      </c>
      <c r="B1189" s="1">
        <f>DATE(2012,5,2) + TIME(13,41,12)</f>
        <v>41031.570277777777</v>
      </c>
      <c r="C1189">
        <v>80</v>
      </c>
      <c r="D1189">
        <v>79.658401488999999</v>
      </c>
      <c r="E1189">
        <v>50</v>
      </c>
      <c r="F1189">
        <v>49.823616028000004</v>
      </c>
      <c r="G1189">
        <v>1339.9792480000001</v>
      </c>
      <c r="H1189">
        <v>1337.3515625</v>
      </c>
      <c r="I1189">
        <v>1326.9968262</v>
      </c>
      <c r="J1189">
        <v>1325.3433838000001</v>
      </c>
      <c r="K1189">
        <v>2400</v>
      </c>
      <c r="L1189">
        <v>0</v>
      </c>
      <c r="M1189">
        <v>0</v>
      </c>
      <c r="N1189">
        <v>2400</v>
      </c>
    </row>
    <row r="1190" spans="1:14" x14ac:dyDescent="0.25">
      <c r="A1190">
        <v>732.64934500000004</v>
      </c>
      <c r="B1190" s="1">
        <f>DATE(2012,5,2) + TIME(15,35,3)</f>
        <v>41031.649340277778</v>
      </c>
      <c r="C1190">
        <v>80</v>
      </c>
      <c r="D1190">
        <v>79.712532042999996</v>
      </c>
      <c r="E1190">
        <v>50</v>
      </c>
      <c r="F1190">
        <v>49.817394256999997</v>
      </c>
      <c r="G1190">
        <v>1340.0100098</v>
      </c>
      <c r="H1190">
        <v>1337.3756103999999</v>
      </c>
      <c r="I1190">
        <v>1327.0002440999999</v>
      </c>
      <c r="J1190">
        <v>1325.3452147999999</v>
      </c>
      <c r="K1190">
        <v>2400</v>
      </c>
      <c r="L1190">
        <v>0</v>
      </c>
      <c r="M1190">
        <v>0</v>
      </c>
      <c r="N1190">
        <v>2400</v>
      </c>
    </row>
    <row r="1191" spans="1:14" x14ac:dyDescent="0.25">
      <c r="A1191">
        <v>732.73279100000002</v>
      </c>
      <c r="B1191" s="1">
        <f>DATE(2012,5,2) + TIME(17,35,13)</f>
        <v>41031.732789351852</v>
      </c>
      <c r="C1191">
        <v>80</v>
      </c>
      <c r="D1191">
        <v>79.759475707999997</v>
      </c>
      <c r="E1191">
        <v>50</v>
      </c>
      <c r="F1191">
        <v>49.810886383000003</v>
      </c>
      <c r="G1191">
        <v>1340.0396728999999</v>
      </c>
      <c r="H1191">
        <v>1337.3988036999999</v>
      </c>
      <c r="I1191">
        <v>1327.0035399999999</v>
      </c>
      <c r="J1191">
        <v>1325.3470459</v>
      </c>
      <c r="K1191">
        <v>2400</v>
      </c>
      <c r="L1191">
        <v>0</v>
      </c>
      <c r="M1191">
        <v>0</v>
      </c>
      <c r="N1191">
        <v>2400</v>
      </c>
    </row>
    <row r="1192" spans="1:14" x14ac:dyDescent="0.25">
      <c r="A1192">
        <v>732.82103800000004</v>
      </c>
      <c r="B1192" s="1">
        <f>DATE(2012,5,2) + TIME(19,42,17)</f>
        <v>41031.821030092593</v>
      </c>
      <c r="C1192">
        <v>80</v>
      </c>
      <c r="D1192">
        <v>79.799812317000004</v>
      </c>
      <c r="E1192">
        <v>50</v>
      </c>
      <c r="F1192">
        <v>49.804065704000003</v>
      </c>
      <c r="G1192">
        <v>1340.0682373</v>
      </c>
      <c r="H1192">
        <v>1337.4208983999999</v>
      </c>
      <c r="I1192">
        <v>1327.0067139</v>
      </c>
      <c r="J1192">
        <v>1325.3486327999999</v>
      </c>
      <c r="K1192">
        <v>2400</v>
      </c>
      <c r="L1192">
        <v>0</v>
      </c>
      <c r="M1192">
        <v>0</v>
      </c>
      <c r="N1192">
        <v>2400</v>
      </c>
    </row>
    <row r="1193" spans="1:14" x14ac:dyDescent="0.25">
      <c r="A1193">
        <v>732.91456700000003</v>
      </c>
      <c r="B1193" s="1">
        <f>DATE(2012,5,2) + TIME(21,56,58)</f>
        <v>41031.914560185185</v>
      </c>
      <c r="C1193">
        <v>80</v>
      </c>
      <c r="D1193">
        <v>79.834159850999995</v>
      </c>
      <c r="E1193">
        <v>50</v>
      </c>
      <c r="F1193">
        <v>49.796905518000003</v>
      </c>
      <c r="G1193">
        <v>1340.0958252</v>
      </c>
      <c r="H1193">
        <v>1337.4420166</v>
      </c>
      <c r="I1193">
        <v>1327.0097656</v>
      </c>
      <c r="J1193">
        <v>1325.3502197</v>
      </c>
      <c r="K1193">
        <v>2400</v>
      </c>
      <c r="L1193">
        <v>0</v>
      </c>
      <c r="M1193">
        <v>0</v>
      </c>
      <c r="N1193">
        <v>2400</v>
      </c>
    </row>
    <row r="1194" spans="1:14" x14ac:dyDescent="0.25">
      <c r="A1194">
        <v>733.01108399999998</v>
      </c>
      <c r="B1194" s="1">
        <f>DATE(2012,5,3) + TIME(0,15,57)</f>
        <v>41032.011076388888</v>
      </c>
      <c r="C1194">
        <v>80</v>
      </c>
      <c r="D1194">
        <v>79.862442017000006</v>
      </c>
      <c r="E1194">
        <v>50</v>
      </c>
      <c r="F1194">
        <v>49.789562224999997</v>
      </c>
      <c r="G1194">
        <v>1340.1223144999999</v>
      </c>
      <c r="H1194">
        <v>1337.4621582</v>
      </c>
      <c r="I1194">
        <v>1327.0125731999999</v>
      </c>
      <c r="J1194">
        <v>1325.3514404</v>
      </c>
      <c r="K1194">
        <v>2400</v>
      </c>
      <c r="L1194">
        <v>0</v>
      </c>
      <c r="M1194">
        <v>0</v>
      </c>
      <c r="N1194">
        <v>2400</v>
      </c>
    </row>
    <row r="1195" spans="1:14" x14ac:dyDescent="0.25">
      <c r="A1195">
        <v>733.10866999999996</v>
      </c>
      <c r="B1195" s="1">
        <f>DATE(2012,5,3) + TIME(2,36,29)</f>
        <v>41032.108668981484</v>
      </c>
      <c r="C1195">
        <v>80</v>
      </c>
      <c r="D1195">
        <v>79.885208129999995</v>
      </c>
      <c r="E1195">
        <v>50</v>
      </c>
      <c r="F1195">
        <v>49.782173157000003</v>
      </c>
      <c r="G1195">
        <v>1340.1470947</v>
      </c>
      <c r="H1195">
        <v>1337.4808350000001</v>
      </c>
      <c r="I1195">
        <v>1327.0150146000001</v>
      </c>
      <c r="J1195">
        <v>1325.3525391000001</v>
      </c>
      <c r="K1195">
        <v>2400</v>
      </c>
      <c r="L1195">
        <v>0</v>
      </c>
      <c r="M1195">
        <v>0</v>
      </c>
      <c r="N1195">
        <v>2400</v>
      </c>
    </row>
    <row r="1196" spans="1:14" x14ac:dyDescent="0.25">
      <c r="A1196">
        <v>733.20764899999995</v>
      </c>
      <c r="B1196" s="1">
        <f>DATE(2012,5,3) + TIME(4,59,0)</f>
        <v>41032.207638888889</v>
      </c>
      <c r="C1196">
        <v>80</v>
      </c>
      <c r="D1196">
        <v>79.903526306000003</v>
      </c>
      <c r="E1196">
        <v>50</v>
      </c>
      <c r="F1196">
        <v>49.774711609000001</v>
      </c>
      <c r="G1196">
        <v>1340.1696777</v>
      </c>
      <c r="H1196">
        <v>1337.4978027</v>
      </c>
      <c r="I1196">
        <v>1327.0172118999999</v>
      </c>
      <c r="J1196">
        <v>1325.3533935999999</v>
      </c>
      <c r="K1196">
        <v>2400</v>
      </c>
      <c r="L1196">
        <v>0</v>
      </c>
      <c r="M1196">
        <v>0</v>
      </c>
      <c r="N1196">
        <v>2400</v>
      </c>
    </row>
    <row r="1197" spans="1:14" x14ac:dyDescent="0.25">
      <c r="A1197">
        <v>733.30828099999997</v>
      </c>
      <c r="B1197" s="1">
        <f>DATE(2012,5,3) + TIME(7,23,55)</f>
        <v>41032.308275462965</v>
      </c>
      <c r="C1197">
        <v>80</v>
      </c>
      <c r="D1197">
        <v>79.918251037999994</v>
      </c>
      <c r="E1197">
        <v>50</v>
      </c>
      <c r="F1197">
        <v>49.767162323000001</v>
      </c>
      <c r="G1197">
        <v>1340.1903076000001</v>
      </c>
      <c r="H1197">
        <v>1337.5133057</v>
      </c>
      <c r="I1197">
        <v>1327.0191649999999</v>
      </c>
      <c r="J1197">
        <v>1325.3540039</v>
      </c>
      <c r="K1197">
        <v>2400</v>
      </c>
      <c r="L1197">
        <v>0</v>
      </c>
      <c r="M1197">
        <v>0</v>
      </c>
      <c r="N1197">
        <v>2400</v>
      </c>
    </row>
    <row r="1198" spans="1:14" x14ac:dyDescent="0.25">
      <c r="A1198">
        <v>733.41083500000002</v>
      </c>
      <c r="B1198" s="1">
        <f>DATE(2012,5,3) + TIME(9,51,36)</f>
        <v>41032.410833333335</v>
      </c>
      <c r="C1198">
        <v>80</v>
      </c>
      <c r="D1198">
        <v>79.930061339999995</v>
      </c>
      <c r="E1198">
        <v>50</v>
      </c>
      <c r="F1198">
        <v>49.759506225999999</v>
      </c>
      <c r="G1198">
        <v>1340.2091064000001</v>
      </c>
      <c r="H1198">
        <v>1337.5272216999999</v>
      </c>
      <c r="I1198">
        <v>1327.020874</v>
      </c>
      <c r="J1198">
        <v>1325.3544922000001</v>
      </c>
      <c r="K1198">
        <v>2400</v>
      </c>
      <c r="L1198">
        <v>0</v>
      </c>
      <c r="M1198">
        <v>0</v>
      </c>
      <c r="N1198">
        <v>2400</v>
      </c>
    </row>
    <row r="1199" spans="1:14" x14ac:dyDescent="0.25">
      <c r="A1199">
        <v>733.51559399999996</v>
      </c>
      <c r="B1199" s="1">
        <f>DATE(2012,5,3) + TIME(12,22,27)</f>
        <v>41032.515590277777</v>
      </c>
      <c r="C1199">
        <v>80</v>
      </c>
      <c r="D1199">
        <v>79.939529418999996</v>
      </c>
      <c r="E1199">
        <v>50</v>
      </c>
      <c r="F1199">
        <v>49.751724242999998</v>
      </c>
      <c r="G1199">
        <v>1340.2263184000001</v>
      </c>
      <c r="H1199">
        <v>1337.5400391000001</v>
      </c>
      <c r="I1199">
        <v>1327.0223389</v>
      </c>
      <c r="J1199">
        <v>1325.3548584</v>
      </c>
      <c r="K1199">
        <v>2400</v>
      </c>
      <c r="L1199">
        <v>0</v>
      </c>
      <c r="M1199">
        <v>0</v>
      </c>
      <c r="N1199">
        <v>2400</v>
      </c>
    </row>
    <row r="1200" spans="1:14" x14ac:dyDescent="0.25">
      <c r="A1200">
        <v>733.62285899999995</v>
      </c>
      <c r="B1200" s="1">
        <f>DATE(2012,5,3) + TIME(14,56,55)</f>
        <v>41032.622858796298</v>
      </c>
      <c r="C1200">
        <v>80</v>
      </c>
      <c r="D1200">
        <v>79.947090149000005</v>
      </c>
      <c r="E1200">
        <v>50</v>
      </c>
      <c r="F1200">
        <v>49.743797301999997</v>
      </c>
      <c r="G1200">
        <v>1340.2420654</v>
      </c>
      <c r="H1200">
        <v>1337.5516356999999</v>
      </c>
      <c r="I1200">
        <v>1327.0236815999999</v>
      </c>
      <c r="J1200">
        <v>1325.3549805</v>
      </c>
      <c r="K1200">
        <v>2400</v>
      </c>
      <c r="L1200">
        <v>0</v>
      </c>
      <c r="M1200">
        <v>0</v>
      </c>
      <c r="N1200">
        <v>2400</v>
      </c>
    </row>
    <row r="1201" spans="1:14" x14ac:dyDescent="0.25">
      <c r="A1201">
        <v>733.73295599999994</v>
      </c>
      <c r="B1201" s="1">
        <f>DATE(2012,5,3) + TIME(17,35,27)</f>
        <v>41032.732951388891</v>
      </c>
      <c r="C1201">
        <v>80</v>
      </c>
      <c r="D1201">
        <v>79.953109741000006</v>
      </c>
      <c r="E1201">
        <v>50</v>
      </c>
      <c r="F1201">
        <v>49.735706329000003</v>
      </c>
      <c r="G1201">
        <v>1340.2564697</v>
      </c>
      <c r="H1201">
        <v>1337.5622559000001</v>
      </c>
      <c r="I1201">
        <v>1327.0249022999999</v>
      </c>
      <c r="J1201">
        <v>1325.3551024999999</v>
      </c>
      <c r="K1201">
        <v>2400</v>
      </c>
      <c r="L1201">
        <v>0</v>
      </c>
      <c r="M1201">
        <v>0</v>
      </c>
      <c r="N1201">
        <v>2400</v>
      </c>
    </row>
    <row r="1202" spans="1:14" x14ac:dyDescent="0.25">
      <c r="A1202">
        <v>733.84623699999997</v>
      </c>
      <c r="B1202" s="1">
        <f>DATE(2012,5,3) + TIME(20,18,34)</f>
        <v>41032.846226851849</v>
      </c>
      <c r="C1202">
        <v>80</v>
      </c>
      <c r="D1202">
        <v>79.957901000999996</v>
      </c>
      <c r="E1202">
        <v>50</v>
      </c>
      <c r="F1202">
        <v>49.727420807000001</v>
      </c>
      <c r="G1202">
        <v>1340.2696533000001</v>
      </c>
      <c r="H1202">
        <v>1337.5717772999999</v>
      </c>
      <c r="I1202">
        <v>1327.0258789</v>
      </c>
      <c r="J1202">
        <v>1325.3549805</v>
      </c>
      <c r="K1202">
        <v>2400</v>
      </c>
      <c r="L1202">
        <v>0</v>
      </c>
      <c r="M1202">
        <v>0</v>
      </c>
      <c r="N1202">
        <v>2400</v>
      </c>
    </row>
    <row r="1203" spans="1:14" x14ac:dyDescent="0.25">
      <c r="A1203">
        <v>733.96163200000001</v>
      </c>
      <c r="B1203" s="1">
        <f>DATE(2012,5,3) + TIME(23,4,45)</f>
        <v>41032.961631944447</v>
      </c>
      <c r="C1203">
        <v>80</v>
      </c>
      <c r="D1203">
        <v>79.961654663000004</v>
      </c>
      <c r="E1203">
        <v>50</v>
      </c>
      <c r="F1203">
        <v>49.719020843999999</v>
      </c>
      <c r="G1203">
        <v>1340.2817382999999</v>
      </c>
      <c r="H1203">
        <v>1337.5805664</v>
      </c>
      <c r="I1203">
        <v>1327.0267334</v>
      </c>
      <c r="J1203">
        <v>1325.3548584</v>
      </c>
      <c r="K1203">
        <v>2400</v>
      </c>
      <c r="L1203">
        <v>0</v>
      </c>
      <c r="M1203">
        <v>0</v>
      </c>
      <c r="N1203">
        <v>2400</v>
      </c>
    </row>
    <row r="1204" spans="1:14" x14ac:dyDescent="0.25">
      <c r="A1204">
        <v>734.07882600000005</v>
      </c>
      <c r="B1204" s="1">
        <f>DATE(2012,5,4) + TIME(1,53,30)</f>
        <v>41033.078819444447</v>
      </c>
      <c r="C1204">
        <v>80</v>
      </c>
      <c r="D1204">
        <v>79.964576721</v>
      </c>
      <c r="E1204">
        <v>50</v>
      </c>
      <c r="F1204">
        <v>49.710517883000001</v>
      </c>
      <c r="G1204">
        <v>1340.2926024999999</v>
      </c>
      <c r="H1204">
        <v>1337.5883789</v>
      </c>
      <c r="I1204">
        <v>1327.0274658000001</v>
      </c>
      <c r="J1204">
        <v>1325.3546143000001</v>
      </c>
      <c r="K1204">
        <v>2400</v>
      </c>
      <c r="L1204">
        <v>0</v>
      </c>
      <c r="M1204">
        <v>0</v>
      </c>
      <c r="N1204">
        <v>2400</v>
      </c>
    </row>
    <row r="1205" spans="1:14" x14ac:dyDescent="0.25">
      <c r="A1205">
        <v>734.19805799999995</v>
      </c>
      <c r="B1205" s="1">
        <f>DATE(2012,5,4) + TIME(4,45,12)</f>
        <v>41033.198055555556</v>
      </c>
      <c r="C1205">
        <v>80</v>
      </c>
      <c r="D1205">
        <v>79.966865540000001</v>
      </c>
      <c r="E1205">
        <v>50</v>
      </c>
      <c r="F1205">
        <v>49.701904296999999</v>
      </c>
      <c r="G1205">
        <v>1340.3022461</v>
      </c>
      <c r="H1205">
        <v>1337.5953368999999</v>
      </c>
      <c r="I1205">
        <v>1327.0280762</v>
      </c>
      <c r="J1205">
        <v>1325.3543701000001</v>
      </c>
      <c r="K1205">
        <v>2400</v>
      </c>
      <c r="L1205">
        <v>0</v>
      </c>
      <c r="M1205">
        <v>0</v>
      </c>
      <c r="N1205">
        <v>2400</v>
      </c>
    </row>
    <row r="1206" spans="1:14" x14ac:dyDescent="0.25">
      <c r="A1206">
        <v>734.31961000000001</v>
      </c>
      <c r="B1206" s="1">
        <f>DATE(2012,5,4) + TIME(7,40,14)</f>
        <v>41033.319606481484</v>
      </c>
      <c r="C1206">
        <v>80</v>
      </c>
      <c r="D1206">
        <v>79.968643188000001</v>
      </c>
      <c r="E1206">
        <v>50</v>
      </c>
      <c r="F1206">
        <v>49.693157196000001</v>
      </c>
      <c r="G1206">
        <v>1340.3109131000001</v>
      </c>
      <c r="H1206">
        <v>1337.6015625</v>
      </c>
      <c r="I1206">
        <v>1327.0286865</v>
      </c>
      <c r="J1206">
        <v>1325.3540039</v>
      </c>
      <c r="K1206">
        <v>2400</v>
      </c>
      <c r="L1206">
        <v>0</v>
      </c>
      <c r="M1206">
        <v>0</v>
      </c>
      <c r="N1206">
        <v>2400</v>
      </c>
    </row>
    <row r="1207" spans="1:14" x14ac:dyDescent="0.25">
      <c r="A1207">
        <v>734.44369300000005</v>
      </c>
      <c r="B1207" s="1">
        <f>DATE(2012,5,4) + TIME(10,38,55)</f>
        <v>41033.443692129629</v>
      </c>
      <c r="C1207">
        <v>80</v>
      </c>
      <c r="D1207">
        <v>79.970031738000003</v>
      </c>
      <c r="E1207">
        <v>50</v>
      </c>
      <c r="F1207">
        <v>49.684265136999997</v>
      </c>
      <c r="G1207">
        <v>1340.3187256000001</v>
      </c>
      <c r="H1207">
        <v>1337.6070557</v>
      </c>
      <c r="I1207">
        <v>1327.0290527</v>
      </c>
      <c r="J1207">
        <v>1325.3535156</v>
      </c>
      <c r="K1207">
        <v>2400</v>
      </c>
      <c r="L1207">
        <v>0</v>
      </c>
      <c r="M1207">
        <v>0</v>
      </c>
      <c r="N1207">
        <v>2400</v>
      </c>
    </row>
    <row r="1208" spans="1:14" x14ac:dyDescent="0.25">
      <c r="A1208">
        <v>734.57054700000003</v>
      </c>
      <c r="B1208" s="1">
        <f>DATE(2012,5,4) + TIME(13,41,35)</f>
        <v>41033.570543981485</v>
      </c>
      <c r="C1208">
        <v>80</v>
      </c>
      <c r="D1208">
        <v>79.971115112000007</v>
      </c>
      <c r="E1208">
        <v>50</v>
      </c>
      <c r="F1208">
        <v>49.675212860000002</v>
      </c>
      <c r="G1208">
        <v>1340.3255615</v>
      </c>
      <c r="H1208">
        <v>1337.6119385</v>
      </c>
      <c r="I1208">
        <v>1327.0294189000001</v>
      </c>
      <c r="J1208">
        <v>1325.3530272999999</v>
      </c>
      <c r="K1208">
        <v>2400</v>
      </c>
      <c r="L1208">
        <v>0</v>
      </c>
      <c r="M1208">
        <v>0</v>
      </c>
      <c r="N1208">
        <v>2400</v>
      </c>
    </row>
    <row r="1209" spans="1:14" x14ac:dyDescent="0.25">
      <c r="A1209">
        <v>734.70043699999997</v>
      </c>
      <c r="B1209" s="1">
        <f>DATE(2012,5,4) + TIME(16,48,37)</f>
        <v>41033.700428240743</v>
      </c>
      <c r="C1209">
        <v>80</v>
      </c>
      <c r="D1209">
        <v>79.971961974999999</v>
      </c>
      <c r="E1209">
        <v>50</v>
      </c>
      <c r="F1209">
        <v>49.665985106999997</v>
      </c>
      <c r="G1209">
        <v>1340.3316649999999</v>
      </c>
      <c r="H1209">
        <v>1337.6162108999999</v>
      </c>
      <c r="I1209">
        <v>1327.0296631000001</v>
      </c>
      <c r="J1209">
        <v>1325.3525391000001</v>
      </c>
      <c r="K1209">
        <v>2400</v>
      </c>
      <c r="L1209">
        <v>0</v>
      </c>
      <c r="M1209">
        <v>0</v>
      </c>
      <c r="N1209">
        <v>2400</v>
      </c>
    </row>
    <row r="1210" spans="1:14" x14ac:dyDescent="0.25">
      <c r="A1210">
        <v>734.83367199999998</v>
      </c>
      <c r="B1210" s="1">
        <f>DATE(2012,5,4) + TIME(20,0,29)</f>
        <v>41033.833668981482</v>
      </c>
      <c r="C1210">
        <v>80</v>
      </c>
      <c r="D1210">
        <v>79.972618103000002</v>
      </c>
      <c r="E1210">
        <v>50</v>
      </c>
      <c r="F1210">
        <v>49.656562805</v>
      </c>
      <c r="G1210">
        <v>1340.3369141000001</v>
      </c>
      <c r="H1210">
        <v>1337.6198730000001</v>
      </c>
      <c r="I1210">
        <v>1327.0299072</v>
      </c>
      <c r="J1210">
        <v>1325.3519286999999</v>
      </c>
      <c r="K1210">
        <v>2400</v>
      </c>
      <c r="L1210">
        <v>0</v>
      </c>
      <c r="M1210">
        <v>0</v>
      </c>
      <c r="N1210">
        <v>2400</v>
      </c>
    </row>
    <row r="1211" spans="1:14" x14ac:dyDescent="0.25">
      <c r="A1211">
        <v>734.97058700000002</v>
      </c>
      <c r="B1211" s="1">
        <f>DATE(2012,5,4) + TIME(23,17,38)</f>
        <v>41033.970578703702</v>
      </c>
      <c r="C1211">
        <v>80</v>
      </c>
      <c r="D1211">
        <v>79.973136901999993</v>
      </c>
      <c r="E1211">
        <v>50</v>
      </c>
      <c r="F1211">
        <v>49.646926880000002</v>
      </c>
      <c r="G1211">
        <v>1340.3415527</v>
      </c>
      <c r="H1211">
        <v>1337.6230469</v>
      </c>
      <c r="I1211">
        <v>1327.0300293</v>
      </c>
      <c r="J1211">
        <v>1325.3513184000001</v>
      </c>
      <c r="K1211">
        <v>2400</v>
      </c>
      <c r="L1211">
        <v>0</v>
      </c>
      <c r="M1211">
        <v>0</v>
      </c>
      <c r="N1211">
        <v>2400</v>
      </c>
    </row>
    <row r="1212" spans="1:14" x14ac:dyDescent="0.25">
      <c r="A1212">
        <v>735.11155099999996</v>
      </c>
      <c r="B1212" s="1">
        <f>DATE(2012,5,5) + TIME(2,40,37)</f>
        <v>41034.111539351848</v>
      </c>
      <c r="C1212">
        <v>80</v>
      </c>
      <c r="D1212">
        <v>79.973533630000006</v>
      </c>
      <c r="E1212">
        <v>50</v>
      </c>
      <c r="F1212">
        <v>49.637054442999997</v>
      </c>
      <c r="G1212">
        <v>1340.3454589999999</v>
      </c>
      <c r="H1212">
        <v>1337.6257324000001</v>
      </c>
      <c r="I1212">
        <v>1327.0301514</v>
      </c>
      <c r="J1212">
        <v>1325.3507079999999</v>
      </c>
      <c r="K1212">
        <v>2400</v>
      </c>
      <c r="L1212">
        <v>0</v>
      </c>
      <c r="M1212">
        <v>0</v>
      </c>
      <c r="N1212">
        <v>2400</v>
      </c>
    </row>
    <row r="1213" spans="1:14" x14ac:dyDescent="0.25">
      <c r="A1213">
        <v>735.25697400000001</v>
      </c>
      <c r="B1213" s="1">
        <f>DATE(2012,5,5) + TIME(6,10,2)</f>
        <v>41034.256967592592</v>
      </c>
      <c r="C1213">
        <v>80</v>
      </c>
      <c r="D1213">
        <v>79.973854064999998</v>
      </c>
      <c r="E1213">
        <v>50</v>
      </c>
      <c r="F1213">
        <v>49.626918793000002</v>
      </c>
      <c r="G1213">
        <v>1340.3487548999999</v>
      </c>
      <c r="H1213">
        <v>1337.6279297000001</v>
      </c>
      <c r="I1213">
        <v>1327.0301514</v>
      </c>
      <c r="J1213">
        <v>1325.3499756000001</v>
      </c>
      <c r="K1213">
        <v>2400</v>
      </c>
      <c r="L1213">
        <v>0</v>
      </c>
      <c r="M1213">
        <v>0</v>
      </c>
      <c r="N1213">
        <v>2400</v>
      </c>
    </row>
    <row r="1214" spans="1:14" x14ac:dyDescent="0.25">
      <c r="A1214">
        <v>735.40731100000005</v>
      </c>
      <c r="B1214" s="1">
        <f>DATE(2012,5,5) + TIME(9,46,31)</f>
        <v>41034.40730324074</v>
      </c>
      <c r="C1214">
        <v>80</v>
      </c>
      <c r="D1214">
        <v>79.974098205999994</v>
      </c>
      <c r="E1214">
        <v>50</v>
      </c>
      <c r="F1214">
        <v>49.616493224999999</v>
      </c>
      <c r="G1214">
        <v>1340.3514404</v>
      </c>
      <c r="H1214">
        <v>1337.6296387</v>
      </c>
      <c r="I1214">
        <v>1327.0301514</v>
      </c>
      <c r="J1214">
        <v>1325.3492432</v>
      </c>
      <c r="K1214">
        <v>2400</v>
      </c>
      <c r="L1214">
        <v>0</v>
      </c>
      <c r="M1214">
        <v>0</v>
      </c>
      <c r="N1214">
        <v>2400</v>
      </c>
    </row>
    <row r="1215" spans="1:14" x14ac:dyDescent="0.25">
      <c r="A1215">
        <v>735.56307300000003</v>
      </c>
      <c r="B1215" s="1">
        <f>DATE(2012,5,5) + TIME(13,30,49)</f>
        <v>41034.563067129631</v>
      </c>
      <c r="C1215">
        <v>80</v>
      </c>
      <c r="D1215">
        <v>79.974296570000007</v>
      </c>
      <c r="E1215">
        <v>50</v>
      </c>
      <c r="F1215">
        <v>49.605754851999997</v>
      </c>
      <c r="G1215">
        <v>1340.3535156</v>
      </c>
      <c r="H1215">
        <v>1337.6309814000001</v>
      </c>
      <c r="I1215">
        <v>1327.0300293</v>
      </c>
      <c r="J1215">
        <v>1325.3485106999999</v>
      </c>
      <c r="K1215">
        <v>2400</v>
      </c>
      <c r="L1215">
        <v>0</v>
      </c>
      <c r="M1215">
        <v>0</v>
      </c>
      <c r="N1215">
        <v>2400</v>
      </c>
    </row>
    <row r="1216" spans="1:14" x14ac:dyDescent="0.25">
      <c r="A1216">
        <v>735.72490000000005</v>
      </c>
      <c r="B1216" s="1">
        <f>DATE(2012,5,5) + TIME(17,23,51)</f>
        <v>41034.724895833337</v>
      </c>
      <c r="C1216">
        <v>80</v>
      </c>
      <c r="D1216">
        <v>79.974449157999999</v>
      </c>
      <c r="E1216">
        <v>50</v>
      </c>
      <c r="F1216">
        <v>49.594654083000002</v>
      </c>
      <c r="G1216">
        <v>1340.3551024999999</v>
      </c>
      <c r="H1216">
        <v>1337.6319579999999</v>
      </c>
      <c r="I1216">
        <v>1327.0299072</v>
      </c>
      <c r="J1216">
        <v>1325.3477783000001</v>
      </c>
      <c r="K1216">
        <v>2400</v>
      </c>
      <c r="L1216">
        <v>0</v>
      </c>
      <c r="M1216">
        <v>0</v>
      </c>
      <c r="N1216">
        <v>2400</v>
      </c>
    </row>
    <row r="1217" spans="1:14" x14ac:dyDescent="0.25">
      <c r="A1217">
        <v>735.89331200000004</v>
      </c>
      <c r="B1217" s="1">
        <f>DATE(2012,5,5) + TIME(21,26,22)</f>
        <v>41034.893310185187</v>
      </c>
      <c r="C1217">
        <v>80</v>
      </c>
      <c r="D1217">
        <v>79.974578856999997</v>
      </c>
      <c r="E1217">
        <v>50</v>
      </c>
      <c r="F1217">
        <v>49.583171843999999</v>
      </c>
      <c r="G1217">
        <v>1340.3562012</v>
      </c>
      <c r="H1217">
        <v>1337.6325684000001</v>
      </c>
      <c r="I1217">
        <v>1327.0297852000001</v>
      </c>
      <c r="J1217">
        <v>1325.3469238</v>
      </c>
      <c r="K1217">
        <v>2400</v>
      </c>
      <c r="L1217">
        <v>0</v>
      </c>
      <c r="M1217">
        <v>0</v>
      </c>
      <c r="N1217">
        <v>2400</v>
      </c>
    </row>
    <row r="1218" spans="1:14" x14ac:dyDescent="0.25">
      <c r="A1218">
        <v>736.06576600000005</v>
      </c>
      <c r="B1218" s="1">
        <f>DATE(2012,5,6) + TIME(1,34,42)</f>
        <v>41035.065763888888</v>
      </c>
      <c r="C1218">
        <v>80</v>
      </c>
      <c r="D1218">
        <v>79.974678040000001</v>
      </c>
      <c r="E1218">
        <v>50</v>
      </c>
      <c r="F1218">
        <v>49.571449280000003</v>
      </c>
      <c r="G1218">
        <v>1340.3568115</v>
      </c>
      <c r="H1218">
        <v>1337.6328125</v>
      </c>
      <c r="I1218">
        <v>1327.0295410000001</v>
      </c>
      <c r="J1218">
        <v>1325.3460693</v>
      </c>
      <c r="K1218">
        <v>2400</v>
      </c>
      <c r="L1218">
        <v>0</v>
      </c>
      <c r="M1218">
        <v>0</v>
      </c>
      <c r="N1218">
        <v>2400</v>
      </c>
    </row>
    <row r="1219" spans="1:14" x14ac:dyDescent="0.25">
      <c r="A1219">
        <v>736.24266399999999</v>
      </c>
      <c r="B1219" s="1">
        <f>DATE(2012,5,6) + TIME(5,49,26)</f>
        <v>41035.242662037039</v>
      </c>
      <c r="C1219">
        <v>80</v>
      </c>
      <c r="D1219">
        <v>79.974754333000007</v>
      </c>
      <c r="E1219">
        <v>50</v>
      </c>
      <c r="F1219">
        <v>49.559467316000003</v>
      </c>
      <c r="G1219">
        <v>1340.3569336</v>
      </c>
      <c r="H1219">
        <v>1337.6326904</v>
      </c>
      <c r="I1219">
        <v>1327.0292969</v>
      </c>
      <c r="J1219">
        <v>1325.3452147999999</v>
      </c>
      <c r="K1219">
        <v>2400</v>
      </c>
      <c r="L1219">
        <v>0</v>
      </c>
      <c r="M1219">
        <v>0</v>
      </c>
      <c r="N1219">
        <v>2400</v>
      </c>
    </row>
    <row r="1220" spans="1:14" x14ac:dyDescent="0.25">
      <c r="A1220">
        <v>736.42438100000004</v>
      </c>
      <c r="B1220" s="1">
        <f>DATE(2012,5,6) + TIME(10,11,6)</f>
        <v>41035.424375000002</v>
      </c>
      <c r="C1220">
        <v>80</v>
      </c>
      <c r="D1220">
        <v>79.974815368999998</v>
      </c>
      <c r="E1220">
        <v>50</v>
      </c>
      <c r="F1220">
        <v>49.547199249000002</v>
      </c>
      <c r="G1220">
        <v>1340.3565673999999</v>
      </c>
      <c r="H1220">
        <v>1337.6323242000001</v>
      </c>
      <c r="I1220">
        <v>1327.0290527</v>
      </c>
      <c r="J1220">
        <v>1325.3443603999999</v>
      </c>
      <c r="K1220">
        <v>2400</v>
      </c>
      <c r="L1220">
        <v>0</v>
      </c>
      <c r="M1220">
        <v>0</v>
      </c>
      <c r="N1220">
        <v>2400</v>
      </c>
    </row>
    <row r="1221" spans="1:14" x14ac:dyDescent="0.25">
      <c r="A1221">
        <v>736.61133700000005</v>
      </c>
      <c r="B1221" s="1">
        <f>DATE(2012,5,6) + TIME(14,40,19)</f>
        <v>41035.611331018517</v>
      </c>
      <c r="C1221">
        <v>80</v>
      </c>
      <c r="D1221">
        <v>79.974868774000001</v>
      </c>
      <c r="E1221">
        <v>50</v>
      </c>
      <c r="F1221">
        <v>49.534633636000002</v>
      </c>
      <c r="G1221">
        <v>1340.3558350000001</v>
      </c>
      <c r="H1221">
        <v>1337.6315918</v>
      </c>
      <c r="I1221">
        <v>1327.0288086</v>
      </c>
      <c r="J1221">
        <v>1325.3433838000001</v>
      </c>
      <c r="K1221">
        <v>2400</v>
      </c>
      <c r="L1221">
        <v>0</v>
      </c>
      <c r="M1221">
        <v>0</v>
      </c>
      <c r="N1221">
        <v>2400</v>
      </c>
    </row>
    <row r="1222" spans="1:14" x14ac:dyDescent="0.25">
      <c r="A1222">
        <v>736.803989</v>
      </c>
      <c r="B1222" s="1">
        <f>DATE(2012,5,6) + TIME(19,17,44)</f>
        <v>41035.803981481484</v>
      </c>
      <c r="C1222">
        <v>80</v>
      </c>
      <c r="D1222">
        <v>79.974906920999999</v>
      </c>
      <c r="E1222">
        <v>50</v>
      </c>
      <c r="F1222">
        <v>49.521736144999998</v>
      </c>
      <c r="G1222">
        <v>1340.3547363</v>
      </c>
      <c r="H1222">
        <v>1337.6306152</v>
      </c>
      <c r="I1222">
        <v>1327.0284423999999</v>
      </c>
      <c r="J1222">
        <v>1325.3424072</v>
      </c>
      <c r="K1222">
        <v>2400</v>
      </c>
      <c r="L1222">
        <v>0</v>
      </c>
      <c r="M1222">
        <v>0</v>
      </c>
      <c r="N1222">
        <v>2400</v>
      </c>
    </row>
    <row r="1223" spans="1:14" x14ac:dyDescent="0.25">
      <c r="A1223">
        <v>737.00285099999996</v>
      </c>
      <c r="B1223" s="1">
        <f>DATE(2012,5,7) + TIME(0,4,6)</f>
        <v>41036.002847222226</v>
      </c>
      <c r="C1223">
        <v>80</v>
      </c>
      <c r="D1223">
        <v>79.974937439000001</v>
      </c>
      <c r="E1223">
        <v>50</v>
      </c>
      <c r="F1223">
        <v>49.508487701</v>
      </c>
      <c r="G1223">
        <v>1340.3530272999999</v>
      </c>
      <c r="H1223">
        <v>1337.6292725000001</v>
      </c>
      <c r="I1223">
        <v>1327.0280762</v>
      </c>
      <c r="J1223">
        <v>1325.3414307</v>
      </c>
      <c r="K1223">
        <v>2400</v>
      </c>
      <c r="L1223">
        <v>0</v>
      </c>
      <c r="M1223">
        <v>0</v>
      </c>
      <c r="N1223">
        <v>2400</v>
      </c>
    </row>
    <row r="1224" spans="1:14" x14ac:dyDescent="0.25">
      <c r="A1224">
        <v>737.20786899999996</v>
      </c>
      <c r="B1224" s="1">
        <f>DATE(2012,5,7) + TIME(4,59,19)</f>
        <v>41036.207858796297</v>
      </c>
      <c r="C1224">
        <v>80</v>
      </c>
      <c r="D1224">
        <v>79.974960327000005</v>
      </c>
      <c r="E1224">
        <v>50</v>
      </c>
      <c r="F1224">
        <v>49.494888306</v>
      </c>
      <c r="G1224">
        <v>1340.3510742000001</v>
      </c>
      <c r="H1224">
        <v>1337.6276855000001</v>
      </c>
      <c r="I1224">
        <v>1327.0277100000001</v>
      </c>
      <c r="J1224">
        <v>1325.3404541</v>
      </c>
      <c r="K1224">
        <v>2400</v>
      </c>
      <c r="L1224">
        <v>0</v>
      </c>
      <c r="M1224">
        <v>0</v>
      </c>
      <c r="N1224">
        <v>2400</v>
      </c>
    </row>
    <row r="1225" spans="1:14" x14ac:dyDescent="0.25">
      <c r="A1225">
        <v>737.41796099999999</v>
      </c>
      <c r="B1225" s="1">
        <f>DATE(2012,5,7) + TIME(10,1,51)</f>
        <v>41036.417951388888</v>
      </c>
      <c r="C1225">
        <v>80</v>
      </c>
      <c r="D1225">
        <v>79.974983214999995</v>
      </c>
      <c r="E1225">
        <v>50</v>
      </c>
      <c r="F1225">
        <v>49.480995178000001</v>
      </c>
      <c r="G1225">
        <v>1340.3482666</v>
      </c>
      <c r="H1225">
        <v>1337.6256103999999</v>
      </c>
      <c r="I1225">
        <v>1327.0272216999999</v>
      </c>
      <c r="J1225">
        <v>1325.3394774999999</v>
      </c>
      <c r="K1225">
        <v>2400</v>
      </c>
      <c r="L1225">
        <v>0</v>
      </c>
      <c r="M1225">
        <v>0</v>
      </c>
      <c r="N1225">
        <v>2400</v>
      </c>
    </row>
    <row r="1226" spans="1:14" x14ac:dyDescent="0.25">
      <c r="A1226">
        <v>737.62920399999996</v>
      </c>
      <c r="B1226" s="1">
        <f>DATE(2012,5,7) + TIME(15,6,3)</f>
        <v>41036.629201388889</v>
      </c>
      <c r="C1226">
        <v>80</v>
      </c>
      <c r="D1226">
        <v>79.974998474000003</v>
      </c>
      <c r="E1226">
        <v>50</v>
      </c>
      <c r="F1226">
        <v>49.467021942000002</v>
      </c>
      <c r="G1226">
        <v>1340.3444824000001</v>
      </c>
      <c r="H1226">
        <v>1337.6226807</v>
      </c>
      <c r="I1226">
        <v>1327.0267334</v>
      </c>
      <c r="J1226">
        <v>1325.3383789</v>
      </c>
      <c r="K1226">
        <v>2400</v>
      </c>
      <c r="L1226">
        <v>0</v>
      </c>
      <c r="M1226">
        <v>0</v>
      </c>
      <c r="N1226">
        <v>2400</v>
      </c>
    </row>
    <row r="1227" spans="1:14" x14ac:dyDescent="0.25">
      <c r="A1227">
        <v>737.84214699999995</v>
      </c>
      <c r="B1227" s="1">
        <f>DATE(2012,5,7) + TIME(20,12,41)</f>
        <v>41036.842141203706</v>
      </c>
      <c r="C1227">
        <v>80</v>
      </c>
      <c r="D1227">
        <v>79.975006104000002</v>
      </c>
      <c r="E1227">
        <v>50</v>
      </c>
      <c r="F1227">
        <v>49.452949523999997</v>
      </c>
      <c r="G1227">
        <v>1340.3404541</v>
      </c>
      <c r="H1227">
        <v>1337.6196289</v>
      </c>
      <c r="I1227">
        <v>1327.0261230000001</v>
      </c>
      <c r="J1227">
        <v>1325.3372803</v>
      </c>
      <c r="K1227">
        <v>2400</v>
      </c>
      <c r="L1227">
        <v>0</v>
      </c>
      <c r="M1227">
        <v>0</v>
      </c>
      <c r="N1227">
        <v>2400</v>
      </c>
    </row>
    <row r="1228" spans="1:14" x14ac:dyDescent="0.25">
      <c r="A1228">
        <v>738.05728799999997</v>
      </c>
      <c r="B1228" s="1">
        <f>DATE(2012,5,8) + TIME(1,22,29)</f>
        <v>41037.057280092595</v>
      </c>
      <c r="C1228">
        <v>80</v>
      </c>
      <c r="D1228">
        <v>79.975013732999997</v>
      </c>
      <c r="E1228">
        <v>50</v>
      </c>
      <c r="F1228">
        <v>49.438762664999999</v>
      </c>
      <c r="G1228">
        <v>1340.3363036999999</v>
      </c>
      <c r="H1228">
        <v>1337.6164550999999</v>
      </c>
      <c r="I1228">
        <v>1327.0256348</v>
      </c>
      <c r="J1228">
        <v>1325.3361815999999</v>
      </c>
      <c r="K1228">
        <v>2400</v>
      </c>
      <c r="L1228">
        <v>0</v>
      </c>
      <c r="M1228">
        <v>0</v>
      </c>
      <c r="N1228">
        <v>2400</v>
      </c>
    </row>
    <row r="1229" spans="1:14" x14ac:dyDescent="0.25">
      <c r="A1229">
        <v>738.27504099999999</v>
      </c>
      <c r="B1229" s="1">
        <f>DATE(2012,5,8) + TIME(6,36,3)</f>
        <v>41037.275034722225</v>
      </c>
      <c r="C1229">
        <v>80</v>
      </c>
      <c r="D1229">
        <v>79.975013732999997</v>
      </c>
      <c r="E1229">
        <v>50</v>
      </c>
      <c r="F1229">
        <v>49.424442290999998</v>
      </c>
      <c r="G1229">
        <v>1340.3321533000001</v>
      </c>
      <c r="H1229">
        <v>1337.6132812000001</v>
      </c>
      <c r="I1229">
        <v>1327.0250243999999</v>
      </c>
      <c r="J1229">
        <v>1325.3350829999999</v>
      </c>
      <c r="K1229">
        <v>2400</v>
      </c>
      <c r="L1229">
        <v>0</v>
      </c>
      <c r="M1229">
        <v>0</v>
      </c>
      <c r="N1229">
        <v>2400</v>
      </c>
    </row>
    <row r="1230" spans="1:14" x14ac:dyDescent="0.25">
      <c r="A1230">
        <v>738.49579000000006</v>
      </c>
      <c r="B1230" s="1">
        <f>DATE(2012,5,8) + TIME(11,53,56)</f>
        <v>41037.495787037034</v>
      </c>
      <c r="C1230">
        <v>80</v>
      </c>
      <c r="D1230">
        <v>79.975013732999997</v>
      </c>
      <c r="E1230">
        <v>50</v>
      </c>
      <c r="F1230">
        <v>49.409969330000003</v>
      </c>
      <c r="G1230">
        <v>1340.3277588000001</v>
      </c>
      <c r="H1230">
        <v>1337.6101074000001</v>
      </c>
      <c r="I1230">
        <v>1327.0244141000001</v>
      </c>
      <c r="J1230">
        <v>1325.3339844</v>
      </c>
      <c r="K1230">
        <v>2400</v>
      </c>
      <c r="L1230">
        <v>0</v>
      </c>
      <c r="M1230">
        <v>0</v>
      </c>
      <c r="N1230">
        <v>2400</v>
      </c>
    </row>
    <row r="1231" spans="1:14" x14ac:dyDescent="0.25">
      <c r="A1231">
        <v>738.72002799999996</v>
      </c>
      <c r="B1231" s="1">
        <f>DATE(2012,5,8) + TIME(17,16,50)</f>
        <v>41037.720023148147</v>
      </c>
      <c r="C1231">
        <v>80</v>
      </c>
      <c r="D1231">
        <v>79.975013732999997</v>
      </c>
      <c r="E1231">
        <v>50</v>
      </c>
      <c r="F1231">
        <v>49.395320892000001</v>
      </c>
      <c r="G1231">
        <v>1340.3233643000001</v>
      </c>
      <c r="H1231">
        <v>1337.6068115</v>
      </c>
      <c r="I1231">
        <v>1327.0238036999999</v>
      </c>
      <c r="J1231">
        <v>1325.3328856999999</v>
      </c>
      <c r="K1231">
        <v>2400</v>
      </c>
      <c r="L1231">
        <v>0</v>
      </c>
      <c r="M1231">
        <v>0</v>
      </c>
      <c r="N1231">
        <v>2400</v>
      </c>
    </row>
    <row r="1232" spans="1:14" x14ac:dyDescent="0.25">
      <c r="A1232">
        <v>738.94827099999998</v>
      </c>
      <c r="B1232" s="1">
        <f>DATE(2012,5,8) + TIME(22,45,30)</f>
        <v>41037.948263888888</v>
      </c>
      <c r="C1232">
        <v>80</v>
      </c>
      <c r="D1232">
        <v>79.975013732999997</v>
      </c>
      <c r="E1232">
        <v>50</v>
      </c>
      <c r="F1232">
        <v>49.380474091000004</v>
      </c>
      <c r="G1232">
        <v>1340.3188477000001</v>
      </c>
      <c r="H1232">
        <v>1337.6033935999999</v>
      </c>
      <c r="I1232">
        <v>1327.0231934000001</v>
      </c>
      <c r="J1232">
        <v>1325.3316649999999</v>
      </c>
      <c r="K1232">
        <v>2400</v>
      </c>
      <c r="L1232">
        <v>0</v>
      </c>
      <c r="M1232">
        <v>0</v>
      </c>
      <c r="N1232">
        <v>2400</v>
      </c>
    </row>
    <row r="1233" spans="1:14" x14ac:dyDescent="0.25">
      <c r="A1233">
        <v>739.18106</v>
      </c>
      <c r="B1233" s="1">
        <f>DATE(2012,5,9) + TIME(4,20,43)</f>
        <v>41038.18105324074</v>
      </c>
      <c r="C1233">
        <v>80</v>
      </c>
      <c r="D1233">
        <v>79.975013732999997</v>
      </c>
      <c r="E1233">
        <v>50</v>
      </c>
      <c r="F1233">
        <v>49.365398407000001</v>
      </c>
      <c r="G1233">
        <v>1340.3142089999999</v>
      </c>
      <c r="H1233">
        <v>1337.5999756000001</v>
      </c>
      <c r="I1233">
        <v>1327.0224608999999</v>
      </c>
      <c r="J1233">
        <v>1325.3305664</v>
      </c>
      <c r="K1233">
        <v>2400</v>
      </c>
      <c r="L1233">
        <v>0</v>
      </c>
      <c r="M1233">
        <v>0</v>
      </c>
      <c r="N1233">
        <v>2400</v>
      </c>
    </row>
    <row r="1234" spans="1:14" x14ac:dyDescent="0.25">
      <c r="A1234">
        <v>739.41897500000005</v>
      </c>
      <c r="B1234" s="1">
        <f>DATE(2012,5,9) + TIME(10,3,19)</f>
        <v>41038.418969907405</v>
      </c>
      <c r="C1234">
        <v>80</v>
      </c>
      <c r="D1234">
        <v>79.975013732999997</v>
      </c>
      <c r="E1234">
        <v>50</v>
      </c>
      <c r="F1234">
        <v>49.350067138999997</v>
      </c>
      <c r="G1234">
        <v>1340.3094481999999</v>
      </c>
      <c r="H1234">
        <v>1337.5965576000001</v>
      </c>
      <c r="I1234">
        <v>1327.0218506000001</v>
      </c>
      <c r="J1234">
        <v>1325.3293457</v>
      </c>
      <c r="K1234">
        <v>2400</v>
      </c>
      <c r="L1234">
        <v>0</v>
      </c>
      <c r="M1234">
        <v>0</v>
      </c>
      <c r="N1234">
        <v>2400</v>
      </c>
    </row>
    <row r="1235" spans="1:14" x14ac:dyDescent="0.25">
      <c r="A1235">
        <v>739.66264000000001</v>
      </c>
      <c r="B1235" s="1">
        <f>DATE(2012,5,9) + TIME(15,54,12)</f>
        <v>41038.662638888891</v>
      </c>
      <c r="C1235">
        <v>80</v>
      </c>
      <c r="D1235">
        <v>79.975006104000002</v>
      </c>
      <c r="E1235">
        <v>50</v>
      </c>
      <c r="F1235">
        <v>49.334449767999999</v>
      </c>
      <c r="G1235">
        <v>1340.3046875</v>
      </c>
      <c r="H1235">
        <v>1337.5930175999999</v>
      </c>
      <c r="I1235">
        <v>1327.0211182</v>
      </c>
      <c r="J1235">
        <v>1325.328125</v>
      </c>
      <c r="K1235">
        <v>2400</v>
      </c>
      <c r="L1235">
        <v>0</v>
      </c>
      <c r="M1235">
        <v>0</v>
      </c>
      <c r="N1235">
        <v>2400</v>
      </c>
    </row>
    <row r="1236" spans="1:14" x14ac:dyDescent="0.25">
      <c r="A1236">
        <v>739.912733</v>
      </c>
      <c r="B1236" s="1">
        <f>DATE(2012,5,9) + TIME(21,54,20)</f>
        <v>41038.912731481483</v>
      </c>
      <c r="C1236">
        <v>80</v>
      </c>
      <c r="D1236">
        <v>79.974998474000003</v>
      </c>
      <c r="E1236">
        <v>50</v>
      </c>
      <c r="F1236">
        <v>49.318500518999997</v>
      </c>
      <c r="G1236">
        <v>1340.2998047000001</v>
      </c>
      <c r="H1236">
        <v>1337.5894774999999</v>
      </c>
      <c r="I1236">
        <v>1327.0203856999999</v>
      </c>
      <c r="J1236">
        <v>1325.3267822</v>
      </c>
      <c r="K1236">
        <v>2400</v>
      </c>
      <c r="L1236">
        <v>0</v>
      </c>
      <c r="M1236">
        <v>0</v>
      </c>
      <c r="N1236">
        <v>2400</v>
      </c>
    </row>
    <row r="1237" spans="1:14" x14ac:dyDescent="0.25">
      <c r="A1237">
        <v>740.17</v>
      </c>
      <c r="B1237" s="1">
        <f>DATE(2012,5,10) + TIME(4,4,48)</f>
        <v>41039.17</v>
      </c>
      <c r="C1237">
        <v>80</v>
      </c>
      <c r="D1237">
        <v>79.974998474000003</v>
      </c>
      <c r="E1237">
        <v>50</v>
      </c>
      <c r="F1237">
        <v>49.302192687999998</v>
      </c>
      <c r="G1237">
        <v>1340.2947998</v>
      </c>
      <c r="H1237">
        <v>1337.5858154</v>
      </c>
      <c r="I1237">
        <v>1327.0196533000001</v>
      </c>
      <c r="J1237">
        <v>1325.3255615</v>
      </c>
      <c r="K1237">
        <v>2400</v>
      </c>
      <c r="L1237">
        <v>0</v>
      </c>
      <c r="M1237">
        <v>0</v>
      </c>
      <c r="N1237">
        <v>2400</v>
      </c>
    </row>
    <row r="1238" spans="1:14" x14ac:dyDescent="0.25">
      <c r="A1238">
        <v>740.43527300000005</v>
      </c>
      <c r="B1238" s="1">
        <f>DATE(2012,5,10) + TIME(10,26,47)</f>
        <v>41039.435266203705</v>
      </c>
      <c r="C1238">
        <v>80</v>
      </c>
      <c r="D1238">
        <v>79.974990844999994</v>
      </c>
      <c r="E1238">
        <v>50</v>
      </c>
      <c r="F1238">
        <v>49.28547287</v>
      </c>
      <c r="G1238">
        <v>1340.2896728999999</v>
      </c>
      <c r="H1238">
        <v>1337.5821533000001</v>
      </c>
      <c r="I1238">
        <v>1327.0187988</v>
      </c>
      <c r="J1238">
        <v>1325.3242187999999</v>
      </c>
      <c r="K1238">
        <v>2400</v>
      </c>
      <c r="L1238">
        <v>0</v>
      </c>
      <c r="M1238">
        <v>0</v>
      </c>
      <c r="N1238">
        <v>2400</v>
      </c>
    </row>
    <row r="1239" spans="1:14" x14ac:dyDescent="0.25">
      <c r="A1239">
        <v>740.70838600000002</v>
      </c>
      <c r="B1239" s="1">
        <f>DATE(2012,5,10) + TIME(17,0,4)</f>
        <v>41039.708379629628</v>
      </c>
      <c r="C1239">
        <v>80</v>
      </c>
      <c r="D1239">
        <v>79.974983214999995</v>
      </c>
      <c r="E1239">
        <v>50</v>
      </c>
      <c r="F1239">
        <v>49.268352509000003</v>
      </c>
      <c r="G1239">
        <v>1340.2844238</v>
      </c>
      <c r="H1239">
        <v>1337.5783690999999</v>
      </c>
      <c r="I1239">
        <v>1327.0180664</v>
      </c>
      <c r="J1239">
        <v>1325.3227539</v>
      </c>
      <c r="K1239">
        <v>2400</v>
      </c>
      <c r="L1239">
        <v>0</v>
      </c>
      <c r="M1239">
        <v>0</v>
      </c>
      <c r="N1239">
        <v>2400</v>
      </c>
    </row>
    <row r="1240" spans="1:14" x14ac:dyDescent="0.25">
      <c r="A1240">
        <v>740.98645499999998</v>
      </c>
      <c r="B1240" s="1">
        <f>DATE(2012,5,10) + TIME(23,40,29)</f>
        <v>41039.986446759256</v>
      </c>
      <c r="C1240">
        <v>80</v>
      </c>
      <c r="D1240">
        <v>79.974975585999999</v>
      </c>
      <c r="E1240">
        <v>50</v>
      </c>
      <c r="F1240">
        <v>49.250961304</v>
      </c>
      <c r="G1240">
        <v>1340.2790527</v>
      </c>
      <c r="H1240">
        <v>1337.5745850000001</v>
      </c>
      <c r="I1240">
        <v>1327.0172118999999</v>
      </c>
      <c r="J1240">
        <v>1325.3212891000001</v>
      </c>
      <c r="K1240">
        <v>2400</v>
      </c>
      <c r="L1240">
        <v>0</v>
      </c>
      <c r="M1240">
        <v>0</v>
      </c>
      <c r="N1240">
        <v>2400</v>
      </c>
    </row>
    <row r="1241" spans="1:14" x14ac:dyDescent="0.25">
      <c r="A1241">
        <v>741.27012000000002</v>
      </c>
      <c r="B1241" s="1">
        <f>DATE(2012,5,11) + TIME(6,28,58)</f>
        <v>41040.270115740743</v>
      </c>
      <c r="C1241">
        <v>80</v>
      </c>
      <c r="D1241">
        <v>79.974967957000004</v>
      </c>
      <c r="E1241">
        <v>50</v>
      </c>
      <c r="F1241">
        <v>49.233283997000001</v>
      </c>
      <c r="G1241">
        <v>1340.2736815999999</v>
      </c>
      <c r="H1241">
        <v>1337.5706786999999</v>
      </c>
      <c r="I1241">
        <v>1327.0163574000001</v>
      </c>
      <c r="J1241">
        <v>1325.3198242000001</v>
      </c>
      <c r="K1241">
        <v>2400</v>
      </c>
      <c r="L1241">
        <v>0</v>
      </c>
      <c r="M1241">
        <v>0</v>
      </c>
      <c r="N1241">
        <v>2400</v>
      </c>
    </row>
    <row r="1242" spans="1:14" x14ac:dyDescent="0.25">
      <c r="A1242">
        <v>741.55994499999997</v>
      </c>
      <c r="B1242" s="1">
        <f>DATE(2012,5,11) + TIME(13,26,19)</f>
        <v>41040.559942129628</v>
      </c>
      <c r="C1242">
        <v>80</v>
      </c>
      <c r="D1242">
        <v>79.974960327000005</v>
      </c>
      <c r="E1242">
        <v>50</v>
      </c>
      <c r="F1242">
        <v>49.215290070000002</v>
      </c>
      <c r="G1242">
        <v>1340.2683105000001</v>
      </c>
      <c r="H1242">
        <v>1337.5668945</v>
      </c>
      <c r="I1242">
        <v>1327.0153809000001</v>
      </c>
      <c r="J1242">
        <v>1325.3183594</v>
      </c>
      <c r="K1242">
        <v>2400</v>
      </c>
      <c r="L1242">
        <v>0</v>
      </c>
      <c r="M1242">
        <v>0</v>
      </c>
      <c r="N1242">
        <v>2400</v>
      </c>
    </row>
    <row r="1243" spans="1:14" x14ac:dyDescent="0.25">
      <c r="A1243">
        <v>741.85432800000001</v>
      </c>
      <c r="B1243" s="1">
        <f>DATE(2012,5,11) + TIME(20,30,13)</f>
        <v>41040.854317129626</v>
      </c>
      <c r="C1243">
        <v>80</v>
      </c>
      <c r="D1243">
        <v>79.974952697999996</v>
      </c>
      <c r="E1243">
        <v>50</v>
      </c>
      <c r="F1243">
        <v>49.197063446000001</v>
      </c>
      <c r="G1243">
        <v>1340.2628173999999</v>
      </c>
      <c r="H1243">
        <v>1337.5629882999999</v>
      </c>
      <c r="I1243">
        <v>1327.0144043</v>
      </c>
      <c r="J1243">
        <v>1325.3167725000001</v>
      </c>
      <c r="K1243">
        <v>2400</v>
      </c>
      <c r="L1243">
        <v>0</v>
      </c>
      <c r="M1243">
        <v>0</v>
      </c>
      <c r="N1243">
        <v>2400</v>
      </c>
    </row>
    <row r="1244" spans="1:14" x14ac:dyDescent="0.25">
      <c r="A1244">
        <v>742.15389300000004</v>
      </c>
      <c r="B1244" s="1">
        <f>DATE(2012,5,12) + TIME(3,41,36)</f>
        <v>41041.15388888889</v>
      </c>
      <c r="C1244">
        <v>80</v>
      </c>
      <c r="D1244">
        <v>79.974945067999997</v>
      </c>
      <c r="E1244">
        <v>50</v>
      </c>
      <c r="F1244">
        <v>49.178577423</v>
      </c>
      <c r="G1244">
        <v>1340.2573242000001</v>
      </c>
      <c r="H1244">
        <v>1337.559082</v>
      </c>
      <c r="I1244">
        <v>1327.0135498</v>
      </c>
      <c r="J1244">
        <v>1325.3151855000001</v>
      </c>
      <c r="K1244">
        <v>2400</v>
      </c>
      <c r="L1244">
        <v>0</v>
      </c>
      <c r="M1244">
        <v>0</v>
      </c>
      <c r="N1244">
        <v>2400</v>
      </c>
    </row>
    <row r="1245" spans="1:14" x14ac:dyDescent="0.25">
      <c r="A1245">
        <v>742.45917199999997</v>
      </c>
      <c r="B1245" s="1">
        <f>DATE(2012,5,12) + TIME(11,1,12)</f>
        <v>41041.459166666667</v>
      </c>
      <c r="C1245">
        <v>80</v>
      </c>
      <c r="D1245">
        <v>79.974937439000001</v>
      </c>
      <c r="E1245">
        <v>50</v>
      </c>
      <c r="F1245">
        <v>49.159820557000003</v>
      </c>
      <c r="G1245">
        <v>1340.2518310999999</v>
      </c>
      <c r="H1245">
        <v>1337.5551757999999</v>
      </c>
      <c r="I1245">
        <v>1327.0125731999999</v>
      </c>
      <c r="J1245">
        <v>1325.3135986</v>
      </c>
      <c r="K1245">
        <v>2400</v>
      </c>
      <c r="L1245">
        <v>0</v>
      </c>
      <c r="M1245">
        <v>0</v>
      </c>
      <c r="N1245">
        <v>2400</v>
      </c>
    </row>
    <row r="1246" spans="1:14" x14ac:dyDescent="0.25">
      <c r="A1246">
        <v>742.77063699999997</v>
      </c>
      <c r="B1246" s="1">
        <f>DATE(2012,5,12) + TIME(18,29,43)</f>
        <v>41041.770636574074</v>
      </c>
      <c r="C1246">
        <v>80</v>
      </c>
      <c r="D1246">
        <v>79.974929810000006</v>
      </c>
      <c r="E1246">
        <v>50</v>
      </c>
      <c r="F1246">
        <v>49.140766143999997</v>
      </c>
      <c r="G1246">
        <v>1340.2462158000001</v>
      </c>
      <c r="H1246">
        <v>1337.5512695</v>
      </c>
      <c r="I1246">
        <v>1327.0114745999999</v>
      </c>
      <c r="J1246">
        <v>1325.3118896000001</v>
      </c>
      <c r="K1246">
        <v>2400</v>
      </c>
      <c r="L1246">
        <v>0</v>
      </c>
      <c r="M1246">
        <v>0</v>
      </c>
      <c r="N1246">
        <v>2400</v>
      </c>
    </row>
    <row r="1247" spans="1:14" x14ac:dyDescent="0.25">
      <c r="A1247">
        <v>743.08879899999999</v>
      </c>
      <c r="B1247" s="1">
        <f>DATE(2012,5,13) + TIME(2,7,52)</f>
        <v>41042.088796296295</v>
      </c>
      <c r="C1247">
        <v>80</v>
      </c>
      <c r="D1247">
        <v>79.974922179999993</v>
      </c>
      <c r="E1247">
        <v>50</v>
      </c>
      <c r="F1247">
        <v>49.121391295999999</v>
      </c>
      <c r="G1247">
        <v>1340.2406006000001</v>
      </c>
      <c r="H1247">
        <v>1337.5473632999999</v>
      </c>
      <c r="I1247">
        <v>1327.0104980000001</v>
      </c>
      <c r="J1247">
        <v>1325.3101807</v>
      </c>
      <c r="K1247">
        <v>2400</v>
      </c>
      <c r="L1247">
        <v>0</v>
      </c>
      <c r="M1247">
        <v>0</v>
      </c>
      <c r="N1247">
        <v>2400</v>
      </c>
    </row>
    <row r="1248" spans="1:14" x14ac:dyDescent="0.25">
      <c r="A1248">
        <v>743.41438300000004</v>
      </c>
      <c r="B1248" s="1">
        <f>DATE(2012,5,13) + TIME(9,56,42)</f>
        <v>41042.414375</v>
      </c>
      <c r="C1248">
        <v>80</v>
      </c>
      <c r="D1248">
        <v>79.974914550999998</v>
      </c>
      <c r="E1248">
        <v>50</v>
      </c>
      <c r="F1248">
        <v>49.101673126000001</v>
      </c>
      <c r="G1248">
        <v>1340.2349853999999</v>
      </c>
      <c r="H1248">
        <v>1337.543457</v>
      </c>
      <c r="I1248">
        <v>1327.0093993999999</v>
      </c>
      <c r="J1248">
        <v>1325.3084716999999</v>
      </c>
      <c r="K1248">
        <v>2400</v>
      </c>
      <c r="L1248">
        <v>0</v>
      </c>
      <c r="M1248">
        <v>0</v>
      </c>
      <c r="N1248">
        <v>2400</v>
      </c>
    </row>
    <row r="1249" spans="1:14" x14ac:dyDescent="0.25">
      <c r="A1249">
        <v>743.74440500000003</v>
      </c>
      <c r="B1249" s="1">
        <f>DATE(2012,5,13) + TIME(17,51,56)</f>
        <v>41042.744398148148</v>
      </c>
      <c r="C1249">
        <v>80</v>
      </c>
      <c r="D1249">
        <v>79.974906920999999</v>
      </c>
      <c r="E1249">
        <v>50</v>
      </c>
      <c r="F1249">
        <v>49.081733704000001</v>
      </c>
      <c r="G1249">
        <v>1340.2293701000001</v>
      </c>
      <c r="H1249">
        <v>1337.5395507999999</v>
      </c>
      <c r="I1249">
        <v>1327.0083007999999</v>
      </c>
      <c r="J1249">
        <v>1325.3066406</v>
      </c>
      <c r="K1249">
        <v>2400</v>
      </c>
      <c r="L1249">
        <v>0</v>
      </c>
      <c r="M1249">
        <v>0</v>
      </c>
      <c r="N1249">
        <v>2400</v>
      </c>
    </row>
    <row r="1250" spans="1:14" x14ac:dyDescent="0.25">
      <c r="A1250">
        <v>744.07708200000002</v>
      </c>
      <c r="B1250" s="1">
        <f>DATE(2012,5,14) + TIME(1,50,59)</f>
        <v>41043.07707175926</v>
      </c>
      <c r="C1250">
        <v>80</v>
      </c>
      <c r="D1250">
        <v>79.974899292000003</v>
      </c>
      <c r="E1250">
        <v>50</v>
      </c>
      <c r="F1250">
        <v>49.061664581000002</v>
      </c>
      <c r="G1250">
        <v>1340.2237548999999</v>
      </c>
      <c r="H1250">
        <v>1337.5355225000001</v>
      </c>
      <c r="I1250">
        <v>1327.0072021000001</v>
      </c>
      <c r="J1250">
        <v>1325.3046875</v>
      </c>
      <c r="K1250">
        <v>2400</v>
      </c>
      <c r="L1250">
        <v>0</v>
      </c>
      <c r="M1250">
        <v>0</v>
      </c>
      <c r="N1250">
        <v>2400</v>
      </c>
    </row>
    <row r="1251" spans="1:14" x14ac:dyDescent="0.25">
      <c r="A1251">
        <v>744.41329800000005</v>
      </c>
      <c r="B1251" s="1">
        <f>DATE(2012,5,14) + TIME(9,55,8)</f>
        <v>41043.413287037038</v>
      </c>
      <c r="C1251">
        <v>80</v>
      </c>
      <c r="D1251">
        <v>79.974891662999994</v>
      </c>
      <c r="E1251">
        <v>50</v>
      </c>
      <c r="F1251">
        <v>49.041442871000001</v>
      </c>
      <c r="G1251">
        <v>1340.2181396000001</v>
      </c>
      <c r="H1251">
        <v>1337.5317382999999</v>
      </c>
      <c r="I1251">
        <v>1327.0059814000001</v>
      </c>
      <c r="J1251">
        <v>1325.3028564000001</v>
      </c>
      <c r="K1251">
        <v>2400</v>
      </c>
      <c r="L1251">
        <v>0</v>
      </c>
      <c r="M1251">
        <v>0</v>
      </c>
      <c r="N1251">
        <v>2400</v>
      </c>
    </row>
    <row r="1252" spans="1:14" x14ac:dyDescent="0.25">
      <c r="A1252">
        <v>744.75366199999996</v>
      </c>
      <c r="B1252" s="1">
        <f>DATE(2012,5,14) + TIME(18,5,16)</f>
        <v>41043.753657407404</v>
      </c>
      <c r="C1252">
        <v>80</v>
      </c>
      <c r="D1252">
        <v>79.974876404</v>
      </c>
      <c r="E1252">
        <v>50</v>
      </c>
      <c r="F1252">
        <v>49.021049499999997</v>
      </c>
      <c r="G1252">
        <v>1340.2125243999999</v>
      </c>
      <c r="H1252">
        <v>1337.527832</v>
      </c>
      <c r="I1252">
        <v>1327.0047606999999</v>
      </c>
      <c r="J1252">
        <v>1325.3009033000001</v>
      </c>
      <c r="K1252">
        <v>2400</v>
      </c>
      <c r="L1252">
        <v>0</v>
      </c>
      <c r="M1252">
        <v>0</v>
      </c>
      <c r="N1252">
        <v>2400</v>
      </c>
    </row>
    <row r="1253" spans="1:14" x14ac:dyDescent="0.25">
      <c r="A1253">
        <v>745.09891700000003</v>
      </c>
      <c r="B1253" s="1">
        <f>DATE(2012,5,15) + TIME(2,22,26)</f>
        <v>41044.098912037036</v>
      </c>
      <c r="C1253">
        <v>80</v>
      </c>
      <c r="D1253">
        <v>79.974868774000001</v>
      </c>
      <c r="E1253">
        <v>50</v>
      </c>
      <c r="F1253">
        <v>49.000461577999999</v>
      </c>
      <c r="G1253">
        <v>1340.2070312000001</v>
      </c>
      <c r="H1253">
        <v>1337.5240478999999</v>
      </c>
      <c r="I1253">
        <v>1327.0035399999999</v>
      </c>
      <c r="J1253">
        <v>1325.2989502</v>
      </c>
      <c r="K1253">
        <v>2400</v>
      </c>
      <c r="L1253">
        <v>0</v>
      </c>
      <c r="M1253">
        <v>0</v>
      </c>
      <c r="N1253">
        <v>2400</v>
      </c>
    </row>
    <row r="1254" spans="1:14" x14ac:dyDescent="0.25">
      <c r="A1254">
        <v>745.44984099999999</v>
      </c>
      <c r="B1254" s="1">
        <f>DATE(2012,5,15) + TIME(10,47,46)</f>
        <v>41044.449837962966</v>
      </c>
      <c r="C1254">
        <v>80</v>
      </c>
      <c r="D1254">
        <v>79.974861145000006</v>
      </c>
      <c r="E1254">
        <v>50</v>
      </c>
      <c r="F1254">
        <v>48.979640961000001</v>
      </c>
      <c r="G1254">
        <v>1340.2014160000001</v>
      </c>
      <c r="H1254">
        <v>1337.5202637</v>
      </c>
      <c r="I1254">
        <v>1327.0023193</v>
      </c>
      <c r="J1254">
        <v>1325.2969971</v>
      </c>
      <c r="K1254">
        <v>2400</v>
      </c>
      <c r="L1254">
        <v>0</v>
      </c>
      <c r="M1254">
        <v>0</v>
      </c>
      <c r="N1254">
        <v>2400</v>
      </c>
    </row>
    <row r="1255" spans="1:14" x14ac:dyDescent="0.25">
      <c r="A1255">
        <v>745.80724599999996</v>
      </c>
      <c r="B1255" s="1">
        <f>DATE(2012,5,15) + TIME(19,22,26)</f>
        <v>41044.807245370372</v>
      </c>
      <c r="C1255">
        <v>80</v>
      </c>
      <c r="D1255">
        <v>79.974853515999996</v>
      </c>
      <c r="E1255">
        <v>50</v>
      </c>
      <c r="F1255">
        <v>48.958553314</v>
      </c>
      <c r="G1255">
        <v>1340.1959228999999</v>
      </c>
      <c r="H1255">
        <v>1337.5164795000001</v>
      </c>
      <c r="I1255">
        <v>1327.0010986</v>
      </c>
      <c r="J1255">
        <v>1325.2949219</v>
      </c>
      <c r="K1255">
        <v>2400</v>
      </c>
      <c r="L1255">
        <v>0</v>
      </c>
      <c r="M1255">
        <v>0</v>
      </c>
      <c r="N1255">
        <v>2400</v>
      </c>
    </row>
    <row r="1256" spans="1:14" x14ac:dyDescent="0.25">
      <c r="A1256">
        <v>746.17199500000004</v>
      </c>
      <c r="B1256" s="1">
        <f>DATE(2012,5,16) + TIME(4,7,40)</f>
        <v>41045.171990740739</v>
      </c>
      <c r="C1256">
        <v>80</v>
      </c>
      <c r="D1256">
        <v>79.974845885999997</v>
      </c>
      <c r="E1256">
        <v>50</v>
      </c>
      <c r="F1256">
        <v>48.937156676999997</v>
      </c>
      <c r="G1256">
        <v>1340.1903076000001</v>
      </c>
      <c r="H1256">
        <v>1337.5125731999999</v>
      </c>
      <c r="I1256">
        <v>1326.9997559000001</v>
      </c>
      <c r="J1256">
        <v>1325.2927245999999</v>
      </c>
      <c r="K1256">
        <v>2400</v>
      </c>
      <c r="L1256">
        <v>0</v>
      </c>
      <c r="M1256">
        <v>0</v>
      </c>
      <c r="N1256">
        <v>2400</v>
      </c>
    </row>
    <row r="1257" spans="1:14" x14ac:dyDescent="0.25">
      <c r="A1257">
        <v>746.54502300000001</v>
      </c>
      <c r="B1257" s="1">
        <f>DATE(2012,5,16) + TIME(13,4,49)</f>
        <v>41045.545011574075</v>
      </c>
      <c r="C1257">
        <v>80</v>
      </c>
      <c r="D1257">
        <v>79.974838257000002</v>
      </c>
      <c r="E1257">
        <v>50</v>
      </c>
      <c r="F1257">
        <v>48.915412903000004</v>
      </c>
      <c r="G1257">
        <v>1340.1846923999999</v>
      </c>
      <c r="H1257">
        <v>1337.5087891000001</v>
      </c>
      <c r="I1257">
        <v>1326.9984131000001</v>
      </c>
      <c r="J1257">
        <v>1325.2906493999999</v>
      </c>
      <c r="K1257">
        <v>2400</v>
      </c>
      <c r="L1257">
        <v>0</v>
      </c>
      <c r="M1257">
        <v>0</v>
      </c>
      <c r="N1257">
        <v>2400</v>
      </c>
    </row>
    <row r="1258" spans="1:14" x14ac:dyDescent="0.25">
      <c r="A1258">
        <v>746.92735900000002</v>
      </c>
      <c r="B1258" s="1">
        <f>DATE(2012,5,16) + TIME(22,15,23)</f>
        <v>41045.927349537036</v>
      </c>
      <c r="C1258">
        <v>80</v>
      </c>
      <c r="D1258">
        <v>79.974830627000003</v>
      </c>
      <c r="E1258">
        <v>50</v>
      </c>
      <c r="F1258">
        <v>48.893272400000001</v>
      </c>
      <c r="G1258">
        <v>1340.1790771000001</v>
      </c>
      <c r="H1258">
        <v>1337.5050048999999</v>
      </c>
      <c r="I1258">
        <v>1326.9970702999999</v>
      </c>
      <c r="J1258">
        <v>1325.2883300999999</v>
      </c>
      <c r="K1258">
        <v>2400</v>
      </c>
      <c r="L1258">
        <v>0</v>
      </c>
      <c r="M1258">
        <v>0</v>
      </c>
      <c r="N1258">
        <v>2400</v>
      </c>
    </row>
    <row r="1259" spans="1:14" x14ac:dyDescent="0.25">
      <c r="A1259">
        <v>747.32012499999996</v>
      </c>
      <c r="B1259" s="1">
        <f>DATE(2012,5,17) + TIME(7,40,58)</f>
        <v>41046.320115740738</v>
      </c>
      <c r="C1259">
        <v>80</v>
      </c>
      <c r="D1259">
        <v>79.974822997999993</v>
      </c>
      <c r="E1259">
        <v>50</v>
      </c>
      <c r="F1259">
        <v>48.870677948000001</v>
      </c>
      <c r="G1259">
        <v>1340.1733397999999</v>
      </c>
      <c r="H1259">
        <v>1337.5010986</v>
      </c>
      <c r="I1259">
        <v>1326.9956055</v>
      </c>
      <c r="J1259">
        <v>1325.2860106999999</v>
      </c>
      <c r="K1259">
        <v>2400</v>
      </c>
      <c r="L1259">
        <v>0</v>
      </c>
      <c r="M1259">
        <v>0</v>
      </c>
      <c r="N1259">
        <v>2400</v>
      </c>
    </row>
    <row r="1260" spans="1:14" x14ac:dyDescent="0.25">
      <c r="A1260">
        <v>747.72456399999999</v>
      </c>
      <c r="B1260" s="1">
        <f>DATE(2012,5,17) + TIME(17,23,22)</f>
        <v>41046.724560185183</v>
      </c>
      <c r="C1260">
        <v>80</v>
      </c>
      <c r="D1260">
        <v>79.974807738999999</v>
      </c>
      <c r="E1260">
        <v>50</v>
      </c>
      <c r="F1260">
        <v>48.847572327000002</v>
      </c>
      <c r="G1260">
        <v>1340.1676024999999</v>
      </c>
      <c r="H1260">
        <v>1337.4971923999999</v>
      </c>
      <c r="I1260">
        <v>1326.9941406</v>
      </c>
      <c r="J1260">
        <v>1325.2835693</v>
      </c>
      <c r="K1260">
        <v>2400</v>
      </c>
      <c r="L1260">
        <v>0</v>
      </c>
      <c r="M1260">
        <v>0</v>
      </c>
      <c r="N1260">
        <v>2400</v>
      </c>
    </row>
    <row r="1261" spans="1:14" x14ac:dyDescent="0.25">
      <c r="A1261">
        <v>748.14229499999999</v>
      </c>
      <c r="B1261" s="1">
        <f>DATE(2012,5,18) + TIME(3,24,54)</f>
        <v>41047.142291666663</v>
      </c>
      <c r="C1261">
        <v>80</v>
      </c>
      <c r="D1261">
        <v>79.974800110000004</v>
      </c>
      <c r="E1261">
        <v>50</v>
      </c>
      <c r="F1261">
        <v>48.823883057000003</v>
      </c>
      <c r="G1261">
        <v>1340.1617432</v>
      </c>
      <c r="H1261">
        <v>1337.4932861</v>
      </c>
      <c r="I1261">
        <v>1326.9925536999999</v>
      </c>
      <c r="J1261">
        <v>1325.2811279</v>
      </c>
      <c r="K1261">
        <v>2400</v>
      </c>
      <c r="L1261">
        <v>0</v>
      </c>
      <c r="M1261">
        <v>0</v>
      </c>
      <c r="N1261">
        <v>2400</v>
      </c>
    </row>
    <row r="1262" spans="1:14" x14ac:dyDescent="0.25">
      <c r="A1262">
        <v>748.56563700000004</v>
      </c>
      <c r="B1262" s="1">
        <f>DATE(2012,5,18) + TIME(13,34,31)</f>
        <v>41047.565636574072</v>
      </c>
      <c r="C1262">
        <v>80</v>
      </c>
      <c r="D1262">
        <v>79.974792480000005</v>
      </c>
      <c r="E1262">
        <v>50</v>
      </c>
      <c r="F1262">
        <v>48.799896240000002</v>
      </c>
      <c r="G1262">
        <v>1340.1557617000001</v>
      </c>
      <c r="H1262">
        <v>1337.4892577999999</v>
      </c>
      <c r="I1262">
        <v>1326.9908447</v>
      </c>
      <c r="J1262">
        <v>1325.2785644999999</v>
      </c>
      <c r="K1262">
        <v>2400</v>
      </c>
      <c r="L1262">
        <v>0</v>
      </c>
      <c r="M1262">
        <v>0</v>
      </c>
      <c r="N1262">
        <v>2400</v>
      </c>
    </row>
    <row r="1263" spans="1:14" x14ac:dyDescent="0.25">
      <c r="A1263">
        <v>748.99290199999996</v>
      </c>
      <c r="B1263" s="1">
        <f>DATE(2012,5,18) + TIME(23,49,46)</f>
        <v>41047.992893518516</v>
      </c>
      <c r="C1263">
        <v>80</v>
      </c>
      <c r="D1263">
        <v>79.974784850999995</v>
      </c>
      <c r="E1263">
        <v>50</v>
      </c>
      <c r="F1263">
        <v>48.77570343</v>
      </c>
      <c r="G1263">
        <v>1340.1499022999999</v>
      </c>
      <c r="H1263">
        <v>1337.4853516000001</v>
      </c>
      <c r="I1263">
        <v>1326.9892577999999</v>
      </c>
      <c r="J1263">
        <v>1325.2758789</v>
      </c>
      <c r="K1263">
        <v>2400</v>
      </c>
      <c r="L1263">
        <v>0</v>
      </c>
      <c r="M1263">
        <v>0</v>
      </c>
      <c r="N1263">
        <v>2400</v>
      </c>
    </row>
    <row r="1264" spans="1:14" x14ac:dyDescent="0.25">
      <c r="A1264">
        <v>749.42478100000005</v>
      </c>
      <c r="B1264" s="1">
        <f>DATE(2012,5,19) + TIME(10,11,41)</f>
        <v>41048.424780092595</v>
      </c>
      <c r="C1264">
        <v>80</v>
      </c>
      <c r="D1264">
        <v>79.974777222</v>
      </c>
      <c r="E1264">
        <v>50</v>
      </c>
      <c r="F1264">
        <v>48.751316070999998</v>
      </c>
      <c r="G1264">
        <v>1340.1439209</v>
      </c>
      <c r="H1264">
        <v>1337.4814452999999</v>
      </c>
      <c r="I1264">
        <v>1326.9875488</v>
      </c>
      <c r="J1264">
        <v>1325.2730713000001</v>
      </c>
      <c r="K1264">
        <v>2400</v>
      </c>
      <c r="L1264">
        <v>0</v>
      </c>
      <c r="M1264">
        <v>0</v>
      </c>
      <c r="N1264">
        <v>2400</v>
      </c>
    </row>
    <row r="1265" spans="1:14" x14ac:dyDescent="0.25">
      <c r="A1265">
        <v>749.85914200000002</v>
      </c>
      <c r="B1265" s="1">
        <f>DATE(2012,5,19) + TIME(20,37,9)</f>
        <v>41048.859131944446</v>
      </c>
      <c r="C1265">
        <v>80</v>
      </c>
      <c r="D1265">
        <v>79.974761963000006</v>
      </c>
      <c r="E1265">
        <v>50</v>
      </c>
      <c r="F1265">
        <v>48.726829529</v>
      </c>
      <c r="G1265">
        <v>1340.1380615</v>
      </c>
      <c r="H1265">
        <v>1337.4775391000001</v>
      </c>
      <c r="I1265">
        <v>1326.9857178</v>
      </c>
      <c r="J1265">
        <v>1325.2702637</v>
      </c>
      <c r="K1265">
        <v>2400</v>
      </c>
      <c r="L1265">
        <v>0</v>
      </c>
      <c r="M1265">
        <v>0</v>
      </c>
      <c r="N1265">
        <v>2400</v>
      </c>
    </row>
    <row r="1266" spans="1:14" x14ac:dyDescent="0.25">
      <c r="A1266">
        <v>750.29567799999995</v>
      </c>
      <c r="B1266" s="1">
        <f>DATE(2012,5,20) + TIME(7,5,46)</f>
        <v>41049.295671296299</v>
      </c>
      <c r="C1266">
        <v>80</v>
      </c>
      <c r="D1266">
        <v>79.974754333000007</v>
      </c>
      <c r="E1266">
        <v>50</v>
      </c>
      <c r="F1266">
        <v>48.702285766999999</v>
      </c>
      <c r="G1266">
        <v>1340.1323242000001</v>
      </c>
      <c r="H1266">
        <v>1337.4736327999999</v>
      </c>
      <c r="I1266">
        <v>1326.9840088000001</v>
      </c>
      <c r="J1266">
        <v>1325.2674560999999</v>
      </c>
      <c r="K1266">
        <v>2400</v>
      </c>
      <c r="L1266">
        <v>0</v>
      </c>
      <c r="M1266">
        <v>0</v>
      </c>
      <c r="N1266">
        <v>2400</v>
      </c>
    </row>
    <row r="1267" spans="1:14" x14ac:dyDescent="0.25">
      <c r="A1267">
        <v>750.73547399999995</v>
      </c>
      <c r="B1267" s="1">
        <f>DATE(2012,5,20) + TIME(17,39,4)</f>
        <v>41049.735462962963</v>
      </c>
      <c r="C1267">
        <v>80</v>
      </c>
      <c r="D1267">
        <v>79.974746703999998</v>
      </c>
      <c r="E1267">
        <v>50</v>
      </c>
      <c r="F1267">
        <v>48.677661895999996</v>
      </c>
      <c r="G1267">
        <v>1340.1265868999999</v>
      </c>
      <c r="H1267">
        <v>1337.4698486</v>
      </c>
      <c r="I1267">
        <v>1326.9821777</v>
      </c>
      <c r="J1267">
        <v>1325.2646483999999</v>
      </c>
      <c r="K1267">
        <v>2400</v>
      </c>
      <c r="L1267">
        <v>0</v>
      </c>
      <c r="M1267">
        <v>0</v>
      </c>
      <c r="N1267">
        <v>2400</v>
      </c>
    </row>
    <row r="1268" spans="1:14" x14ac:dyDescent="0.25">
      <c r="A1268">
        <v>751.17943000000002</v>
      </c>
      <c r="B1268" s="1">
        <f>DATE(2012,5,21) + TIME(4,18,22)</f>
        <v>41050.1794212963</v>
      </c>
      <c r="C1268">
        <v>80</v>
      </c>
      <c r="D1268">
        <v>79.974739075000002</v>
      </c>
      <c r="E1268">
        <v>50</v>
      </c>
      <c r="F1268">
        <v>48.652931213000002</v>
      </c>
      <c r="G1268">
        <v>1340.1209716999999</v>
      </c>
      <c r="H1268">
        <v>1337.4660644999999</v>
      </c>
      <c r="I1268">
        <v>1326.9803466999999</v>
      </c>
      <c r="J1268">
        <v>1325.2615966999999</v>
      </c>
      <c r="K1268">
        <v>2400</v>
      </c>
      <c r="L1268">
        <v>0</v>
      </c>
      <c r="M1268">
        <v>0</v>
      </c>
      <c r="N1268">
        <v>2400</v>
      </c>
    </row>
    <row r="1269" spans="1:14" x14ac:dyDescent="0.25">
      <c r="A1269">
        <v>751.62857699999995</v>
      </c>
      <c r="B1269" s="1">
        <f>DATE(2012,5,21) + TIME(15,5,9)</f>
        <v>41050.628576388888</v>
      </c>
      <c r="C1269">
        <v>80</v>
      </c>
      <c r="D1269">
        <v>79.974731445000003</v>
      </c>
      <c r="E1269">
        <v>50</v>
      </c>
      <c r="F1269">
        <v>48.628059387</v>
      </c>
      <c r="G1269">
        <v>1340.1152344</v>
      </c>
      <c r="H1269">
        <v>1337.4624022999999</v>
      </c>
      <c r="I1269">
        <v>1326.9783935999999</v>
      </c>
      <c r="J1269">
        <v>1325.2586670000001</v>
      </c>
      <c r="K1269">
        <v>2400</v>
      </c>
      <c r="L1269">
        <v>0</v>
      </c>
      <c r="M1269">
        <v>0</v>
      </c>
      <c r="N1269">
        <v>2400</v>
      </c>
    </row>
    <row r="1270" spans="1:14" x14ac:dyDescent="0.25">
      <c r="A1270">
        <v>752.08397200000002</v>
      </c>
      <c r="B1270" s="1">
        <f>DATE(2012,5,22) + TIME(2,0,55)</f>
        <v>41051.083969907406</v>
      </c>
      <c r="C1270">
        <v>80</v>
      </c>
      <c r="D1270">
        <v>79.974723815999994</v>
      </c>
      <c r="E1270">
        <v>50</v>
      </c>
      <c r="F1270">
        <v>48.603000641000001</v>
      </c>
      <c r="G1270">
        <v>1340.1096190999999</v>
      </c>
      <c r="H1270">
        <v>1337.4587402</v>
      </c>
      <c r="I1270">
        <v>1326.9764404</v>
      </c>
      <c r="J1270">
        <v>1325.2556152</v>
      </c>
      <c r="K1270">
        <v>2400</v>
      </c>
      <c r="L1270">
        <v>0</v>
      </c>
      <c r="M1270">
        <v>0</v>
      </c>
      <c r="N1270">
        <v>2400</v>
      </c>
    </row>
    <row r="1271" spans="1:14" x14ac:dyDescent="0.25">
      <c r="A1271">
        <v>752.54671499999995</v>
      </c>
      <c r="B1271" s="1">
        <f>DATE(2012,5,22) + TIME(13,7,16)</f>
        <v>41051.546712962961</v>
      </c>
      <c r="C1271">
        <v>80</v>
      </c>
      <c r="D1271">
        <v>79.974716186999999</v>
      </c>
      <c r="E1271">
        <v>50</v>
      </c>
      <c r="F1271">
        <v>48.577705383000001</v>
      </c>
      <c r="G1271">
        <v>1340.1040039</v>
      </c>
      <c r="H1271">
        <v>1337.4549560999999</v>
      </c>
      <c r="I1271">
        <v>1326.9744873</v>
      </c>
      <c r="J1271">
        <v>1325.2524414</v>
      </c>
      <c r="K1271">
        <v>2400</v>
      </c>
      <c r="L1271">
        <v>0</v>
      </c>
      <c r="M1271">
        <v>0</v>
      </c>
      <c r="N1271">
        <v>2400</v>
      </c>
    </row>
    <row r="1272" spans="1:14" x14ac:dyDescent="0.25">
      <c r="A1272">
        <v>753.01797799999997</v>
      </c>
      <c r="B1272" s="1">
        <f>DATE(2012,5,23) + TIME(0,25,53)</f>
        <v>41052.017974537041</v>
      </c>
      <c r="C1272">
        <v>80</v>
      </c>
      <c r="D1272">
        <v>79.974708557</v>
      </c>
      <c r="E1272">
        <v>50</v>
      </c>
      <c r="F1272">
        <v>48.552127837999997</v>
      </c>
      <c r="G1272">
        <v>1340.0983887</v>
      </c>
      <c r="H1272">
        <v>1337.4512939000001</v>
      </c>
      <c r="I1272">
        <v>1326.9724120999999</v>
      </c>
      <c r="J1272">
        <v>1325.2491454999999</v>
      </c>
      <c r="K1272">
        <v>2400</v>
      </c>
      <c r="L1272">
        <v>0</v>
      </c>
      <c r="M1272">
        <v>0</v>
      </c>
      <c r="N1272">
        <v>2400</v>
      </c>
    </row>
    <row r="1273" spans="1:14" x14ac:dyDescent="0.25">
      <c r="A1273">
        <v>753.49902299999997</v>
      </c>
      <c r="B1273" s="1">
        <f>DATE(2012,5,23) + TIME(11,58,35)</f>
        <v>41052.499016203707</v>
      </c>
      <c r="C1273">
        <v>80</v>
      </c>
      <c r="D1273">
        <v>79.974693298000005</v>
      </c>
      <c r="E1273">
        <v>50</v>
      </c>
      <c r="F1273">
        <v>48.526203156000001</v>
      </c>
      <c r="G1273">
        <v>1340.0927733999999</v>
      </c>
      <c r="H1273">
        <v>1337.4476318</v>
      </c>
      <c r="I1273">
        <v>1326.9703368999999</v>
      </c>
      <c r="J1273">
        <v>1325.2458495999999</v>
      </c>
      <c r="K1273">
        <v>2400</v>
      </c>
      <c r="L1273">
        <v>0</v>
      </c>
      <c r="M1273">
        <v>0</v>
      </c>
      <c r="N1273">
        <v>2400</v>
      </c>
    </row>
    <row r="1274" spans="1:14" x14ac:dyDescent="0.25">
      <c r="A1274">
        <v>753.99122499999999</v>
      </c>
      <c r="B1274" s="1">
        <f>DATE(2012,5,23) + TIME(23,47,21)</f>
        <v>41052.991215277776</v>
      </c>
      <c r="C1274">
        <v>80</v>
      </c>
      <c r="D1274">
        <v>79.974685668999996</v>
      </c>
      <c r="E1274">
        <v>50</v>
      </c>
      <c r="F1274">
        <v>48.499877929999997</v>
      </c>
      <c r="G1274">
        <v>1340.0871582</v>
      </c>
      <c r="H1274">
        <v>1337.4439697</v>
      </c>
      <c r="I1274">
        <v>1326.9681396000001</v>
      </c>
      <c r="J1274">
        <v>1325.2424315999999</v>
      </c>
      <c r="K1274">
        <v>2400</v>
      </c>
      <c r="L1274">
        <v>0</v>
      </c>
      <c r="M1274">
        <v>0</v>
      </c>
      <c r="N1274">
        <v>2400</v>
      </c>
    </row>
    <row r="1275" spans="1:14" x14ac:dyDescent="0.25">
      <c r="A1275">
        <v>754.49606800000004</v>
      </c>
      <c r="B1275" s="1">
        <f>DATE(2012,5,24) + TIME(11,54,20)</f>
        <v>41053.496064814812</v>
      </c>
      <c r="C1275">
        <v>80</v>
      </c>
      <c r="D1275">
        <v>79.974678040000001</v>
      </c>
      <c r="E1275">
        <v>50</v>
      </c>
      <c r="F1275">
        <v>48.473083496000001</v>
      </c>
      <c r="G1275">
        <v>1340.0814209</v>
      </c>
      <c r="H1275">
        <v>1337.4401855000001</v>
      </c>
      <c r="I1275">
        <v>1326.9659423999999</v>
      </c>
      <c r="J1275">
        <v>1325.2388916</v>
      </c>
      <c r="K1275">
        <v>2400</v>
      </c>
      <c r="L1275">
        <v>0</v>
      </c>
      <c r="M1275">
        <v>0</v>
      </c>
      <c r="N1275">
        <v>2400</v>
      </c>
    </row>
    <row r="1276" spans="1:14" x14ac:dyDescent="0.25">
      <c r="A1276">
        <v>755.01527199999998</v>
      </c>
      <c r="B1276" s="1">
        <f>DATE(2012,5,25) + TIME(0,21,59)</f>
        <v>41054.015266203707</v>
      </c>
      <c r="C1276">
        <v>80</v>
      </c>
      <c r="D1276">
        <v>79.974670410000002</v>
      </c>
      <c r="E1276">
        <v>50</v>
      </c>
      <c r="F1276">
        <v>48.445743561</v>
      </c>
      <c r="G1276">
        <v>1340.0756836</v>
      </c>
      <c r="H1276">
        <v>1337.4365233999999</v>
      </c>
      <c r="I1276">
        <v>1326.963501</v>
      </c>
      <c r="J1276">
        <v>1325.2351074000001</v>
      </c>
      <c r="K1276">
        <v>2400</v>
      </c>
      <c r="L1276">
        <v>0</v>
      </c>
      <c r="M1276">
        <v>0</v>
      </c>
      <c r="N1276">
        <v>2400</v>
      </c>
    </row>
    <row r="1277" spans="1:14" x14ac:dyDescent="0.25">
      <c r="A1277">
        <v>755.55095800000004</v>
      </c>
      <c r="B1277" s="1">
        <f>DATE(2012,5,25) + TIME(13,13,22)</f>
        <v>41054.550949074073</v>
      </c>
      <c r="C1277">
        <v>80</v>
      </c>
      <c r="D1277">
        <v>79.974662781000006</v>
      </c>
      <c r="E1277">
        <v>50</v>
      </c>
      <c r="F1277">
        <v>48.417770386000001</v>
      </c>
      <c r="G1277">
        <v>1340.0698242000001</v>
      </c>
      <c r="H1277">
        <v>1337.4327393000001</v>
      </c>
      <c r="I1277">
        <v>1326.9611815999999</v>
      </c>
      <c r="J1277">
        <v>1325.2313231999999</v>
      </c>
      <c r="K1277">
        <v>2400</v>
      </c>
      <c r="L1277">
        <v>0</v>
      </c>
      <c r="M1277">
        <v>0</v>
      </c>
      <c r="N1277">
        <v>2400</v>
      </c>
    </row>
    <row r="1278" spans="1:14" x14ac:dyDescent="0.25">
      <c r="A1278">
        <v>756.10172</v>
      </c>
      <c r="B1278" s="1">
        <f>DATE(2012,5,26) + TIME(2,26,28)</f>
        <v>41055.101712962962</v>
      </c>
      <c r="C1278">
        <v>80</v>
      </c>
      <c r="D1278">
        <v>79.974655150999993</v>
      </c>
      <c r="E1278">
        <v>50</v>
      </c>
      <c r="F1278">
        <v>48.389186858999999</v>
      </c>
      <c r="G1278">
        <v>1340.0639647999999</v>
      </c>
      <c r="H1278">
        <v>1337.4289550999999</v>
      </c>
      <c r="I1278">
        <v>1326.9586182</v>
      </c>
      <c r="J1278">
        <v>1325.2272949000001</v>
      </c>
      <c r="K1278">
        <v>2400</v>
      </c>
      <c r="L1278">
        <v>0</v>
      </c>
      <c r="M1278">
        <v>0</v>
      </c>
      <c r="N1278">
        <v>2400</v>
      </c>
    </row>
    <row r="1279" spans="1:14" x14ac:dyDescent="0.25">
      <c r="A1279">
        <v>756.655801</v>
      </c>
      <c r="B1279" s="1">
        <f>DATE(2012,5,26) + TIME(15,44,21)</f>
        <v>41055.655798611115</v>
      </c>
      <c r="C1279">
        <v>80</v>
      </c>
      <c r="D1279">
        <v>79.974647521999998</v>
      </c>
      <c r="E1279">
        <v>50</v>
      </c>
      <c r="F1279">
        <v>48.360370635999999</v>
      </c>
      <c r="G1279">
        <v>1340.0579834</v>
      </c>
      <c r="H1279">
        <v>1337.4250488</v>
      </c>
      <c r="I1279">
        <v>1326.9559326000001</v>
      </c>
      <c r="J1279">
        <v>1325.2231445</v>
      </c>
      <c r="K1279">
        <v>2400</v>
      </c>
      <c r="L1279">
        <v>0</v>
      </c>
      <c r="M1279">
        <v>0</v>
      </c>
      <c r="N1279">
        <v>2400</v>
      </c>
    </row>
    <row r="1280" spans="1:14" x14ac:dyDescent="0.25">
      <c r="A1280">
        <v>757.21008500000005</v>
      </c>
      <c r="B1280" s="1">
        <f>DATE(2012,5,27) + TIME(5,2,31)</f>
        <v>41056.210081018522</v>
      </c>
      <c r="C1280">
        <v>80</v>
      </c>
      <c r="D1280">
        <v>79.974639893000003</v>
      </c>
      <c r="E1280">
        <v>50</v>
      </c>
      <c r="F1280">
        <v>48.331508636000002</v>
      </c>
      <c r="G1280">
        <v>1340.052124</v>
      </c>
      <c r="H1280">
        <v>1337.4212646000001</v>
      </c>
      <c r="I1280">
        <v>1326.9532471</v>
      </c>
      <c r="J1280">
        <v>1325.2188721</v>
      </c>
      <c r="K1280">
        <v>2400</v>
      </c>
      <c r="L1280">
        <v>0</v>
      </c>
      <c r="M1280">
        <v>0</v>
      </c>
      <c r="N1280">
        <v>2400</v>
      </c>
    </row>
    <row r="1281" spans="1:14" x14ac:dyDescent="0.25">
      <c r="A1281">
        <v>757.76619800000003</v>
      </c>
      <c r="B1281" s="1">
        <f>DATE(2012,5,27) + TIME(18,23,19)</f>
        <v>41056.766192129631</v>
      </c>
      <c r="C1281">
        <v>80</v>
      </c>
      <c r="D1281">
        <v>79.974632263000004</v>
      </c>
      <c r="E1281">
        <v>50</v>
      </c>
      <c r="F1281">
        <v>48.302619933999999</v>
      </c>
      <c r="G1281">
        <v>1340.0462646000001</v>
      </c>
      <c r="H1281">
        <v>1337.4174805</v>
      </c>
      <c r="I1281">
        <v>1326.9504394999999</v>
      </c>
      <c r="J1281">
        <v>1325.2144774999999</v>
      </c>
      <c r="K1281">
        <v>2400</v>
      </c>
      <c r="L1281">
        <v>0</v>
      </c>
      <c r="M1281">
        <v>0</v>
      </c>
      <c r="N1281">
        <v>2400</v>
      </c>
    </row>
    <row r="1282" spans="1:14" x14ac:dyDescent="0.25">
      <c r="A1282">
        <v>758.32546200000002</v>
      </c>
      <c r="B1282" s="1">
        <f>DATE(2012,5,28) + TIME(7,48,39)</f>
        <v>41057.32545138889</v>
      </c>
      <c r="C1282">
        <v>80</v>
      </c>
      <c r="D1282">
        <v>79.974624633999994</v>
      </c>
      <c r="E1282">
        <v>50</v>
      </c>
      <c r="F1282">
        <v>48.273704529</v>
      </c>
      <c r="G1282">
        <v>1340.0405272999999</v>
      </c>
      <c r="H1282">
        <v>1337.4138184000001</v>
      </c>
      <c r="I1282">
        <v>1326.9476318</v>
      </c>
      <c r="J1282">
        <v>1325.2100829999999</v>
      </c>
      <c r="K1282">
        <v>2400</v>
      </c>
      <c r="L1282">
        <v>0</v>
      </c>
      <c r="M1282">
        <v>0</v>
      </c>
      <c r="N1282">
        <v>2400</v>
      </c>
    </row>
    <row r="1283" spans="1:14" x14ac:dyDescent="0.25">
      <c r="A1283">
        <v>758.88921400000004</v>
      </c>
      <c r="B1283" s="1">
        <f>DATE(2012,5,28) + TIME(21,20,28)</f>
        <v>41057.88921296296</v>
      </c>
      <c r="C1283">
        <v>80</v>
      </c>
      <c r="D1283">
        <v>79.974617003999995</v>
      </c>
      <c r="E1283">
        <v>50</v>
      </c>
      <c r="F1283">
        <v>48.244728088000002</v>
      </c>
      <c r="G1283">
        <v>1340.0347899999999</v>
      </c>
      <c r="H1283">
        <v>1337.4101562000001</v>
      </c>
      <c r="I1283">
        <v>1326.9448242000001</v>
      </c>
      <c r="J1283">
        <v>1325.2055664</v>
      </c>
      <c r="K1283">
        <v>2400</v>
      </c>
      <c r="L1283">
        <v>0</v>
      </c>
      <c r="M1283">
        <v>0</v>
      </c>
      <c r="N1283">
        <v>2400</v>
      </c>
    </row>
    <row r="1284" spans="1:14" x14ac:dyDescent="0.25">
      <c r="A1284">
        <v>759.45885999999996</v>
      </c>
      <c r="B1284" s="1">
        <f>DATE(2012,5,29) + TIME(11,0,45)</f>
        <v>41058.458854166667</v>
      </c>
      <c r="C1284">
        <v>80</v>
      </c>
      <c r="D1284">
        <v>79.974609375</v>
      </c>
      <c r="E1284">
        <v>50</v>
      </c>
      <c r="F1284">
        <v>48.215648651000002</v>
      </c>
      <c r="G1284">
        <v>1340.0291748</v>
      </c>
      <c r="H1284">
        <v>1337.4064940999999</v>
      </c>
      <c r="I1284">
        <v>1326.9418945</v>
      </c>
      <c r="J1284">
        <v>1325.2010498</v>
      </c>
      <c r="K1284">
        <v>2400</v>
      </c>
      <c r="L1284">
        <v>0</v>
      </c>
      <c r="M1284">
        <v>0</v>
      </c>
      <c r="N1284">
        <v>2400</v>
      </c>
    </row>
    <row r="1285" spans="1:14" x14ac:dyDescent="0.25">
      <c r="A1285">
        <v>760.03584499999999</v>
      </c>
      <c r="B1285" s="1">
        <f>DATE(2012,5,30) + TIME(0,51,37)</f>
        <v>41059.035844907405</v>
      </c>
      <c r="C1285">
        <v>80</v>
      </c>
      <c r="D1285">
        <v>79.974601746000005</v>
      </c>
      <c r="E1285">
        <v>50</v>
      </c>
      <c r="F1285">
        <v>48.186412810999997</v>
      </c>
      <c r="G1285">
        <v>1340.0235596</v>
      </c>
      <c r="H1285">
        <v>1337.402832</v>
      </c>
      <c r="I1285">
        <v>1326.9388428</v>
      </c>
      <c r="J1285">
        <v>1325.1962891000001</v>
      </c>
      <c r="K1285">
        <v>2400</v>
      </c>
      <c r="L1285">
        <v>0</v>
      </c>
      <c r="M1285">
        <v>0</v>
      </c>
      <c r="N1285">
        <v>2400</v>
      </c>
    </row>
    <row r="1286" spans="1:14" x14ac:dyDescent="0.25">
      <c r="A1286">
        <v>760.62170200000003</v>
      </c>
      <c r="B1286" s="1">
        <f>DATE(2012,5,30) + TIME(14,55,15)</f>
        <v>41059.621701388889</v>
      </c>
      <c r="C1286">
        <v>80</v>
      </c>
      <c r="D1286">
        <v>79.974594116000006</v>
      </c>
      <c r="E1286">
        <v>50</v>
      </c>
      <c r="F1286">
        <v>48.156959534000002</v>
      </c>
      <c r="G1286">
        <v>1340.0179443</v>
      </c>
      <c r="H1286">
        <v>1337.3992920000001</v>
      </c>
      <c r="I1286">
        <v>1326.9357910000001</v>
      </c>
      <c r="J1286">
        <v>1325.1914062000001</v>
      </c>
      <c r="K1286">
        <v>2400</v>
      </c>
      <c r="L1286">
        <v>0</v>
      </c>
      <c r="M1286">
        <v>0</v>
      </c>
      <c r="N1286">
        <v>2400</v>
      </c>
    </row>
    <row r="1287" spans="1:14" x14ac:dyDescent="0.25">
      <c r="A1287">
        <v>761.21800900000005</v>
      </c>
      <c r="B1287" s="1">
        <f>DATE(2012,5,31) + TIME(5,13,55)</f>
        <v>41060.217997685184</v>
      </c>
      <c r="C1287">
        <v>80</v>
      </c>
      <c r="D1287">
        <v>79.974586486999996</v>
      </c>
      <c r="E1287">
        <v>50</v>
      </c>
      <c r="F1287">
        <v>48.127220154</v>
      </c>
      <c r="G1287">
        <v>1340.012207</v>
      </c>
      <c r="H1287">
        <v>1337.3956298999999</v>
      </c>
      <c r="I1287">
        <v>1326.9326172000001</v>
      </c>
      <c r="J1287">
        <v>1325.1865233999999</v>
      </c>
      <c r="K1287">
        <v>2400</v>
      </c>
      <c r="L1287">
        <v>0</v>
      </c>
      <c r="M1287">
        <v>0</v>
      </c>
      <c r="N1287">
        <v>2400</v>
      </c>
    </row>
    <row r="1288" spans="1:14" x14ac:dyDescent="0.25">
      <c r="A1288">
        <v>761.82469200000003</v>
      </c>
      <c r="B1288" s="1">
        <f>DATE(2012,5,31) + TIME(19,47,33)</f>
        <v>41060.824687499997</v>
      </c>
      <c r="C1288">
        <v>80</v>
      </c>
      <c r="D1288">
        <v>79.974578856999997</v>
      </c>
      <c r="E1288">
        <v>50</v>
      </c>
      <c r="F1288">
        <v>48.097179412999999</v>
      </c>
      <c r="G1288">
        <v>1340.0065918</v>
      </c>
      <c r="H1288">
        <v>1337.3920897999999</v>
      </c>
      <c r="I1288">
        <v>1326.9293213000001</v>
      </c>
      <c r="J1288">
        <v>1325.1813964999999</v>
      </c>
      <c r="K1288">
        <v>2400</v>
      </c>
      <c r="L1288">
        <v>0</v>
      </c>
      <c r="M1288">
        <v>0</v>
      </c>
      <c r="N1288">
        <v>2400</v>
      </c>
    </row>
    <row r="1289" spans="1:14" x14ac:dyDescent="0.25">
      <c r="A1289">
        <v>762</v>
      </c>
      <c r="B1289" s="1">
        <f>DATE(2012,6,1) + TIME(0,0,0)</f>
        <v>41061</v>
      </c>
      <c r="C1289">
        <v>80</v>
      </c>
      <c r="D1289">
        <v>79.974571228000002</v>
      </c>
      <c r="E1289">
        <v>50</v>
      </c>
      <c r="F1289">
        <v>48.085021973000003</v>
      </c>
      <c r="G1289">
        <v>1340.0017089999999</v>
      </c>
      <c r="H1289">
        <v>1337.3890381000001</v>
      </c>
      <c r="I1289">
        <v>1326.9262695</v>
      </c>
      <c r="J1289">
        <v>1325.1768798999999</v>
      </c>
      <c r="K1289">
        <v>2400</v>
      </c>
      <c r="L1289">
        <v>0</v>
      </c>
      <c r="M1289">
        <v>0</v>
      </c>
      <c r="N1289">
        <v>2400</v>
      </c>
    </row>
    <row r="1290" spans="1:14" x14ac:dyDescent="0.25">
      <c r="A1290">
        <v>762.61584200000004</v>
      </c>
      <c r="B1290" s="1">
        <f>DATE(2012,6,1) + TIME(14,46,48)</f>
        <v>41061.615833333337</v>
      </c>
      <c r="C1290">
        <v>80</v>
      </c>
      <c r="D1290">
        <v>79.974571228000002</v>
      </c>
      <c r="E1290">
        <v>50</v>
      </c>
      <c r="F1290">
        <v>48.056129456000001</v>
      </c>
      <c r="G1290">
        <v>1339.9991454999999</v>
      </c>
      <c r="H1290">
        <v>1337.3873291</v>
      </c>
      <c r="I1290">
        <v>1326.9248047000001</v>
      </c>
      <c r="J1290">
        <v>1325.1743164</v>
      </c>
      <c r="K1290">
        <v>2400</v>
      </c>
      <c r="L1290">
        <v>0</v>
      </c>
      <c r="M1290">
        <v>0</v>
      </c>
      <c r="N1290">
        <v>2400</v>
      </c>
    </row>
    <row r="1291" spans="1:14" x14ac:dyDescent="0.25">
      <c r="A1291">
        <v>763.24588400000005</v>
      </c>
      <c r="B1291" s="1">
        <f>DATE(2012,6,2) + TIME(5,54,4)</f>
        <v>41062.245879629627</v>
      </c>
      <c r="C1291">
        <v>80</v>
      </c>
      <c r="D1291">
        <v>79.974563599000007</v>
      </c>
      <c r="E1291">
        <v>50</v>
      </c>
      <c r="F1291">
        <v>48.026271819999998</v>
      </c>
      <c r="G1291">
        <v>1339.9936522999999</v>
      </c>
      <c r="H1291">
        <v>1337.3839111</v>
      </c>
      <c r="I1291">
        <v>1326.9215088000001</v>
      </c>
      <c r="J1291">
        <v>1325.1689452999999</v>
      </c>
      <c r="K1291">
        <v>2400</v>
      </c>
      <c r="L1291">
        <v>0</v>
      </c>
      <c r="M1291">
        <v>0</v>
      </c>
      <c r="N1291">
        <v>2400</v>
      </c>
    </row>
    <row r="1292" spans="1:14" x14ac:dyDescent="0.25">
      <c r="A1292">
        <v>763.88871500000005</v>
      </c>
      <c r="B1292" s="1">
        <f>DATE(2012,6,2) + TIME(21,19,45)</f>
        <v>41062.888715277775</v>
      </c>
      <c r="C1292">
        <v>80</v>
      </c>
      <c r="D1292">
        <v>79.974555968999994</v>
      </c>
      <c r="E1292">
        <v>50</v>
      </c>
      <c r="F1292">
        <v>47.995677948000001</v>
      </c>
      <c r="G1292">
        <v>1339.9880370999999</v>
      </c>
      <c r="H1292">
        <v>1337.380249</v>
      </c>
      <c r="I1292">
        <v>1326.9178466999999</v>
      </c>
      <c r="J1292">
        <v>1325.1634521000001</v>
      </c>
      <c r="K1292">
        <v>2400</v>
      </c>
      <c r="L1292">
        <v>0</v>
      </c>
      <c r="M1292">
        <v>0</v>
      </c>
      <c r="N1292">
        <v>2400</v>
      </c>
    </row>
    <row r="1293" spans="1:14" x14ac:dyDescent="0.25">
      <c r="A1293">
        <v>764.54623500000002</v>
      </c>
      <c r="B1293" s="1">
        <f>DATE(2012,6,3) + TIME(13,6,34)</f>
        <v>41063.546226851853</v>
      </c>
      <c r="C1293">
        <v>80</v>
      </c>
      <c r="D1293">
        <v>79.974548339999998</v>
      </c>
      <c r="E1293">
        <v>50</v>
      </c>
      <c r="F1293">
        <v>47.964416503999999</v>
      </c>
      <c r="G1293">
        <v>1339.9822998</v>
      </c>
      <c r="H1293">
        <v>1337.3767089999999</v>
      </c>
      <c r="I1293">
        <v>1326.9141846</v>
      </c>
      <c r="J1293">
        <v>1325.1575928</v>
      </c>
      <c r="K1293">
        <v>2400</v>
      </c>
      <c r="L1293">
        <v>0</v>
      </c>
      <c r="M1293">
        <v>0</v>
      </c>
      <c r="N1293">
        <v>2400</v>
      </c>
    </row>
    <row r="1294" spans="1:14" x14ac:dyDescent="0.25">
      <c r="A1294">
        <v>765.22048600000005</v>
      </c>
      <c r="B1294" s="1">
        <f>DATE(2012,6,4) + TIME(5,17,30)</f>
        <v>41064.220486111109</v>
      </c>
      <c r="C1294">
        <v>80</v>
      </c>
      <c r="D1294">
        <v>79.974540709999999</v>
      </c>
      <c r="E1294">
        <v>50</v>
      </c>
      <c r="F1294">
        <v>47.932502747000001</v>
      </c>
      <c r="G1294">
        <v>1339.9765625</v>
      </c>
      <c r="H1294">
        <v>1337.3730469</v>
      </c>
      <c r="I1294">
        <v>1326.9104004000001</v>
      </c>
      <c r="J1294">
        <v>1325.1516113</v>
      </c>
      <c r="K1294">
        <v>2400</v>
      </c>
      <c r="L1294">
        <v>0</v>
      </c>
      <c r="M1294">
        <v>0</v>
      </c>
      <c r="N1294">
        <v>2400</v>
      </c>
    </row>
    <row r="1295" spans="1:14" x14ac:dyDescent="0.25">
      <c r="A1295">
        <v>765.91125</v>
      </c>
      <c r="B1295" s="1">
        <f>DATE(2012,6,4) + TIME(21,52,12)</f>
        <v>41064.911249999997</v>
      </c>
      <c r="C1295">
        <v>80</v>
      </c>
      <c r="D1295">
        <v>79.974540709999999</v>
      </c>
      <c r="E1295">
        <v>50</v>
      </c>
      <c r="F1295">
        <v>47.899971008000001</v>
      </c>
      <c r="G1295">
        <v>1339.9708252</v>
      </c>
      <c r="H1295">
        <v>1337.3693848</v>
      </c>
      <c r="I1295">
        <v>1326.9063721</v>
      </c>
      <c r="J1295">
        <v>1325.1453856999999</v>
      </c>
      <c r="K1295">
        <v>2400</v>
      </c>
      <c r="L1295">
        <v>0</v>
      </c>
      <c r="M1295">
        <v>0</v>
      </c>
      <c r="N1295">
        <v>2400</v>
      </c>
    </row>
    <row r="1296" spans="1:14" x14ac:dyDescent="0.25">
      <c r="A1296">
        <v>766.60390099999995</v>
      </c>
      <c r="B1296" s="1">
        <f>DATE(2012,6,5) + TIME(14,29,37)</f>
        <v>41065.603900462964</v>
      </c>
      <c r="C1296">
        <v>80</v>
      </c>
      <c r="D1296">
        <v>79.974533081000004</v>
      </c>
      <c r="E1296">
        <v>50</v>
      </c>
      <c r="F1296">
        <v>47.867229461999997</v>
      </c>
      <c r="G1296">
        <v>1339.9649658000001</v>
      </c>
      <c r="H1296">
        <v>1337.3656006000001</v>
      </c>
      <c r="I1296">
        <v>1326.9022216999999</v>
      </c>
      <c r="J1296">
        <v>1325.1389160000001</v>
      </c>
      <c r="K1296">
        <v>2400</v>
      </c>
      <c r="L1296">
        <v>0</v>
      </c>
      <c r="M1296">
        <v>0</v>
      </c>
      <c r="N1296">
        <v>2400</v>
      </c>
    </row>
    <row r="1297" spans="1:14" x14ac:dyDescent="0.25">
      <c r="A1297">
        <v>767.29834200000005</v>
      </c>
      <c r="B1297" s="1">
        <f>DATE(2012,6,6) + TIME(7,9,36)</f>
        <v>41066.298333333332</v>
      </c>
      <c r="C1297">
        <v>80</v>
      </c>
      <c r="D1297">
        <v>79.974525451999995</v>
      </c>
      <c r="E1297">
        <v>50</v>
      </c>
      <c r="F1297">
        <v>47.834434508999998</v>
      </c>
      <c r="G1297">
        <v>1339.9591064000001</v>
      </c>
      <c r="H1297">
        <v>1337.3619385</v>
      </c>
      <c r="I1297">
        <v>1326.8979492000001</v>
      </c>
      <c r="J1297">
        <v>1325.1322021000001</v>
      </c>
      <c r="K1297">
        <v>2400</v>
      </c>
      <c r="L1297">
        <v>0</v>
      </c>
      <c r="M1297">
        <v>0</v>
      </c>
      <c r="N1297">
        <v>2400</v>
      </c>
    </row>
    <row r="1298" spans="1:14" x14ac:dyDescent="0.25">
      <c r="A1298">
        <v>767.99437999999998</v>
      </c>
      <c r="B1298" s="1">
        <f>DATE(2012,6,6) + TIME(23,51,54)</f>
        <v>41066.994375000002</v>
      </c>
      <c r="C1298">
        <v>80</v>
      </c>
      <c r="D1298">
        <v>79.974517821999996</v>
      </c>
      <c r="E1298">
        <v>50</v>
      </c>
      <c r="F1298">
        <v>47.801670074</v>
      </c>
      <c r="G1298">
        <v>1339.9534911999999</v>
      </c>
      <c r="H1298">
        <v>1337.3583983999999</v>
      </c>
      <c r="I1298">
        <v>1326.8936768000001</v>
      </c>
      <c r="J1298">
        <v>1325.1254882999999</v>
      </c>
      <c r="K1298">
        <v>2400</v>
      </c>
      <c r="L1298">
        <v>0</v>
      </c>
      <c r="M1298">
        <v>0</v>
      </c>
      <c r="N1298">
        <v>2400</v>
      </c>
    </row>
    <row r="1299" spans="1:14" x14ac:dyDescent="0.25">
      <c r="A1299">
        <v>768.69398000000001</v>
      </c>
      <c r="B1299" s="1">
        <f>DATE(2012,6,7) + TIME(16,39,19)</f>
        <v>41067.693969907406</v>
      </c>
      <c r="C1299">
        <v>80</v>
      </c>
      <c r="D1299">
        <v>79.974510193</v>
      </c>
      <c r="E1299">
        <v>50</v>
      </c>
      <c r="F1299">
        <v>47.768932343000003</v>
      </c>
      <c r="G1299">
        <v>1339.9477539</v>
      </c>
      <c r="H1299">
        <v>1337.3548584</v>
      </c>
      <c r="I1299">
        <v>1326.8892822</v>
      </c>
      <c r="J1299">
        <v>1325.1186522999999</v>
      </c>
      <c r="K1299">
        <v>2400</v>
      </c>
      <c r="L1299">
        <v>0</v>
      </c>
      <c r="M1299">
        <v>0</v>
      </c>
      <c r="N1299">
        <v>2400</v>
      </c>
    </row>
    <row r="1300" spans="1:14" x14ac:dyDescent="0.25">
      <c r="A1300">
        <v>769.39871900000003</v>
      </c>
      <c r="B1300" s="1">
        <f>DATE(2012,6,8) + TIME(9,34,9)</f>
        <v>41068.398715277777</v>
      </c>
      <c r="C1300">
        <v>80</v>
      </c>
      <c r="D1300">
        <v>79.974510193</v>
      </c>
      <c r="E1300">
        <v>50</v>
      </c>
      <c r="F1300">
        <v>47.736198424999998</v>
      </c>
      <c r="G1300">
        <v>1339.9421387</v>
      </c>
      <c r="H1300">
        <v>1337.3513184000001</v>
      </c>
      <c r="I1300">
        <v>1326.8847656</v>
      </c>
      <c r="J1300">
        <v>1325.1116943</v>
      </c>
      <c r="K1300">
        <v>2400</v>
      </c>
      <c r="L1300">
        <v>0</v>
      </c>
      <c r="M1300">
        <v>0</v>
      </c>
      <c r="N1300">
        <v>2400</v>
      </c>
    </row>
    <row r="1301" spans="1:14" x14ac:dyDescent="0.25">
      <c r="A1301">
        <v>770.11031600000001</v>
      </c>
      <c r="B1301" s="1">
        <f>DATE(2012,6,9) + TIME(2,38,51)</f>
        <v>41069.110312500001</v>
      </c>
      <c r="C1301">
        <v>80</v>
      </c>
      <c r="D1301">
        <v>79.974502563000001</v>
      </c>
      <c r="E1301">
        <v>50</v>
      </c>
      <c r="F1301">
        <v>47.703411101999997</v>
      </c>
      <c r="G1301">
        <v>1339.9366454999999</v>
      </c>
      <c r="H1301">
        <v>1337.3477783000001</v>
      </c>
      <c r="I1301">
        <v>1326.880249</v>
      </c>
      <c r="J1301">
        <v>1325.1046143000001</v>
      </c>
      <c r="K1301">
        <v>2400</v>
      </c>
      <c r="L1301">
        <v>0</v>
      </c>
      <c r="M1301">
        <v>0</v>
      </c>
      <c r="N1301">
        <v>2400</v>
      </c>
    </row>
    <row r="1302" spans="1:14" x14ac:dyDescent="0.25">
      <c r="A1302">
        <v>770.83055000000002</v>
      </c>
      <c r="B1302" s="1">
        <f>DATE(2012,6,9) + TIME(19,55,59)</f>
        <v>41069.830543981479</v>
      </c>
      <c r="C1302">
        <v>80</v>
      </c>
      <c r="D1302">
        <v>79.974494934000006</v>
      </c>
      <c r="E1302">
        <v>50</v>
      </c>
      <c r="F1302">
        <v>47.670516968000001</v>
      </c>
      <c r="G1302">
        <v>1339.9310303</v>
      </c>
      <c r="H1302">
        <v>1337.3442382999999</v>
      </c>
      <c r="I1302">
        <v>1326.8756103999999</v>
      </c>
      <c r="J1302">
        <v>1325.0972899999999</v>
      </c>
      <c r="K1302">
        <v>2400</v>
      </c>
      <c r="L1302">
        <v>0</v>
      </c>
      <c r="M1302">
        <v>0</v>
      </c>
      <c r="N1302">
        <v>2400</v>
      </c>
    </row>
    <row r="1303" spans="1:14" x14ac:dyDescent="0.25">
      <c r="A1303">
        <v>771.56125499999996</v>
      </c>
      <c r="B1303" s="1">
        <f>DATE(2012,6,10) + TIME(13,28,12)</f>
        <v>41070.561249999999</v>
      </c>
      <c r="C1303">
        <v>80</v>
      </c>
      <c r="D1303">
        <v>79.974494934000006</v>
      </c>
      <c r="E1303">
        <v>50</v>
      </c>
      <c r="F1303">
        <v>47.637443542</v>
      </c>
      <c r="G1303">
        <v>1339.9255370999999</v>
      </c>
      <c r="H1303">
        <v>1337.3408202999999</v>
      </c>
      <c r="I1303">
        <v>1326.8708495999999</v>
      </c>
      <c r="J1303">
        <v>1325.0898437999999</v>
      </c>
      <c r="K1303">
        <v>2400</v>
      </c>
      <c r="L1303">
        <v>0</v>
      </c>
      <c r="M1303">
        <v>0</v>
      </c>
      <c r="N1303">
        <v>2400</v>
      </c>
    </row>
    <row r="1304" spans="1:14" x14ac:dyDescent="0.25">
      <c r="A1304">
        <v>772.30444</v>
      </c>
      <c r="B1304" s="1">
        <f>DATE(2012,6,11) + TIME(7,18,23)</f>
        <v>41071.304432870369</v>
      </c>
      <c r="C1304">
        <v>80</v>
      </c>
      <c r="D1304">
        <v>79.974487304999997</v>
      </c>
      <c r="E1304">
        <v>50</v>
      </c>
      <c r="F1304">
        <v>47.604118346999996</v>
      </c>
      <c r="G1304">
        <v>1339.9200439000001</v>
      </c>
      <c r="H1304">
        <v>1337.3372803</v>
      </c>
      <c r="I1304">
        <v>1326.8659668</v>
      </c>
      <c r="J1304">
        <v>1325.0821533000001</v>
      </c>
      <c r="K1304">
        <v>2400</v>
      </c>
      <c r="L1304">
        <v>0</v>
      </c>
      <c r="M1304">
        <v>0</v>
      </c>
      <c r="N1304">
        <v>2400</v>
      </c>
    </row>
    <row r="1305" spans="1:14" x14ac:dyDescent="0.25">
      <c r="A1305">
        <v>773.06216600000005</v>
      </c>
      <c r="B1305" s="1">
        <f>DATE(2012,6,12) + TIME(1,29,31)</f>
        <v>41072.062164351853</v>
      </c>
      <c r="C1305">
        <v>80</v>
      </c>
      <c r="D1305">
        <v>79.974487304999997</v>
      </c>
      <c r="E1305">
        <v>50</v>
      </c>
      <c r="F1305">
        <v>47.570468902999998</v>
      </c>
      <c r="G1305">
        <v>1339.9144286999999</v>
      </c>
      <c r="H1305">
        <v>1337.3337402</v>
      </c>
      <c r="I1305">
        <v>1326.8608397999999</v>
      </c>
      <c r="J1305">
        <v>1325.0743408000001</v>
      </c>
      <c r="K1305">
        <v>2400</v>
      </c>
      <c r="L1305">
        <v>0</v>
      </c>
      <c r="M1305">
        <v>0</v>
      </c>
      <c r="N1305">
        <v>2400</v>
      </c>
    </row>
    <row r="1306" spans="1:14" x14ac:dyDescent="0.25">
      <c r="A1306">
        <v>773.83664899999997</v>
      </c>
      <c r="B1306" s="1">
        <f>DATE(2012,6,12) + TIME(20,4,46)</f>
        <v>41072.836643518516</v>
      </c>
      <c r="C1306">
        <v>80</v>
      </c>
      <c r="D1306">
        <v>79.974479674999998</v>
      </c>
      <c r="E1306">
        <v>50</v>
      </c>
      <c r="F1306">
        <v>47.536411285</v>
      </c>
      <c r="G1306">
        <v>1339.9088135</v>
      </c>
      <c r="H1306">
        <v>1337.3303223</v>
      </c>
      <c r="I1306">
        <v>1326.8557129000001</v>
      </c>
      <c r="J1306">
        <v>1325.0661620999999</v>
      </c>
      <c r="K1306">
        <v>2400</v>
      </c>
      <c r="L1306">
        <v>0</v>
      </c>
      <c r="M1306">
        <v>0</v>
      </c>
      <c r="N1306">
        <v>2400</v>
      </c>
    </row>
    <row r="1307" spans="1:14" x14ac:dyDescent="0.25">
      <c r="A1307">
        <v>774.62857399999996</v>
      </c>
      <c r="B1307" s="1">
        <f>DATE(2012,6,13) + TIME(15,5,8)</f>
        <v>41073.628564814811</v>
      </c>
      <c r="C1307">
        <v>80</v>
      </c>
      <c r="D1307">
        <v>79.974472046000002</v>
      </c>
      <c r="E1307">
        <v>50</v>
      </c>
      <c r="F1307">
        <v>47.501899719000001</v>
      </c>
      <c r="G1307">
        <v>1339.9031981999999</v>
      </c>
      <c r="H1307">
        <v>1337.3267822</v>
      </c>
      <c r="I1307">
        <v>1326.8503418</v>
      </c>
      <c r="J1307">
        <v>1325.0577393000001</v>
      </c>
      <c r="K1307">
        <v>2400</v>
      </c>
      <c r="L1307">
        <v>0</v>
      </c>
      <c r="M1307">
        <v>0</v>
      </c>
      <c r="N1307">
        <v>2400</v>
      </c>
    </row>
    <row r="1308" spans="1:14" x14ac:dyDescent="0.25">
      <c r="A1308">
        <v>775.43680800000004</v>
      </c>
      <c r="B1308" s="1">
        <f>DATE(2012,6,14) + TIME(10,29,0)</f>
        <v>41074.436805555553</v>
      </c>
      <c r="C1308">
        <v>80</v>
      </c>
      <c r="D1308">
        <v>79.974472046000002</v>
      </c>
      <c r="E1308">
        <v>50</v>
      </c>
      <c r="F1308">
        <v>47.466949462999999</v>
      </c>
      <c r="G1308">
        <v>1339.8975829999999</v>
      </c>
      <c r="H1308">
        <v>1337.3231201000001</v>
      </c>
      <c r="I1308">
        <v>1326.8447266000001</v>
      </c>
      <c r="J1308">
        <v>1325.0490723</v>
      </c>
      <c r="K1308">
        <v>2400</v>
      </c>
      <c r="L1308">
        <v>0</v>
      </c>
      <c r="M1308">
        <v>0</v>
      </c>
      <c r="N1308">
        <v>2400</v>
      </c>
    </row>
    <row r="1309" spans="1:14" x14ac:dyDescent="0.25">
      <c r="A1309">
        <v>775.84880999999996</v>
      </c>
      <c r="B1309" s="1">
        <f>DATE(2012,6,14) + TIME(20,22,17)</f>
        <v>41074.848807870374</v>
      </c>
      <c r="C1309">
        <v>80</v>
      </c>
      <c r="D1309">
        <v>79.974464416999993</v>
      </c>
      <c r="E1309">
        <v>50</v>
      </c>
      <c r="F1309">
        <v>47.443660735999998</v>
      </c>
      <c r="G1309">
        <v>1339.8922118999999</v>
      </c>
      <c r="H1309">
        <v>1337.3198242000001</v>
      </c>
      <c r="I1309">
        <v>1326.8393555</v>
      </c>
      <c r="J1309">
        <v>1325.0408935999999</v>
      </c>
      <c r="K1309">
        <v>2400</v>
      </c>
      <c r="L1309">
        <v>0</v>
      </c>
      <c r="M1309">
        <v>0</v>
      </c>
      <c r="N1309">
        <v>2400</v>
      </c>
    </row>
    <row r="1310" spans="1:14" x14ac:dyDescent="0.25">
      <c r="A1310">
        <v>776.26081099999999</v>
      </c>
      <c r="B1310" s="1">
        <f>DATE(2012,6,15) + TIME(6,15,34)</f>
        <v>41075.260810185187</v>
      </c>
      <c r="C1310">
        <v>80</v>
      </c>
      <c r="D1310">
        <v>79.974456786999994</v>
      </c>
      <c r="E1310">
        <v>50</v>
      </c>
      <c r="F1310">
        <v>47.422126769999998</v>
      </c>
      <c r="G1310">
        <v>1339.8890381000001</v>
      </c>
      <c r="H1310">
        <v>1337.3178711</v>
      </c>
      <c r="I1310">
        <v>1326.8360596</v>
      </c>
      <c r="J1310">
        <v>1325.0356445</v>
      </c>
      <c r="K1310">
        <v>2400</v>
      </c>
      <c r="L1310">
        <v>0</v>
      </c>
      <c r="M1310">
        <v>0</v>
      </c>
      <c r="N1310">
        <v>2400</v>
      </c>
    </row>
    <row r="1311" spans="1:14" x14ac:dyDescent="0.25">
      <c r="A1311">
        <v>776.67281300000002</v>
      </c>
      <c r="B1311" s="1">
        <f>DATE(2012,6,15) + TIME(16,8,51)</f>
        <v>41075.672812500001</v>
      </c>
      <c r="C1311">
        <v>80</v>
      </c>
      <c r="D1311">
        <v>79.974456786999994</v>
      </c>
      <c r="E1311">
        <v>50</v>
      </c>
      <c r="F1311">
        <v>47.401809692</v>
      </c>
      <c r="G1311">
        <v>1339.8861084</v>
      </c>
      <c r="H1311">
        <v>1337.315918</v>
      </c>
      <c r="I1311">
        <v>1326.8327637</v>
      </c>
      <c r="J1311">
        <v>1325.0305175999999</v>
      </c>
      <c r="K1311">
        <v>2400</v>
      </c>
      <c r="L1311">
        <v>0</v>
      </c>
      <c r="M1311">
        <v>0</v>
      </c>
      <c r="N1311">
        <v>2400</v>
      </c>
    </row>
    <row r="1312" spans="1:14" x14ac:dyDescent="0.25">
      <c r="A1312">
        <v>777.49681499999997</v>
      </c>
      <c r="B1312" s="1">
        <f>DATE(2012,6,16) + TIME(11,55,24)</f>
        <v>41076.496805555558</v>
      </c>
      <c r="C1312">
        <v>80</v>
      </c>
      <c r="D1312">
        <v>79.974456786999994</v>
      </c>
      <c r="E1312">
        <v>50</v>
      </c>
      <c r="F1312">
        <v>47.372253418</v>
      </c>
      <c r="G1312">
        <v>1339.8830565999999</v>
      </c>
      <c r="H1312">
        <v>1337.3139647999999</v>
      </c>
      <c r="I1312">
        <v>1326.8292236</v>
      </c>
      <c r="J1312">
        <v>1325.0249022999999</v>
      </c>
      <c r="K1312">
        <v>2400</v>
      </c>
      <c r="L1312">
        <v>0</v>
      </c>
      <c r="M1312">
        <v>0</v>
      </c>
      <c r="N1312">
        <v>2400</v>
      </c>
    </row>
    <row r="1313" spans="1:14" x14ac:dyDescent="0.25">
      <c r="A1313">
        <v>778.32139199999995</v>
      </c>
      <c r="B1313" s="1">
        <f>DATE(2012,6,17) + TIME(7,42,48)</f>
        <v>41077.321388888886</v>
      </c>
      <c r="C1313">
        <v>80</v>
      </c>
      <c r="D1313">
        <v>79.974456786999994</v>
      </c>
      <c r="E1313">
        <v>50</v>
      </c>
      <c r="F1313">
        <v>47.340049743999998</v>
      </c>
      <c r="G1313">
        <v>1339.8775635</v>
      </c>
      <c r="H1313">
        <v>1337.3105469</v>
      </c>
      <c r="I1313">
        <v>1326.8236084</v>
      </c>
      <c r="J1313">
        <v>1325.0161132999999</v>
      </c>
      <c r="K1313">
        <v>2400</v>
      </c>
      <c r="L1313">
        <v>0</v>
      </c>
      <c r="M1313">
        <v>0</v>
      </c>
      <c r="N1313">
        <v>2400</v>
      </c>
    </row>
    <row r="1314" spans="1:14" x14ac:dyDescent="0.25">
      <c r="A1314">
        <v>779.15115700000001</v>
      </c>
      <c r="B1314" s="1">
        <f>DATE(2012,6,18) + TIME(3,37,39)</f>
        <v>41078.151145833333</v>
      </c>
      <c r="C1314">
        <v>80</v>
      </c>
      <c r="D1314">
        <v>79.974456786999994</v>
      </c>
      <c r="E1314">
        <v>50</v>
      </c>
      <c r="F1314">
        <v>47.306514739999997</v>
      </c>
      <c r="G1314">
        <v>1339.8720702999999</v>
      </c>
      <c r="H1314">
        <v>1337.3071289</v>
      </c>
      <c r="I1314">
        <v>1326.817749</v>
      </c>
      <c r="J1314">
        <v>1325.0068358999999</v>
      </c>
      <c r="K1314">
        <v>2400</v>
      </c>
      <c r="L1314">
        <v>0</v>
      </c>
      <c r="M1314">
        <v>0</v>
      </c>
      <c r="N1314">
        <v>2400</v>
      </c>
    </row>
    <row r="1315" spans="1:14" x14ac:dyDescent="0.25">
      <c r="A1315">
        <v>779.98815999999999</v>
      </c>
      <c r="B1315" s="1">
        <f>DATE(2012,6,18) + TIME(23,42,57)</f>
        <v>41078.988159722219</v>
      </c>
      <c r="C1315">
        <v>80</v>
      </c>
      <c r="D1315">
        <v>79.974449157999999</v>
      </c>
      <c r="E1315">
        <v>50</v>
      </c>
      <c r="F1315">
        <v>47.272285461000003</v>
      </c>
      <c r="G1315">
        <v>1339.8665771000001</v>
      </c>
      <c r="H1315">
        <v>1337.3035889</v>
      </c>
      <c r="I1315">
        <v>1326.8116454999999</v>
      </c>
      <c r="J1315">
        <v>1324.9971923999999</v>
      </c>
      <c r="K1315">
        <v>2400</v>
      </c>
      <c r="L1315">
        <v>0</v>
      </c>
      <c r="M1315">
        <v>0</v>
      </c>
      <c r="N1315">
        <v>2400</v>
      </c>
    </row>
    <row r="1316" spans="1:14" x14ac:dyDescent="0.25">
      <c r="A1316">
        <v>780.83467599999994</v>
      </c>
      <c r="B1316" s="1">
        <f>DATE(2012,6,19) + TIME(20,1,55)</f>
        <v>41079.834664351853</v>
      </c>
      <c r="C1316">
        <v>80</v>
      </c>
      <c r="D1316">
        <v>79.974449157999999</v>
      </c>
      <c r="E1316">
        <v>50</v>
      </c>
      <c r="F1316">
        <v>47.237659454000003</v>
      </c>
      <c r="G1316">
        <v>1339.8610839999999</v>
      </c>
      <c r="H1316">
        <v>1337.3001709</v>
      </c>
      <c r="I1316">
        <v>1326.8052978999999</v>
      </c>
      <c r="J1316">
        <v>1324.9873047000001</v>
      </c>
      <c r="K1316">
        <v>2400</v>
      </c>
      <c r="L1316">
        <v>0</v>
      </c>
      <c r="M1316">
        <v>0</v>
      </c>
      <c r="N1316">
        <v>2400</v>
      </c>
    </row>
    <row r="1317" spans="1:14" x14ac:dyDescent="0.25">
      <c r="A1317">
        <v>781.69294200000002</v>
      </c>
      <c r="B1317" s="1">
        <f>DATE(2012,6,20) + TIME(16,37,50)</f>
        <v>41080.692939814813</v>
      </c>
      <c r="C1317">
        <v>80</v>
      </c>
      <c r="D1317">
        <v>79.974449157999999</v>
      </c>
      <c r="E1317">
        <v>50</v>
      </c>
      <c r="F1317">
        <v>47.202751159999998</v>
      </c>
      <c r="G1317">
        <v>1339.8555908000001</v>
      </c>
      <c r="H1317">
        <v>1337.2966309000001</v>
      </c>
      <c r="I1317">
        <v>1326.7988281</v>
      </c>
      <c r="J1317">
        <v>1324.9771728999999</v>
      </c>
      <c r="K1317">
        <v>2400</v>
      </c>
      <c r="L1317">
        <v>0</v>
      </c>
      <c r="M1317">
        <v>0</v>
      </c>
      <c r="N1317">
        <v>2400</v>
      </c>
    </row>
    <row r="1318" spans="1:14" x14ac:dyDescent="0.25">
      <c r="A1318">
        <v>782.56530599999996</v>
      </c>
      <c r="B1318" s="1">
        <f>DATE(2012,6,21) + TIME(13,34,2)</f>
        <v>41081.565300925926</v>
      </c>
      <c r="C1318">
        <v>80</v>
      </c>
      <c r="D1318">
        <v>79.974441528</v>
      </c>
      <c r="E1318">
        <v>50</v>
      </c>
      <c r="F1318">
        <v>47.167587279999999</v>
      </c>
      <c r="G1318">
        <v>1339.8500977000001</v>
      </c>
      <c r="H1318">
        <v>1337.2932129000001</v>
      </c>
      <c r="I1318">
        <v>1326.7922363</v>
      </c>
      <c r="J1318">
        <v>1324.9667969</v>
      </c>
      <c r="K1318">
        <v>2400</v>
      </c>
      <c r="L1318">
        <v>0</v>
      </c>
      <c r="M1318">
        <v>0</v>
      </c>
      <c r="N1318">
        <v>2400</v>
      </c>
    </row>
    <row r="1319" spans="1:14" x14ac:dyDescent="0.25">
      <c r="A1319">
        <v>783.45427299999994</v>
      </c>
      <c r="B1319" s="1">
        <f>DATE(2012,6,22) + TIME(10,54,9)</f>
        <v>41082.454270833332</v>
      </c>
      <c r="C1319">
        <v>80</v>
      </c>
      <c r="D1319">
        <v>79.974441528</v>
      </c>
      <c r="E1319">
        <v>50</v>
      </c>
      <c r="F1319">
        <v>47.132141113000003</v>
      </c>
      <c r="G1319">
        <v>1339.8446045000001</v>
      </c>
      <c r="H1319">
        <v>1337.2897949000001</v>
      </c>
      <c r="I1319">
        <v>1326.7854004000001</v>
      </c>
      <c r="J1319">
        <v>1324.9561768000001</v>
      </c>
      <c r="K1319">
        <v>2400</v>
      </c>
      <c r="L1319">
        <v>0</v>
      </c>
      <c r="M1319">
        <v>0</v>
      </c>
      <c r="N1319">
        <v>2400</v>
      </c>
    </row>
    <row r="1320" spans="1:14" x14ac:dyDescent="0.25">
      <c r="A1320">
        <v>784.36253299999998</v>
      </c>
      <c r="B1320" s="1">
        <f>DATE(2012,6,23) + TIME(8,42,2)</f>
        <v>41083.362523148149</v>
      </c>
      <c r="C1320">
        <v>80</v>
      </c>
      <c r="D1320">
        <v>79.974441528</v>
      </c>
      <c r="E1320">
        <v>50</v>
      </c>
      <c r="F1320">
        <v>47.096363068000002</v>
      </c>
      <c r="G1320">
        <v>1339.8389893000001</v>
      </c>
      <c r="H1320">
        <v>1337.2862548999999</v>
      </c>
      <c r="I1320">
        <v>1326.7784423999999</v>
      </c>
      <c r="J1320">
        <v>1324.9451904</v>
      </c>
      <c r="K1320">
        <v>2400</v>
      </c>
      <c r="L1320">
        <v>0</v>
      </c>
      <c r="M1320">
        <v>0</v>
      </c>
      <c r="N1320">
        <v>2400</v>
      </c>
    </row>
    <row r="1321" spans="1:14" x14ac:dyDescent="0.25">
      <c r="A1321">
        <v>785.29201</v>
      </c>
      <c r="B1321" s="1">
        <f>DATE(2012,6,24) + TIME(7,0,29)</f>
        <v>41084.292002314818</v>
      </c>
      <c r="C1321">
        <v>80</v>
      </c>
      <c r="D1321">
        <v>79.974441528</v>
      </c>
      <c r="E1321">
        <v>50</v>
      </c>
      <c r="F1321">
        <v>47.060207366999997</v>
      </c>
      <c r="G1321">
        <v>1339.833374</v>
      </c>
      <c r="H1321">
        <v>1337.2827147999999</v>
      </c>
      <c r="I1321">
        <v>1326.7712402</v>
      </c>
      <c r="J1321">
        <v>1324.9338379000001</v>
      </c>
      <c r="K1321">
        <v>2400</v>
      </c>
      <c r="L1321">
        <v>0</v>
      </c>
      <c r="M1321">
        <v>0</v>
      </c>
      <c r="N1321">
        <v>2400</v>
      </c>
    </row>
    <row r="1322" spans="1:14" x14ac:dyDescent="0.25">
      <c r="A1322">
        <v>786.23660500000005</v>
      </c>
      <c r="B1322" s="1">
        <f>DATE(2012,6,25) + TIME(5,40,42)</f>
        <v>41085.236597222225</v>
      </c>
      <c r="C1322">
        <v>80</v>
      </c>
      <c r="D1322">
        <v>79.974433899000005</v>
      </c>
      <c r="E1322">
        <v>50</v>
      </c>
      <c r="F1322">
        <v>47.023780823000003</v>
      </c>
      <c r="G1322">
        <v>1339.8277588000001</v>
      </c>
      <c r="H1322">
        <v>1337.2791748</v>
      </c>
      <c r="I1322">
        <v>1326.7637939000001</v>
      </c>
      <c r="J1322">
        <v>1324.9221190999999</v>
      </c>
      <c r="K1322">
        <v>2400</v>
      </c>
      <c r="L1322">
        <v>0</v>
      </c>
      <c r="M1322">
        <v>0</v>
      </c>
      <c r="N1322">
        <v>2400</v>
      </c>
    </row>
    <row r="1323" spans="1:14" x14ac:dyDescent="0.25">
      <c r="A1323">
        <v>787.19906800000001</v>
      </c>
      <c r="B1323" s="1">
        <f>DATE(2012,6,26) + TIME(4,46,39)</f>
        <v>41086.199062500003</v>
      </c>
      <c r="C1323">
        <v>80</v>
      </c>
      <c r="D1323">
        <v>79.974433899000005</v>
      </c>
      <c r="E1323">
        <v>50</v>
      </c>
      <c r="F1323">
        <v>46.987110137999998</v>
      </c>
      <c r="G1323">
        <v>1339.8221435999999</v>
      </c>
      <c r="H1323">
        <v>1337.2755127</v>
      </c>
      <c r="I1323">
        <v>1326.7561035000001</v>
      </c>
      <c r="J1323">
        <v>1324.9100341999999</v>
      </c>
      <c r="K1323">
        <v>2400</v>
      </c>
      <c r="L1323">
        <v>0</v>
      </c>
      <c r="M1323">
        <v>0</v>
      </c>
      <c r="N1323">
        <v>2400</v>
      </c>
    </row>
    <row r="1324" spans="1:14" x14ac:dyDescent="0.25">
      <c r="A1324">
        <v>788.17040299999996</v>
      </c>
      <c r="B1324" s="1">
        <f>DATE(2012,6,27) + TIME(4,5,22)</f>
        <v>41087.170393518521</v>
      </c>
      <c r="C1324">
        <v>80</v>
      </c>
      <c r="D1324">
        <v>79.974433899000005</v>
      </c>
      <c r="E1324">
        <v>50</v>
      </c>
      <c r="F1324">
        <v>46.950378418</v>
      </c>
      <c r="G1324">
        <v>1339.8164062000001</v>
      </c>
      <c r="H1324">
        <v>1337.2719727000001</v>
      </c>
      <c r="I1324">
        <v>1326.7482910000001</v>
      </c>
      <c r="J1324">
        <v>1324.8977050999999</v>
      </c>
      <c r="K1324">
        <v>2400</v>
      </c>
      <c r="L1324">
        <v>0</v>
      </c>
      <c r="M1324">
        <v>0</v>
      </c>
      <c r="N1324">
        <v>2400</v>
      </c>
    </row>
    <row r="1325" spans="1:14" x14ac:dyDescent="0.25">
      <c r="A1325">
        <v>789.14388799999995</v>
      </c>
      <c r="B1325" s="1">
        <f>DATE(2012,6,28) + TIME(3,27,11)</f>
        <v>41088.143877314818</v>
      </c>
      <c r="C1325">
        <v>80</v>
      </c>
      <c r="D1325">
        <v>79.974433899000005</v>
      </c>
      <c r="E1325">
        <v>50</v>
      </c>
      <c r="F1325">
        <v>46.913833617999998</v>
      </c>
      <c r="G1325">
        <v>1339.8106689000001</v>
      </c>
      <c r="H1325">
        <v>1337.2683105000001</v>
      </c>
      <c r="I1325">
        <v>1326.7402344</v>
      </c>
      <c r="J1325">
        <v>1324.8850098</v>
      </c>
      <c r="K1325">
        <v>2400</v>
      </c>
      <c r="L1325">
        <v>0</v>
      </c>
      <c r="M1325">
        <v>0</v>
      </c>
      <c r="N1325">
        <v>2400</v>
      </c>
    </row>
    <row r="1326" spans="1:14" x14ac:dyDescent="0.25">
      <c r="A1326">
        <v>790.12235899999996</v>
      </c>
      <c r="B1326" s="1">
        <f>DATE(2012,6,29) + TIME(2,56,11)</f>
        <v>41089.122349537036</v>
      </c>
      <c r="C1326">
        <v>80</v>
      </c>
      <c r="D1326">
        <v>79.974433899000005</v>
      </c>
      <c r="E1326">
        <v>50</v>
      </c>
      <c r="F1326">
        <v>46.877563477000002</v>
      </c>
      <c r="G1326">
        <v>1339.8050536999999</v>
      </c>
      <c r="H1326">
        <v>1337.2647704999999</v>
      </c>
      <c r="I1326">
        <v>1326.7321777</v>
      </c>
      <c r="J1326">
        <v>1324.8723144999999</v>
      </c>
      <c r="K1326">
        <v>2400</v>
      </c>
      <c r="L1326">
        <v>0</v>
      </c>
      <c r="M1326">
        <v>0</v>
      </c>
      <c r="N1326">
        <v>2400</v>
      </c>
    </row>
    <row r="1327" spans="1:14" x14ac:dyDescent="0.25">
      <c r="A1327">
        <v>791.10843599999998</v>
      </c>
      <c r="B1327" s="1">
        <f>DATE(2012,6,30) + TIME(2,36,8)</f>
        <v>41090.108425925922</v>
      </c>
      <c r="C1327">
        <v>80</v>
      </c>
      <c r="D1327">
        <v>79.974433899000005</v>
      </c>
      <c r="E1327">
        <v>50</v>
      </c>
      <c r="F1327">
        <v>46.841567992999998</v>
      </c>
      <c r="G1327">
        <v>1339.7995605000001</v>
      </c>
      <c r="H1327">
        <v>1337.2612305</v>
      </c>
      <c r="I1327">
        <v>1326.723999</v>
      </c>
      <c r="J1327">
        <v>1324.8592529</v>
      </c>
      <c r="K1327">
        <v>2400</v>
      </c>
      <c r="L1327">
        <v>0</v>
      </c>
      <c r="M1327">
        <v>0</v>
      </c>
      <c r="N1327">
        <v>2400</v>
      </c>
    </row>
    <row r="1328" spans="1:14" x14ac:dyDescent="0.25">
      <c r="A1328">
        <v>792</v>
      </c>
      <c r="B1328" s="1">
        <f>DATE(2012,7,1) + TIME(0,0,0)</f>
        <v>41091</v>
      </c>
      <c r="C1328">
        <v>80</v>
      </c>
      <c r="D1328">
        <v>79.974426269999995</v>
      </c>
      <c r="E1328">
        <v>50</v>
      </c>
      <c r="F1328">
        <v>46.807670592999997</v>
      </c>
      <c r="G1328">
        <v>1339.7940673999999</v>
      </c>
      <c r="H1328">
        <v>1337.2576904</v>
      </c>
      <c r="I1328">
        <v>1326.7156981999999</v>
      </c>
      <c r="J1328">
        <v>1324.8461914</v>
      </c>
      <c r="K1328">
        <v>2400</v>
      </c>
      <c r="L1328">
        <v>0</v>
      </c>
      <c r="M1328">
        <v>0</v>
      </c>
      <c r="N1328">
        <v>2400</v>
      </c>
    </row>
    <row r="1329" spans="1:14" x14ac:dyDescent="0.25">
      <c r="A1329">
        <v>792.99645899999996</v>
      </c>
      <c r="B1329" s="1">
        <f>DATE(2012,7,1) + TIME(23,54,54)</f>
        <v>41091.996458333335</v>
      </c>
      <c r="C1329">
        <v>80</v>
      </c>
      <c r="D1329">
        <v>79.974433899000005</v>
      </c>
      <c r="E1329">
        <v>50</v>
      </c>
      <c r="F1329">
        <v>46.773307799999998</v>
      </c>
      <c r="G1329">
        <v>1339.7889404</v>
      </c>
      <c r="H1329">
        <v>1337.2545166</v>
      </c>
      <c r="I1329">
        <v>1326.7077637</v>
      </c>
      <c r="J1329">
        <v>1324.8337402</v>
      </c>
      <c r="K1329">
        <v>2400</v>
      </c>
      <c r="L1329">
        <v>0</v>
      </c>
      <c r="M1329">
        <v>0</v>
      </c>
      <c r="N1329">
        <v>2400</v>
      </c>
    </row>
    <row r="1330" spans="1:14" x14ac:dyDescent="0.25">
      <c r="A1330">
        <v>794.02061300000003</v>
      </c>
      <c r="B1330" s="1">
        <f>DATE(2012,7,3) + TIME(0,29,40)</f>
        <v>41093.020601851851</v>
      </c>
      <c r="C1330">
        <v>80</v>
      </c>
      <c r="D1330">
        <v>79.974433899000005</v>
      </c>
      <c r="E1330">
        <v>50</v>
      </c>
      <c r="F1330">
        <v>46.738483428999999</v>
      </c>
      <c r="G1330">
        <v>1339.7834473</v>
      </c>
      <c r="H1330">
        <v>1337.2509766000001</v>
      </c>
      <c r="I1330">
        <v>1326.6993408000001</v>
      </c>
      <c r="J1330">
        <v>1324.8203125</v>
      </c>
      <c r="K1330">
        <v>2400</v>
      </c>
      <c r="L1330">
        <v>0</v>
      </c>
      <c r="M1330">
        <v>0</v>
      </c>
      <c r="N1330">
        <v>2400</v>
      </c>
    </row>
    <row r="1331" spans="1:14" x14ac:dyDescent="0.25">
      <c r="A1331">
        <v>795.05562599999996</v>
      </c>
      <c r="B1331" s="1">
        <f>DATE(2012,7,4) + TIME(1,20,6)</f>
        <v>41094.055625000001</v>
      </c>
      <c r="C1331">
        <v>80</v>
      </c>
      <c r="D1331">
        <v>79.974433899000005</v>
      </c>
      <c r="E1331">
        <v>50</v>
      </c>
      <c r="F1331">
        <v>46.703563690000003</v>
      </c>
      <c r="G1331">
        <v>1339.7779541</v>
      </c>
      <c r="H1331">
        <v>1337.2474365</v>
      </c>
      <c r="I1331">
        <v>1326.6905518000001</v>
      </c>
      <c r="J1331">
        <v>1324.8063964999999</v>
      </c>
      <c r="K1331">
        <v>2400</v>
      </c>
      <c r="L1331">
        <v>0</v>
      </c>
      <c r="M1331">
        <v>0</v>
      </c>
      <c r="N1331">
        <v>2400</v>
      </c>
    </row>
    <row r="1332" spans="1:14" x14ac:dyDescent="0.25">
      <c r="A1332">
        <v>796.10323300000005</v>
      </c>
      <c r="B1332" s="1">
        <f>DATE(2012,7,5) + TIME(2,28,39)</f>
        <v>41095.103229166663</v>
      </c>
      <c r="C1332">
        <v>80</v>
      </c>
      <c r="D1332">
        <v>79.974433899000005</v>
      </c>
      <c r="E1332">
        <v>50</v>
      </c>
      <c r="F1332">
        <v>46.668773651000002</v>
      </c>
      <c r="G1332">
        <v>1339.7723389</v>
      </c>
      <c r="H1332">
        <v>1337.2438964999999</v>
      </c>
      <c r="I1332">
        <v>1326.6816406</v>
      </c>
      <c r="J1332">
        <v>1324.7921143000001</v>
      </c>
      <c r="K1332">
        <v>2400</v>
      </c>
      <c r="L1332">
        <v>0</v>
      </c>
      <c r="M1332">
        <v>0</v>
      </c>
      <c r="N1332">
        <v>2400</v>
      </c>
    </row>
    <row r="1333" spans="1:14" x14ac:dyDescent="0.25">
      <c r="A1333">
        <v>797.16632900000002</v>
      </c>
      <c r="B1333" s="1">
        <f>DATE(2012,7,6) + TIME(3,59,30)</f>
        <v>41096.166319444441</v>
      </c>
      <c r="C1333">
        <v>80</v>
      </c>
      <c r="D1333">
        <v>79.974433899000005</v>
      </c>
      <c r="E1333">
        <v>50</v>
      </c>
      <c r="F1333">
        <v>46.634197235000002</v>
      </c>
      <c r="G1333">
        <v>1339.7668457</v>
      </c>
      <c r="H1333">
        <v>1337.2403564000001</v>
      </c>
      <c r="I1333">
        <v>1326.6724853999999</v>
      </c>
      <c r="J1333">
        <v>1324.7774658000001</v>
      </c>
      <c r="K1333">
        <v>2400</v>
      </c>
      <c r="L1333">
        <v>0</v>
      </c>
      <c r="M1333">
        <v>0</v>
      </c>
      <c r="N1333">
        <v>2400</v>
      </c>
    </row>
    <row r="1334" spans="1:14" x14ac:dyDescent="0.25">
      <c r="A1334">
        <v>798.24795500000005</v>
      </c>
      <c r="B1334" s="1">
        <f>DATE(2012,7,7) + TIME(5,57,3)</f>
        <v>41097.24795138889</v>
      </c>
      <c r="C1334">
        <v>80</v>
      </c>
      <c r="D1334">
        <v>79.974433899000005</v>
      </c>
      <c r="E1334">
        <v>50</v>
      </c>
      <c r="F1334">
        <v>46.599864959999998</v>
      </c>
      <c r="G1334">
        <v>1339.7612305</v>
      </c>
      <c r="H1334">
        <v>1337.2366943</v>
      </c>
      <c r="I1334">
        <v>1326.6630858999999</v>
      </c>
      <c r="J1334">
        <v>1324.7625731999999</v>
      </c>
      <c r="K1334">
        <v>2400</v>
      </c>
      <c r="L1334">
        <v>0</v>
      </c>
      <c r="M1334">
        <v>0</v>
      </c>
      <c r="N1334">
        <v>2400</v>
      </c>
    </row>
    <row r="1335" spans="1:14" x14ac:dyDescent="0.25">
      <c r="A1335">
        <v>799.35136299999999</v>
      </c>
      <c r="B1335" s="1">
        <f>DATE(2012,7,8) + TIME(8,25,57)</f>
        <v>41098.351354166669</v>
      </c>
      <c r="C1335">
        <v>80</v>
      </c>
      <c r="D1335">
        <v>79.974433899000005</v>
      </c>
      <c r="E1335">
        <v>50</v>
      </c>
      <c r="F1335">
        <v>46.565776825</v>
      </c>
      <c r="G1335">
        <v>1339.7556152</v>
      </c>
      <c r="H1335">
        <v>1337.2331543</v>
      </c>
      <c r="I1335">
        <v>1326.6535644999999</v>
      </c>
      <c r="J1335">
        <v>1324.7473144999999</v>
      </c>
      <c r="K1335">
        <v>2400</v>
      </c>
      <c r="L1335">
        <v>0</v>
      </c>
      <c r="M1335">
        <v>0</v>
      </c>
      <c r="N1335">
        <v>2400</v>
      </c>
    </row>
    <row r="1336" spans="1:14" x14ac:dyDescent="0.25">
      <c r="A1336">
        <v>800.48015299999997</v>
      </c>
      <c r="B1336" s="1">
        <f>DATE(2012,7,9) + TIME(11,31,25)</f>
        <v>41099.480150462965</v>
      </c>
      <c r="C1336">
        <v>80</v>
      </c>
      <c r="D1336">
        <v>79.974441528</v>
      </c>
      <c r="E1336">
        <v>50</v>
      </c>
      <c r="F1336">
        <v>46.531929015999999</v>
      </c>
      <c r="G1336">
        <v>1339.75</v>
      </c>
      <c r="H1336">
        <v>1337.2294922000001</v>
      </c>
      <c r="I1336">
        <v>1326.6437988</v>
      </c>
      <c r="J1336">
        <v>1324.7316894999999</v>
      </c>
      <c r="K1336">
        <v>2400</v>
      </c>
      <c r="L1336">
        <v>0</v>
      </c>
      <c r="M1336">
        <v>0</v>
      </c>
      <c r="N1336">
        <v>2400</v>
      </c>
    </row>
    <row r="1337" spans="1:14" x14ac:dyDescent="0.25">
      <c r="A1337">
        <v>801.61838699999998</v>
      </c>
      <c r="B1337" s="1">
        <f>DATE(2012,7,10) + TIME(14,50,28)</f>
        <v>41100.618379629632</v>
      </c>
      <c r="C1337">
        <v>80</v>
      </c>
      <c r="D1337">
        <v>79.974441528</v>
      </c>
      <c r="E1337">
        <v>50</v>
      </c>
      <c r="F1337">
        <v>46.498573303000001</v>
      </c>
      <c r="G1337">
        <v>1339.7443848</v>
      </c>
      <c r="H1337">
        <v>1337.2258300999999</v>
      </c>
      <c r="I1337">
        <v>1326.6337891000001</v>
      </c>
      <c r="J1337">
        <v>1324.7155762</v>
      </c>
      <c r="K1337">
        <v>2400</v>
      </c>
      <c r="L1337">
        <v>0</v>
      </c>
      <c r="M1337">
        <v>0</v>
      </c>
      <c r="N1337">
        <v>2400</v>
      </c>
    </row>
    <row r="1338" spans="1:14" x14ac:dyDescent="0.25">
      <c r="A1338">
        <v>802.76331400000004</v>
      </c>
      <c r="B1338" s="1">
        <f>DATE(2012,7,11) + TIME(18,19,10)</f>
        <v>41101.763310185182</v>
      </c>
      <c r="C1338">
        <v>80</v>
      </c>
      <c r="D1338">
        <v>79.974441528</v>
      </c>
      <c r="E1338">
        <v>50</v>
      </c>
      <c r="F1338">
        <v>46.465965271000002</v>
      </c>
      <c r="G1338">
        <v>1339.7386475000001</v>
      </c>
      <c r="H1338">
        <v>1337.222168</v>
      </c>
      <c r="I1338">
        <v>1326.6235352000001</v>
      </c>
      <c r="J1338">
        <v>1324.6992187999999</v>
      </c>
      <c r="K1338">
        <v>2400</v>
      </c>
      <c r="L1338">
        <v>0</v>
      </c>
      <c r="M1338">
        <v>0</v>
      </c>
      <c r="N1338">
        <v>2400</v>
      </c>
    </row>
    <row r="1339" spans="1:14" x14ac:dyDescent="0.25">
      <c r="A1339">
        <v>803.91827999999998</v>
      </c>
      <c r="B1339" s="1">
        <f>DATE(2012,7,12) + TIME(22,2,19)</f>
        <v>41102.918275462966</v>
      </c>
      <c r="C1339">
        <v>80</v>
      </c>
      <c r="D1339">
        <v>79.974449157999999</v>
      </c>
      <c r="E1339">
        <v>50</v>
      </c>
      <c r="F1339">
        <v>46.434234619000001</v>
      </c>
      <c r="G1339">
        <v>1339.7330322</v>
      </c>
      <c r="H1339">
        <v>1337.2185059000001</v>
      </c>
      <c r="I1339">
        <v>1326.6131591999999</v>
      </c>
      <c r="J1339">
        <v>1324.6826172000001</v>
      </c>
      <c r="K1339">
        <v>2400</v>
      </c>
      <c r="L1339">
        <v>0</v>
      </c>
      <c r="M1339">
        <v>0</v>
      </c>
      <c r="N1339">
        <v>2400</v>
      </c>
    </row>
    <row r="1340" spans="1:14" x14ac:dyDescent="0.25">
      <c r="A1340">
        <v>805.07913099999996</v>
      </c>
      <c r="B1340" s="1">
        <f>DATE(2012,7,14) + TIME(1,53,56)</f>
        <v>41104.07912037037</v>
      </c>
      <c r="C1340">
        <v>80</v>
      </c>
      <c r="D1340">
        <v>79.974449157999999</v>
      </c>
      <c r="E1340">
        <v>50</v>
      </c>
      <c r="F1340">
        <v>46.403514862000002</v>
      </c>
      <c r="G1340">
        <v>1339.7274170000001</v>
      </c>
      <c r="H1340">
        <v>1337.2149658000001</v>
      </c>
      <c r="I1340">
        <v>1326.6027832</v>
      </c>
      <c r="J1340">
        <v>1324.6658935999999</v>
      </c>
      <c r="K1340">
        <v>2400</v>
      </c>
      <c r="L1340">
        <v>0</v>
      </c>
      <c r="M1340">
        <v>0</v>
      </c>
      <c r="N1340">
        <v>2400</v>
      </c>
    </row>
    <row r="1341" spans="1:14" x14ac:dyDescent="0.25">
      <c r="A1341">
        <v>806.24773600000003</v>
      </c>
      <c r="B1341" s="1">
        <f>DATE(2012,7,15) + TIME(5,56,44)</f>
        <v>41105.247731481482</v>
      </c>
      <c r="C1341">
        <v>80</v>
      </c>
      <c r="D1341">
        <v>79.974449157999999</v>
      </c>
      <c r="E1341">
        <v>50</v>
      </c>
      <c r="F1341">
        <v>46.373924254999999</v>
      </c>
      <c r="G1341">
        <v>1339.7218018000001</v>
      </c>
      <c r="H1341">
        <v>1337.2113036999999</v>
      </c>
      <c r="I1341">
        <v>1326.5921631000001</v>
      </c>
      <c r="J1341">
        <v>1324.6488036999999</v>
      </c>
      <c r="K1341">
        <v>2400</v>
      </c>
      <c r="L1341">
        <v>0</v>
      </c>
      <c r="M1341">
        <v>0</v>
      </c>
      <c r="N1341">
        <v>2400</v>
      </c>
    </row>
    <row r="1342" spans="1:14" x14ac:dyDescent="0.25">
      <c r="A1342">
        <v>807.42696999999998</v>
      </c>
      <c r="B1342" s="1">
        <f>DATE(2012,7,16) + TIME(10,14,50)</f>
        <v>41106.42696759259</v>
      </c>
      <c r="C1342">
        <v>80</v>
      </c>
      <c r="D1342">
        <v>79.974456786999994</v>
      </c>
      <c r="E1342">
        <v>50</v>
      </c>
      <c r="F1342">
        <v>46.345520020000002</v>
      </c>
      <c r="G1342">
        <v>1339.7161865</v>
      </c>
      <c r="H1342">
        <v>1337.2076416</v>
      </c>
      <c r="I1342">
        <v>1326.581543</v>
      </c>
      <c r="J1342">
        <v>1324.6315918</v>
      </c>
      <c r="K1342">
        <v>2400</v>
      </c>
      <c r="L1342">
        <v>0</v>
      </c>
      <c r="M1342">
        <v>0</v>
      </c>
      <c r="N1342">
        <v>2400</v>
      </c>
    </row>
    <row r="1343" spans="1:14" x14ac:dyDescent="0.25">
      <c r="A1343">
        <v>808.62020600000005</v>
      </c>
      <c r="B1343" s="1">
        <f>DATE(2012,7,17) + TIME(14,53,5)</f>
        <v>41107.620196759257</v>
      </c>
      <c r="C1343">
        <v>80</v>
      </c>
      <c r="D1343">
        <v>79.974456786999994</v>
      </c>
      <c r="E1343">
        <v>50</v>
      </c>
      <c r="F1343">
        <v>46.318363189999999</v>
      </c>
      <c r="G1343">
        <v>1339.7106934000001</v>
      </c>
      <c r="H1343">
        <v>1337.2039795000001</v>
      </c>
      <c r="I1343">
        <v>1326.5708007999999</v>
      </c>
      <c r="J1343">
        <v>1324.6141356999999</v>
      </c>
      <c r="K1343">
        <v>2400</v>
      </c>
      <c r="L1343">
        <v>0</v>
      </c>
      <c r="M1343">
        <v>0</v>
      </c>
      <c r="N1343">
        <v>2400</v>
      </c>
    </row>
    <row r="1344" spans="1:14" x14ac:dyDescent="0.25">
      <c r="A1344">
        <v>809.83091100000001</v>
      </c>
      <c r="B1344" s="1">
        <f>DATE(2012,7,18) + TIME(19,56,30)</f>
        <v>41108.83090277778</v>
      </c>
      <c r="C1344">
        <v>80</v>
      </c>
      <c r="D1344">
        <v>79.974464416999993</v>
      </c>
      <c r="E1344">
        <v>50</v>
      </c>
      <c r="F1344">
        <v>46.292518616000002</v>
      </c>
      <c r="G1344">
        <v>1339.7052002</v>
      </c>
      <c r="H1344">
        <v>1337.2004394999999</v>
      </c>
      <c r="I1344">
        <v>1326.5598144999999</v>
      </c>
      <c r="J1344">
        <v>1324.5964355000001</v>
      </c>
      <c r="K1344">
        <v>2400</v>
      </c>
      <c r="L1344">
        <v>0</v>
      </c>
      <c r="M1344">
        <v>0</v>
      </c>
      <c r="N1344">
        <v>2400</v>
      </c>
    </row>
    <row r="1345" spans="1:14" x14ac:dyDescent="0.25">
      <c r="A1345">
        <v>811.06278299999997</v>
      </c>
      <c r="B1345" s="1">
        <f>DATE(2012,7,20) + TIME(1,30,24)</f>
        <v>41110.062777777777</v>
      </c>
      <c r="C1345">
        <v>80</v>
      </c>
      <c r="D1345">
        <v>79.974464416999993</v>
      </c>
      <c r="E1345">
        <v>50</v>
      </c>
      <c r="F1345">
        <v>46.268066406000003</v>
      </c>
      <c r="G1345">
        <v>1339.6995850000001</v>
      </c>
      <c r="H1345">
        <v>1337.1967772999999</v>
      </c>
      <c r="I1345">
        <v>1326.5488281</v>
      </c>
      <c r="J1345">
        <v>1324.5783690999999</v>
      </c>
      <c r="K1345">
        <v>2400</v>
      </c>
      <c r="L1345">
        <v>0</v>
      </c>
      <c r="M1345">
        <v>0</v>
      </c>
      <c r="N1345">
        <v>2400</v>
      </c>
    </row>
    <row r="1346" spans="1:14" x14ac:dyDescent="0.25">
      <c r="A1346">
        <v>812.31982700000003</v>
      </c>
      <c r="B1346" s="1">
        <f>DATE(2012,7,21) + TIME(7,40,33)</f>
        <v>41111.319826388892</v>
      </c>
      <c r="C1346">
        <v>80</v>
      </c>
      <c r="D1346">
        <v>79.974472046000002</v>
      </c>
      <c r="E1346">
        <v>50</v>
      </c>
      <c r="F1346">
        <v>46.245124816999997</v>
      </c>
      <c r="G1346">
        <v>1339.6939697</v>
      </c>
      <c r="H1346">
        <v>1337.1931152</v>
      </c>
      <c r="I1346">
        <v>1326.5374756000001</v>
      </c>
      <c r="J1346">
        <v>1324.5600586</v>
      </c>
      <c r="K1346">
        <v>2400</v>
      </c>
      <c r="L1346">
        <v>0</v>
      </c>
      <c r="M1346">
        <v>0</v>
      </c>
      <c r="N1346">
        <v>2400</v>
      </c>
    </row>
    <row r="1347" spans="1:14" x14ac:dyDescent="0.25">
      <c r="A1347">
        <v>813.60630800000001</v>
      </c>
      <c r="B1347" s="1">
        <f>DATE(2012,7,22) + TIME(14,33,4)</f>
        <v>41112.606296296297</v>
      </c>
      <c r="C1347">
        <v>80</v>
      </c>
      <c r="D1347">
        <v>79.974479674999998</v>
      </c>
      <c r="E1347">
        <v>50</v>
      </c>
      <c r="F1347">
        <v>46.223834990999997</v>
      </c>
      <c r="G1347">
        <v>1339.6883545000001</v>
      </c>
      <c r="H1347">
        <v>1337.1893310999999</v>
      </c>
      <c r="I1347">
        <v>1326.526001</v>
      </c>
      <c r="J1347">
        <v>1324.5412598</v>
      </c>
      <c r="K1347">
        <v>2400</v>
      </c>
      <c r="L1347">
        <v>0</v>
      </c>
      <c r="M1347">
        <v>0</v>
      </c>
      <c r="N1347">
        <v>2400</v>
      </c>
    </row>
    <row r="1348" spans="1:14" x14ac:dyDescent="0.25">
      <c r="A1348">
        <v>814.92688699999997</v>
      </c>
      <c r="B1348" s="1">
        <f>DATE(2012,7,23) + TIME(22,14,43)</f>
        <v>41113.926886574074</v>
      </c>
      <c r="C1348">
        <v>80</v>
      </c>
      <c r="D1348">
        <v>79.974487304999997</v>
      </c>
      <c r="E1348">
        <v>50</v>
      </c>
      <c r="F1348">
        <v>46.204414368000002</v>
      </c>
      <c r="G1348">
        <v>1339.6826172000001</v>
      </c>
      <c r="H1348">
        <v>1337.1856689000001</v>
      </c>
      <c r="I1348">
        <v>1326.5142822</v>
      </c>
      <c r="J1348">
        <v>1324.5220947</v>
      </c>
      <c r="K1348">
        <v>2400</v>
      </c>
      <c r="L1348">
        <v>0</v>
      </c>
      <c r="M1348">
        <v>0</v>
      </c>
      <c r="N1348">
        <v>2400</v>
      </c>
    </row>
    <row r="1349" spans="1:14" x14ac:dyDescent="0.25">
      <c r="A1349">
        <v>816.24921300000005</v>
      </c>
      <c r="B1349" s="1">
        <f>DATE(2012,7,25) + TIME(5,58,52)</f>
        <v>41115.249212962961</v>
      </c>
      <c r="C1349">
        <v>80</v>
      </c>
      <c r="D1349">
        <v>79.974487304999997</v>
      </c>
      <c r="E1349">
        <v>50</v>
      </c>
      <c r="F1349">
        <v>46.187290191999999</v>
      </c>
      <c r="G1349">
        <v>1339.6768798999999</v>
      </c>
      <c r="H1349">
        <v>1337.1817627</v>
      </c>
      <c r="I1349">
        <v>1326.5023193</v>
      </c>
      <c r="J1349">
        <v>1324.5023193</v>
      </c>
      <c r="K1349">
        <v>2400</v>
      </c>
      <c r="L1349">
        <v>0</v>
      </c>
      <c r="M1349">
        <v>0</v>
      </c>
      <c r="N1349">
        <v>2400</v>
      </c>
    </row>
    <row r="1350" spans="1:14" x14ac:dyDescent="0.25">
      <c r="A1350">
        <v>817.57275900000002</v>
      </c>
      <c r="B1350" s="1">
        <f>DATE(2012,7,26) + TIME(13,44,46)</f>
        <v>41116.572754629633</v>
      </c>
      <c r="C1350">
        <v>80</v>
      </c>
      <c r="D1350">
        <v>79.974494934000006</v>
      </c>
      <c r="E1350">
        <v>50</v>
      </c>
      <c r="F1350">
        <v>46.172847748000002</v>
      </c>
      <c r="G1350">
        <v>1339.6711425999999</v>
      </c>
      <c r="H1350">
        <v>1337.1779785000001</v>
      </c>
      <c r="I1350">
        <v>1326.4902344</v>
      </c>
      <c r="J1350">
        <v>1324.4825439000001</v>
      </c>
      <c r="K1350">
        <v>2400</v>
      </c>
      <c r="L1350">
        <v>0</v>
      </c>
      <c r="M1350">
        <v>0</v>
      </c>
      <c r="N1350">
        <v>2400</v>
      </c>
    </row>
    <row r="1351" spans="1:14" x14ac:dyDescent="0.25">
      <c r="A1351">
        <v>818.90168200000005</v>
      </c>
      <c r="B1351" s="1">
        <f>DATE(2012,7,27) + TIME(21,38,25)</f>
        <v>41117.901678240742</v>
      </c>
      <c r="C1351">
        <v>80</v>
      </c>
      <c r="D1351">
        <v>79.974502563000001</v>
      </c>
      <c r="E1351">
        <v>50</v>
      </c>
      <c r="F1351">
        <v>46.161334990999997</v>
      </c>
      <c r="G1351">
        <v>1339.6654053</v>
      </c>
      <c r="H1351">
        <v>1337.1741943</v>
      </c>
      <c r="I1351">
        <v>1326.4780272999999</v>
      </c>
      <c r="J1351">
        <v>1324.4625243999999</v>
      </c>
      <c r="K1351">
        <v>2400</v>
      </c>
      <c r="L1351">
        <v>0</v>
      </c>
      <c r="M1351">
        <v>0</v>
      </c>
      <c r="N1351">
        <v>2400</v>
      </c>
    </row>
    <row r="1352" spans="1:14" x14ac:dyDescent="0.25">
      <c r="A1352">
        <v>820.24032099999999</v>
      </c>
      <c r="B1352" s="1">
        <f>DATE(2012,7,29) + TIME(5,46,3)</f>
        <v>41119.240312499998</v>
      </c>
      <c r="C1352">
        <v>80</v>
      </c>
      <c r="D1352">
        <v>79.974510193</v>
      </c>
      <c r="E1352">
        <v>50</v>
      </c>
      <c r="F1352">
        <v>46.152973175</v>
      </c>
      <c r="G1352">
        <v>1339.6597899999999</v>
      </c>
      <c r="H1352">
        <v>1337.1704102000001</v>
      </c>
      <c r="I1352">
        <v>1326.4659423999999</v>
      </c>
      <c r="J1352">
        <v>1324.4425048999999</v>
      </c>
      <c r="K1352">
        <v>2400</v>
      </c>
      <c r="L1352">
        <v>0</v>
      </c>
      <c r="M1352">
        <v>0</v>
      </c>
      <c r="N1352">
        <v>2400</v>
      </c>
    </row>
    <row r="1353" spans="1:14" x14ac:dyDescent="0.25">
      <c r="A1353">
        <v>821.59228900000005</v>
      </c>
      <c r="B1353" s="1">
        <f>DATE(2012,7,30) + TIME(14,12,53)</f>
        <v>41120.592280092591</v>
      </c>
      <c r="C1353">
        <v>80</v>
      </c>
      <c r="D1353">
        <v>79.974510193</v>
      </c>
      <c r="E1353">
        <v>50</v>
      </c>
      <c r="F1353">
        <v>46.147998809999997</v>
      </c>
      <c r="G1353">
        <v>1339.6541748</v>
      </c>
      <c r="H1353">
        <v>1337.1667480000001</v>
      </c>
      <c r="I1353">
        <v>1326.4537353999999</v>
      </c>
      <c r="J1353">
        <v>1324.4223632999999</v>
      </c>
      <c r="K1353">
        <v>2400</v>
      </c>
      <c r="L1353">
        <v>0</v>
      </c>
      <c r="M1353">
        <v>0</v>
      </c>
      <c r="N1353">
        <v>2400</v>
      </c>
    </row>
    <row r="1354" spans="1:14" x14ac:dyDescent="0.25">
      <c r="A1354">
        <v>822.29614500000002</v>
      </c>
      <c r="B1354" s="1">
        <f>DATE(2012,7,31) + TIME(7,6,26)</f>
        <v>41121.296134259261</v>
      </c>
      <c r="C1354">
        <v>80</v>
      </c>
      <c r="D1354">
        <v>79.974510193</v>
      </c>
      <c r="E1354">
        <v>50</v>
      </c>
      <c r="F1354">
        <v>46.147041321000003</v>
      </c>
      <c r="G1354">
        <v>1339.6489257999999</v>
      </c>
      <c r="H1354">
        <v>1337.1633300999999</v>
      </c>
      <c r="I1354">
        <v>1326.4426269999999</v>
      </c>
      <c r="J1354">
        <v>1324.4035644999999</v>
      </c>
      <c r="K1354">
        <v>2400</v>
      </c>
      <c r="L1354">
        <v>0</v>
      </c>
      <c r="M1354">
        <v>0</v>
      </c>
      <c r="N1354">
        <v>2400</v>
      </c>
    </row>
    <row r="1355" spans="1:14" x14ac:dyDescent="0.25">
      <c r="A1355">
        <v>823</v>
      </c>
      <c r="B1355" s="1">
        <f>DATE(2012,8,1) + TIME(0,0,0)</f>
        <v>41122</v>
      </c>
      <c r="C1355">
        <v>80</v>
      </c>
      <c r="D1355">
        <v>79.974510193</v>
      </c>
      <c r="E1355">
        <v>50</v>
      </c>
      <c r="F1355">
        <v>46.147743224999999</v>
      </c>
      <c r="G1355">
        <v>1339.6457519999999</v>
      </c>
      <c r="H1355">
        <v>1337.1611327999999</v>
      </c>
      <c r="I1355">
        <v>1326.4346923999999</v>
      </c>
      <c r="J1355">
        <v>1324.3908690999999</v>
      </c>
      <c r="K1355">
        <v>2400</v>
      </c>
      <c r="L1355">
        <v>0</v>
      </c>
      <c r="M1355">
        <v>0</v>
      </c>
      <c r="N1355">
        <v>2400</v>
      </c>
    </row>
    <row r="1356" spans="1:14" x14ac:dyDescent="0.25">
      <c r="A1356">
        <v>824.40771099999995</v>
      </c>
      <c r="B1356" s="1">
        <f>DATE(2012,8,2) + TIME(9,47,6)</f>
        <v>41123.407708333332</v>
      </c>
      <c r="C1356">
        <v>80</v>
      </c>
      <c r="D1356">
        <v>79.974525451999995</v>
      </c>
      <c r="E1356">
        <v>50</v>
      </c>
      <c r="F1356">
        <v>46.150669098000002</v>
      </c>
      <c r="G1356">
        <v>1339.6424560999999</v>
      </c>
      <c r="H1356">
        <v>1337.1588135</v>
      </c>
      <c r="I1356">
        <v>1326.4266356999999</v>
      </c>
      <c r="J1356">
        <v>1324.3779297000001</v>
      </c>
      <c r="K1356">
        <v>2400</v>
      </c>
      <c r="L1356">
        <v>0</v>
      </c>
      <c r="M1356">
        <v>0</v>
      </c>
      <c r="N1356">
        <v>2400</v>
      </c>
    </row>
    <row r="1357" spans="1:14" x14ac:dyDescent="0.25">
      <c r="A1357">
        <v>825.82412499999998</v>
      </c>
      <c r="B1357" s="1">
        <f>DATE(2012,8,3) + TIME(19,46,44)</f>
        <v>41124.824120370373</v>
      </c>
      <c r="C1357">
        <v>80</v>
      </c>
      <c r="D1357">
        <v>79.974540709999999</v>
      </c>
      <c r="E1357">
        <v>50</v>
      </c>
      <c r="F1357">
        <v>46.158134459999999</v>
      </c>
      <c r="G1357">
        <v>1339.6369629000001</v>
      </c>
      <c r="H1357">
        <v>1337.1551514</v>
      </c>
      <c r="I1357">
        <v>1326.4155272999999</v>
      </c>
      <c r="J1357">
        <v>1324.3591309000001</v>
      </c>
      <c r="K1357">
        <v>2400</v>
      </c>
      <c r="L1357">
        <v>0</v>
      </c>
      <c r="M1357">
        <v>0</v>
      </c>
      <c r="N1357">
        <v>2400</v>
      </c>
    </row>
    <row r="1358" spans="1:14" x14ac:dyDescent="0.25">
      <c r="A1358">
        <v>827.27236300000004</v>
      </c>
      <c r="B1358" s="1">
        <f>DATE(2012,8,5) + TIME(6,32,12)</f>
        <v>41126.272361111114</v>
      </c>
      <c r="C1358">
        <v>80</v>
      </c>
      <c r="D1358">
        <v>79.974548339999998</v>
      </c>
      <c r="E1358">
        <v>50</v>
      </c>
      <c r="F1358">
        <v>46.170608520999998</v>
      </c>
      <c r="G1358">
        <v>1339.6313477000001</v>
      </c>
      <c r="H1358">
        <v>1337.1513672000001</v>
      </c>
      <c r="I1358">
        <v>1326.4034423999999</v>
      </c>
      <c r="J1358">
        <v>1324.3388672000001</v>
      </c>
      <c r="K1358">
        <v>2400</v>
      </c>
      <c r="L1358">
        <v>0</v>
      </c>
      <c r="M1358">
        <v>0</v>
      </c>
      <c r="N1358">
        <v>2400</v>
      </c>
    </row>
    <row r="1359" spans="1:14" x14ac:dyDescent="0.25">
      <c r="A1359">
        <v>828.74519999999995</v>
      </c>
      <c r="B1359" s="1">
        <f>DATE(2012,8,6) + TIME(17,53,5)</f>
        <v>41127.745196759257</v>
      </c>
      <c r="C1359">
        <v>80</v>
      </c>
      <c r="D1359">
        <v>79.974555968999994</v>
      </c>
      <c r="E1359">
        <v>50</v>
      </c>
      <c r="F1359">
        <v>46.188690186000002</v>
      </c>
      <c r="G1359">
        <v>1339.6256103999999</v>
      </c>
      <c r="H1359">
        <v>1337.1474608999999</v>
      </c>
      <c r="I1359">
        <v>1326.3909911999999</v>
      </c>
      <c r="J1359">
        <v>1324.3178711</v>
      </c>
      <c r="K1359">
        <v>2400</v>
      </c>
      <c r="L1359">
        <v>0</v>
      </c>
      <c r="M1359">
        <v>0</v>
      </c>
      <c r="N1359">
        <v>2400</v>
      </c>
    </row>
    <row r="1360" spans="1:14" x14ac:dyDescent="0.25">
      <c r="A1360">
        <v>830.240589</v>
      </c>
      <c r="B1360" s="1">
        <f>DATE(2012,8,8) + TIME(5,46,26)</f>
        <v>41129.240578703706</v>
      </c>
      <c r="C1360">
        <v>80</v>
      </c>
      <c r="D1360">
        <v>79.974563599000007</v>
      </c>
      <c r="E1360">
        <v>50</v>
      </c>
      <c r="F1360">
        <v>46.212997436999999</v>
      </c>
      <c r="G1360">
        <v>1339.6198730000001</v>
      </c>
      <c r="H1360">
        <v>1337.1435547000001</v>
      </c>
      <c r="I1360">
        <v>1326.3781738</v>
      </c>
      <c r="J1360">
        <v>1324.2963867000001</v>
      </c>
      <c r="K1360">
        <v>2400</v>
      </c>
      <c r="L1360">
        <v>0</v>
      </c>
      <c r="M1360">
        <v>0</v>
      </c>
      <c r="N1360">
        <v>2400</v>
      </c>
    </row>
    <row r="1361" spans="1:14" x14ac:dyDescent="0.25">
      <c r="A1361">
        <v>831.75847299999998</v>
      </c>
      <c r="B1361" s="1">
        <f>DATE(2012,8,9) + TIME(18,12,12)</f>
        <v>41130.758472222224</v>
      </c>
      <c r="C1361">
        <v>80</v>
      </c>
      <c r="D1361">
        <v>79.974571228000002</v>
      </c>
      <c r="E1361">
        <v>50</v>
      </c>
      <c r="F1361">
        <v>46.244159697999997</v>
      </c>
      <c r="G1361">
        <v>1339.6140137</v>
      </c>
      <c r="H1361">
        <v>1337.1396483999999</v>
      </c>
      <c r="I1361">
        <v>1326.3653564000001</v>
      </c>
      <c r="J1361">
        <v>1324.2747803</v>
      </c>
      <c r="K1361">
        <v>2400</v>
      </c>
      <c r="L1361">
        <v>0</v>
      </c>
      <c r="M1361">
        <v>0</v>
      </c>
      <c r="N1361">
        <v>2400</v>
      </c>
    </row>
    <row r="1362" spans="1:14" x14ac:dyDescent="0.25">
      <c r="A1362">
        <v>833.28038300000003</v>
      </c>
      <c r="B1362" s="1">
        <f>DATE(2012,8,11) + TIME(6,43,45)</f>
        <v>41132.280381944445</v>
      </c>
      <c r="C1362">
        <v>80</v>
      </c>
      <c r="D1362">
        <v>79.974578856999997</v>
      </c>
      <c r="E1362">
        <v>50</v>
      </c>
      <c r="F1362">
        <v>46.282699585000003</v>
      </c>
      <c r="G1362">
        <v>1339.6081543</v>
      </c>
      <c r="H1362">
        <v>1337.1356201000001</v>
      </c>
      <c r="I1362">
        <v>1326.3522949000001</v>
      </c>
      <c r="J1362">
        <v>1324.2530518000001</v>
      </c>
      <c r="K1362">
        <v>2400</v>
      </c>
      <c r="L1362">
        <v>0</v>
      </c>
      <c r="M1362">
        <v>0</v>
      </c>
      <c r="N1362">
        <v>2400</v>
      </c>
    </row>
    <row r="1363" spans="1:14" x14ac:dyDescent="0.25">
      <c r="A1363">
        <v>834.811778</v>
      </c>
      <c r="B1363" s="1">
        <f>DATE(2012,8,12) + TIME(19,28,57)</f>
        <v>41133.81177083333</v>
      </c>
      <c r="C1363">
        <v>80</v>
      </c>
      <c r="D1363">
        <v>79.974594116000006</v>
      </c>
      <c r="E1363">
        <v>50</v>
      </c>
      <c r="F1363">
        <v>46.329059600999997</v>
      </c>
      <c r="G1363">
        <v>1339.6024170000001</v>
      </c>
      <c r="H1363">
        <v>1337.1317139</v>
      </c>
      <c r="I1363">
        <v>1326.3394774999999</v>
      </c>
      <c r="J1363">
        <v>1324.2313231999999</v>
      </c>
      <c r="K1363">
        <v>2400</v>
      </c>
      <c r="L1363">
        <v>0</v>
      </c>
      <c r="M1363">
        <v>0</v>
      </c>
      <c r="N1363">
        <v>2400</v>
      </c>
    </row>
    <row r="1364" spans="1:14" x14ac:dyDescent="0.25">
      <c r="A1364">
        <v>836.35749099999998</v>
      </c>
      <c r="B1364" s="1">
        <f>DATE(2012,8,14) + TIME(8,34,47)</f>
        <v>41135.357488425929</v>
      </c>
      <c r="C1364">
        <v>80</v>
      </c>
      <c r="D1364">
        <v>79.974601746000005</v>
      </c>
      <c r="E1364">
        <v>50</v>
      </c>
      <c r="F1364">
        <v>46.383869171000001</v>
      </c>
      <c r="G1364">
        <v>1339.5966797000001</v>
      </c>
      <c r="H1364">
        <v>1337.1276855000001</v>
      </c>
      <c r="I1364">
        <v>1326.3266602000001</v>
      </c>
      <c r="J1364">
        <v>1324.2098389</v>
      </c>
      <c r="K1364">
        <v>2400</v>
      </c>
      <c r="L1364">
        <v>0</v>
      </c>
      <c r="M1364">
        <v>0</v>
      </c>
      <c r="N1364">
        <v>2400</v>
      </c>
    </row>
    <row r="1365" spans="1:14" x14ac:dyDescent="0.25">
      <c r="A1365">
        <v>837.92245500000001</v>
      </c>
      <c r="B1365" s="1">
        <f>DATE(2012,8,15) + TIME(22,8,20)</f>
        <v>41136.922453703701</v>
      </c>
      <c r="C1365">
        <v>80</v>
      </c>
      <c r="D1365">
        <v>79.974609375</v>
      </c>
      <c r="E1365">
        <v>50</v>
      </c>
      <c r="F1365">
        <v>46.447910309000001</v>
      </c>
      <c r="G1365">
        <v>1339.5908202999999</v>
      </c>
      <c r="H1365">
        <v>1337.1237793</v>
      </c>
      <c r="I1365">
        <v>1326.3138428</v>
      </c>
      <c r="J1365">
        <v>1324.1883545000001</v>
      </c>
      <c r="K1365">
        <v>2400</v>
      </c>
      <c r="L1365">
        <v>0</v>
      </c>
      <c r="M1365">
        <v>0</v>
      </c>
      <c r="N1365">
        <v>2400</v>
      </c>
    </row>
    <row r="1366" spans="1:14" x14ac:dyDescent="0.25">
      <c r="A1366">
        <v>839.51204199999995</v>
      </c>
      <c r="B1366" s="1">
        <f>DATE(2012,8,17) + TIME(12,17,20)</f>
        <v>41138.512037037035</v>
      </c>
      <c r="C1366">
        <v>80</v>
      </c>
      <c r="D1366">
        <v>79.974624633999994</v>
      </c>
      <c r="E1366">
        <v>50</v>
      </c>
      <c r="F1366">
        <v>46.522106170999997</v>
      </c>
      <c r="G1366">
        <v>1339.5850829999999</v>
      </c>
      <c r="H1366">
        <v>1337.119751</v>
      </c>
      <c r="I1366">
        <v>1326.3011475000001</v>
      </c>
      <c r="J1366">
        <v>1324.1669922000001</v>
      </c>
      <c r="K1366">
        <v>2400</v>
      </c>
      <c r="L1366">
        <v>0</v>
      </c>
      <c r="M1366">
        <v>0</v>
      </c>
      <c r="N1366">
        <v>2400</v>
      </c>
    </row>
    <row r="1367" spans="1:14" x14ac:dyDescent="0.25">
      <c r="A1367">
        <v>841.13187400000004</v>
      </c>
      <c r="B1367" s="1">
        <f>DATE(2012,8,19) + TIME(3,9,53)</f>
        <v>41140.131863425922</v>
      </c>
      <c r="C1367">
        <v>80</v>
      </c>
      <c r="D1367">
        <v>79.974632263000004</v>
      </c>
      <c r="E1367">
        <v>50</v>
      </c>
      <c r="F1367">
        <v>46.607540131</v>
      </c>
      <c r="G1367">
        <v>1339.5793457</v>
      </c>
      <c r="H1367">
        <v>1337.1157227000001</v>
      </c>
      <c r="I1367">
        <v>1326.2884521000001</v>
      </c>
      <c r="J1367">
        <v>1324.1456298999999</v>
      </c>
      <c r="K1367">
        <v>2400</v>
      </c>
      <c r="L1367">
        <v>0</v>
      </c>
      <c r="M1367">
        <v>0</v>
      </c>
      <c r="N1367">
        <v>2400</v>
      </c>
    </row>
    <row r="1368" spans="1:14" x14ac:dyDescent="0.25">
      <c r="A1368">
        <v>842.76878999999997</v>
      </c>
      <c r="B1368" s="1">
        <f>DATE(2012,8,20) + TIME(18,27,3)</f>
        <v>41141.768784722219</v>
      </c>
      <c r="C1368">
        <v>80</v>
      </c>
      <c r="D1368">
        <v>79.974647521999998</v>
      </c>
      <c r="E1368">
        <v>50</v>
      </c>
      <c r="F1368">
        <v>46.705120086999997</v>
      </c>
      <c r="G1368">
        <v>1339.5734863</v>
      </c>
      <c r="H1368">
        <v>1337.1116943</v>
      </c>
      <c r="I1368">
        <v>1326.2757568</v>
      </c>
      <c r="J1368">
        <v>1324.1243896000001</v>
      </c>
      <c r="K1368">
        <v>2400</v>
      </c>
      <c r="L1368">
        <v>0</v>
      </c>
      <c r="M1368">
        <v>0</v>
      </c>
      <c r="N1368">
        <v>2400</v>
      </c>
    </row>
    <row r="1369" spans="1:14" x14ac:dyDescent="0.25">
      <c r="A1369">
        <v>844.42703900000004</v>
      </c>
      <c r="B1369" s="1">
        <f>DATE(2012,8,22) + TIME(10,14,56)</f>
        <v>41143.427037037036</v>
      </c>
      <c r="C1369">
        <v>80</v>
      </c>
      <c r="D1369">
        <v>79.974662781000006</v>
      </c>
      <c r="E1369">
        <v>50</v>
      </c>
      <c r="F1369">
        <v>46.815517426</v>
      </c>
      <c r="G1369">
        <v>1339.5676269999999</v>
      </c>
      <c r="H1369">
        <v>1337.1075439000001</v>
      </c>
      <c r="I1369">
        <v>1326.2631836</v>
      </c>
      <c r="J1369">
        <v>1324.1032714999999</v>
      </c>
      <c r="K1369">
        <v>2400</v>
      </c>
      <c r="L1369">
        <v>0</v>
      </c>
      <c r="M1369">
        <v>0</v>
      </c>
      <c r="N1369">
        <v>2400</v>
      </c>
    </row>
    <row r="1370" spans="1:14" x14ac:dyDescent="0.25">
      <c r="A1370">
        <v>846.11210100000005</v>
      </c>
      <c r="B1370" s="1">
        <f>DATE(2012,8,24) + TIME(2,41,25)</f>
        <v>41145.11209490741</v>
      </c>
      <c r="C1370">
        <v>80</v>
      </c>
      <c r="D1370">
        <v>79.974670410000002</v>
      </c>
      <c r="E1370">
        <v>50</v>
      </c>
      <c r="F1370">
        <v>46.939743042000003</v>
      </c>
      <c r="G1370">
        <v>1339.5617675999999</v>
      </c>
      <c r="H1370">
        <v>1337.1033935999999</v>
      </c>
      <c r="I1370">
        <v>1326.2506103999999</v>
      </c>
      <c r="J1370">
        <v>1324.0825195</v>
      </c>
      <c r="K1370">
        <v>2400</v>
      </c>
      <c r="L1370">
        <v>0</v>
      </c>
      <c r="M1370">
        <v>0</v>
      </c>
      <c r="N1370">
        <v>2400</v>
      </c>
    </row>
    <row r="1371" spans="1:14" x14ac:dyDescent="0.25">
      <c r="A1371">
        <v>847.82989499999996</v>
      </c>
      <c r="B1371" s="1">
        <f>DATE(2012,8,25) + TIME(19,55,2)</f>
        <v>41146.829884259256</v>
      </c>
      <c r="C1371">
        <v>80</v>
      </c>
      <c r="D1371">
        <v>79.974685668999996</v>
      </c>
      <c r="E1371">
        <v>50</v>
      </c>
      <c r="F1371">
        <v>47.079036713000001</v>
      </c>
      <c r="G1371">
        <v>1339.5557861</v>
      </c>
      <c r="H1371">
        <v>1337.0992432</v>
      </c>
      <c r="I1371">
        <v>1326.2382812000001</v>
      </c>
      <c r="J1371">
        <v>1324.0618896000001</v>
      </c>
      <c r="K1371">
        <v>2400</v>
      </c>
      <c r="L1371">
        <v>0</v>
      </c>
      <c r="M1371">
        <v>0</v>
      </c>
      <c r="N1371">
        <v>2400</v>
      </c>
    </row>
    <row r="1372" spans="1:14" x14ac:dyDescent="0.25">
      <c r="A1372">
        <v>849.57483200000001</v>
      </c>
      <c r="B1372" s="1">
        <f>DATE(2012,8,27) + TIME(13,47,45)</f>
        <v>41148.574826388889</v>
      </c>
      <c r="C1372">
        <v>80</v>
      </c>
      <c r="D1372">
        <v>79.974700928000004</v>
      </c>
      <c r="E1372">
        <v>50</v>
      </c>
      <c r="F1372">
        <v>47.234531402999998</v>
      </c>
      <c r="G1372">
        <v>1339.5499268000001</v>
      </c>
      <c r="H1372">
        <v>1337.0950928</v>
      </c>
      <c r="I1372">
        <v>1326.2259521000001</v>
      </c>
      <c r="J1372">
        <v>1324.0415039</v>
      </c>
      <c r="K1372">
        <v>2400</v>
      </c>
      <c r="L1372">
        <v>0</v>
      </c>
      <c r="M1372">
        <v>0</v>
      </c>
      <c r="N1372">
        <v>2400</v>
      </c>
    </row>
    <row r="1373" spans="1:14" x14ac:dyDescent="0.25">
      <c r="A1373">
        <v>851.33223499999997</v>
      </c>
      <c r="B1373" s="1">
        <f>DATE(2012,8,29) + TIME(7,58,25)</f>
        <v>41150.332233796296</v>
      </c>
      <c r="C1373">
        <v>80</v>
      </c>
      <c r="D1373">
        <v>79.974716186999999</v>
      </c>
      <c r="E1373">
        <v>50</v>
      </c>
      <c r="F1373">
        <v>47.406551360999998</v>
      </c>
      <c r="G1373">
        <v>1339.5439452999999</v>
      </c>
      <c r="H1373">
        <v>1337.0908202999999</v>
      </c>
      <c r="I1373">
        <v>1326.2137451000001</v>
      </c>
      <c r="J1373">
        <v>1324.0216064000001</v>
      </c>
      <c r="K1373">
        <v>2400</v>
      </c>
      <c r="L1373">
        <v>0</v>
      </c>
      <c r="M1373">
        <v>0</v>
      </c>
      <c r="N1373">
        <v>2400</v>
      </c>
    </row>
    <row r="1374" spans="1:14" x14ac:dyDescent="0.25">
      <c r="A1374">
        <v>853.10843699999998</v>
      </c>
      <c r="B1374" s="1">
        <f>DATE(2012,8,31) + TIME(2,36,8)</f>
        <v>41152.108425925922</v>
      </c>
      <c r="C1374">
        <v>80</v>
      </c>
      <c r="D1374">
        <v>79.974723815999994</v>
      </c>
      <c r="E1374">
        <v>50</v>
      </c>
      <c r="F1374">
        <v>47.595050811999997</v>
      </c>
      <c r="G1374">
        <v>1339.5379639</v>
      </c>
      <c r="H1374">
        <v>1337.0865478999999</v>
      </c>
      <c r="I1374">
        <v>1326.2017822</v>
      </c>
      <c r="J1374">
        <v>1324.0020752</v>
      </c>
      <c r="K1374">
        <v>2400</v>
      </c>
      <c r="L1374">
        <v>0</v>
      </c>
      <c r="M1374">
        <v>0</v>
      </c>
      <c r="N1374">
        <v>2400</v>
      </c>
    </row>
    <row r="1375" spans="1:14" x14ac:dyDescent="0.25">
      <c r="A1375">
        <v>854</v>
      </c>
      <c r="B1375" s="1">
        <f>DATE(2012,9,1) + TIME(0,0,0)</f>
        <v>41153</v>
      </c>
      <c r="C1375">
        <v>80</v>
      </c>
      <c r="D1375">
        <v>79.974723815999994</v>
      </c>
      <c r="E1375">
        <v>50</v>
      </c>
      <c r="F1375">
        <v>47.754280090000002</v>
      </c>
      <c r="G1375">
        <v>1339.5323486</v>
      </c>
      <c r="H1375">
        <v>1337.0826416</v>
      </c>
      <c r="I1375">
        <v>1326.1922606999999</v>
      </c>
      <c r="J1375">
        <v>1323.9847411999999</v>
      </c>
      <c r="K1375">
        <v>2400</v>
      </c>
      <c r="L1375">
        <v>0</v>
      </c>
      <c r="M1375">
        <v>0</v>
      </c>
      <c r="N1375">
        <v>2400</v>
      </c>
    </row>
    <row r="1376" spans="1:14" x14ac:dyDescent="0.25">
      <c r="A1376">
        <v>855.80103299999996</v>
      </c>
      <c r="B1376" s="1">
        <f>DATE(2012,9,2) + TIME(19,13,29)</f>
        <v>41154.801030092596</v>
      </c>
      <c r="C1376">
        <v>80</v>
      </c>
      <c r="D1376">
        <v>79.974746703999998</v>
      </c>
      <c r="E1376">
        <v>50</v>
      </c>
      <c r="F1376">
        <v>47.927360534999998</v>
      </c>
      <c r="G1376">
        <v>1339.5288086</v>
      </c>
      <c r="H1376">
        <v>1337.0798339999999</v>
      </c>
      <c r="I1376">
        <v>1326.1824951000001</v>
      </c>
      <c r="J1376">
        <v>1323.9722899999999</v>
      </c>
      <c r="K1376">
        <v>2400</v>
      </c>
      <c r="L1376">
        <v>0</v>
      </c>
      <c r="M1376">
        <v>0</v>
      </c>
      <c r="N1376">
        <v>2400</v>
      </c>
    </row>
    <row r="1377" spans="1:14" x14ac:dyDescent="0.25">
      <c r="A1377">
        <v>857.635358</v>
      </c>
      <c r="B1377" s="1">
        <f>DATE(2012,9,4) + TIME(15,14,54)</f>
        <v>41156.635347222225</v>
      </c>
      <c r="C1377">
        <v>80</v>
      </c>
      <c r="D1377">
        <v>79.974761963000006</v>
      </c>
      <c r="E1377">
        <v>50</v>
      </c>
      <c r="F1377">
        <v>48.146976471000002</v>
      </c>
      <c r="G1377">
        <v>1339.5229492000001</v>
      </c>
      <c r="H1377">
        <v>1337.0758057</v>
      </c>
      <c r="I1377">
        <v>1326.1723632999999</v>
      </c>
      <c r="J1377">
        <v>1323.9555664</v>
      </c>
      <c r="K1377">
        <v>2400</v>
      </c>
      <c r="L1377">
        <v>0</v>
      </c>
      <c r="M1377">
        <v>0</v>
      </c>
      <c r="N1377">
        <v>2400</v>
      </c>
    </row>
    <row r="1378" spans="1:14" x14ac:dyDescent="0.25">
      <c r="A1378">
        <v>859.48778600000003</v>
      </c>
      <c r="B1378" s="1">
        <f>DATE(2012,9,6) + TIME(11,42,24)</f>
        <v>41158.48777777778</v>
      </c>
      <c r="C1378">
        <v>80</v>
      </c>
      <c r="D1378">
        <v>79.974777222</v>
      </c>
      <c r="E1378">
        <v>50</v>
      </c>
      <c r="F1378">
        <v>48.393100738999998</v>
      </c>
      <c r="G1378">
        <v>1339.5169678</v>
      </c>
      <c r="H1378">
        <v>1337.0715332</v>
      </c>
      <c r="I1378">
        <v>1326.1616211</v>
      </c>
      <c r="J1378">
        <v>1323.9387207</v>
      </c>
      <c r="K1378">
        <v>2400</v>
      </c>
      <c r="L1378">
        <v>0</v>
      </c>
      <c r="M1378">
        <v>0</v>
      </c>
      <c r="N1378">
        <v>2400</v>
      </c>
    </row>
    <row r="1379" spans="1:14" x14ac:dyDescent="0.25">
      <c r="A1379">
        <v>861.36489200000005</v>
      </c>
      <c r="B1379" s="1">
        <f>DATE(2012,9,8) + TIME(8,45,26)</f>
        <v>41160.364884259259</v>
      </c>
      <c r="C1379">
        <v>80</v>
      </c>
      <c r="D1379">
        <v>79.974800110000004</v>
      </c>
      <c r="E1379">
        <v>50</v>
      </c>
      <c r="F1379">
        <v>48.658969878999997</v>
      </c>
      <c r="G1379">
        <v>1339.5109863</v>
      </c>
      <c r="H1379">
        <v>1337.0671387</v>
      </c>
      <c r="I1379">
        <v>1326.151001</v>
      </c>
      <c r="J1379">
        <v>1323.9223632999999</v>
      </c>
      <c r="K1379">
        <v>2400</v>
      </c>
      <c r="L1379">
        <v>0</v>
      </c>
      <c r="M1379">
        <v>0</v>
      </c>
      <c r="N1379">
        <v>2400</v>
      </c>
    </row>
    <row r="1380" spans="1:14" x14ac:dyDescent="0.25">
      <c r="A1380">
        <v>863.27311899999995</v>
      </c>
      <c r="B1380" s="1">
        <f>DATE(2012,9,10) + TIME(6,33,17)</f>
        <v>41162.273113425923</v>
      </c>
      <c r="C1380">
        <v>80</v>
      </c>
      <c r="D1380">
        <v>79.974815368999998</v>
      </c>
      <c r="E1380">
        <v>50</v>
      </c>
      <c r="F1380">
        <v>48.942943573000001</v>
      </c>
      <c r="G1380">
        <v>1339.5050048999999</v>
      </c>
      <c r="H1380">
        <v>1337.0627440999999</v>
      </c>
      <c r="I1380">
        <v>1326.140625</v>
      </c>
      <c r="J1380">
        <v>1323.9066161999999</v>
      </c>
      <c r="K1380">
        <v>2400</v>
      </c>
      <c r="L1380">
        <v>0</v>
      </c>
      <c r="M1380">
        <v>0</v>
      </c>
      <c r="N1380">
        <v>2400</v>
      </c>
    </row>
    <row r="1381" spans="1:14" x14ac:dyDescent="0.25">
      <c r="A1381">
        <v>865.21962699999995</v>
      </c>
      <c r="B1381" s="1">
        <f>DATE(2012,9,12) + TIME(5,16,15)</f>
        <v>41164.219618055555</v>
      </c>
      <c r="C1381">
        <v>80</v>
      </c>
      <c r="D1381">
        <v>79.974830627000003</v>
      </c>
      <c r="E1381">
        <v>50</v>
      </c>
      <c r="F1381">
        <v>49.244781494000001</v>
      </c>
      <c r="G1381">
        <v>1339.4989014</v>
      </c>
      <c r="H1381">
        <v>1337.0583495999999</v>
      </c>
      <c r="I1381">
        <v>1326.1304932</v>
      </c>
      <c r="J1381">
        <v>1323.8916016000001</v>
      </c>
      <c r="K1381">
        <v>2400</v>
      </c>
      <c r="L1381">
        <v>0</v>
      </c>
      <c r="M1381">
        <v>0</v>
      </c>
      <c r="N1381">
        <v>2400</v>
      </c>
    </row>
    <row r="1382" spans="1:14" x14ac:dyDescent="0.25">
      <c r="A1382">
        <v>867.18427699999995</v>
      </c>
      <c r="B1382" s="1">
        <f>DATE(2012,9,14) + TIME(4,25,21)</f>
        <v>41166.184270833335</v>
      </c>
      <c r="C1382">
        <v>80</v>
      </c>
      <c r="D1382">
        <v>79.974845885999997</v>
      </c>
      <c r="E1382">
        <v>50</v>
      </c>
      <c r="F1382">
        <v>49.563533782999997</v>
      </c>
      <c r="G1382">
        <v>1339.4929199000001</v>
      </c>
      <c r="H1382">
        <v>1337.0539550999999</v>
      </c>
      <c r="I1382">
        <v>1326.1207274999999</v>
      </c>
      <c r="J1382">
        <v>1323.8774414</v>
      </c>
      <c r="K1382">
        <v>2400</v>
      </c>
      <c r="L1382">
        <v>0</v>
      </c>
      <c r="M1382">
        <v>0</v>
      </c>
      <c r="N1382">
        <v>2400</v>
      </c>
    </row>
    <row r="1383" spans="1:14" x14ac:dyDescent="0.25">
      <c r="A1383">
        <v>869.16882599999997</v>
      </c>
      <c r="B1383" s="1">
        <f>DATE(2012,9,16) + TIME(4,3,6)</f>
        <v>41168.168819444443</v>
      </c>
      <c r="C1383">
        <v>80</v>
      </c>
      <c r="D1383">
        <v>79.974868774000001</v>
      </c>
      <c r="E1383">
        <v>50</v>
      </c>
      <c r="F1383">
        <v>49.896514893000003</v>
      </c>
      <c r="G1383">
        <v>1339.4868164</v>
      </c>
      <c r="H1383">
        <v>1337.0494385</v>
      </c>
      <c r="I1383">
        <v>1326.1113281</v>
      </c>
      <c r="J1383">
        <v>1323.8641356999999</v>
      </c>
      <c r="K1383">
        <v>2400</v>
      </c>
      <c r="L1383">
        <v>0</v>
      </c>
      <c r="M1383">
        <v>0</v>
      </c>
      <c r="N1383">
        <v>2400</v>
      </c>
    </row>
    <row r="1384" spans="1:14" x14ac:dyDescent="0.25">
      <c r="A1384">
        <v>871.18607899999995</v>
      </c>
      <c r="B1384" s="1">
        <f>DATE(2012,9,18) + TIME(4,27,57)</f>
        <v>41170.186076388891</v>
      </c>
      <c r="C1384">
        <v>80</v>
      </c>
      <c r="D1384">
        <v>79.974884032999995</v>
      </c>
      <c r="E1384">
        <v>50</v>
      </c>
      <c r="F1384">
        <v>50.242370604999998</v>
      </c>
      <c r="G1384">
        <v>1339.4807129000001</v>
      </c>
      <c r="H1384">
        <v>1337.0450439000001</v>
      </c>
      <c r="I1384">
        <v>1326.1024170000001</v>
      </c>
      <c r="J1384">
        <v>1323.8519286999999</v>
      </c>
      <c r="K1384">
        <v>2400</v>
      </c>
      <c r="L1384">
        <v>0</v>
      </c>
      <c r="M1384">
        <v>0</v>
      </c>
      <c r="N1384">
        <v>2400</v>
      </c>
    </row>
    <row r="1385" spans="1:14" x14ac:dyDescent="0.25">
      <c r="A1385">
        <v>873.24361099999999</v>
      </c>
      <c r="B1385" s="1">
        <f>DATE(2012,9,20) + TIME(5,50,48)</f>
        <v>41172.243611111109</v>
      </c>
      <c r="C1385">
        <v>80</v>
      </c>
      <c r="D1385">
        <v>79.974899292000003</v>
      </c>
      <c r="E1385">
        <v>50</v>
      </c>
      <c r="F1385">
        <v>50.601173400999997</v>
      </c>
      <c r="G1385">
        <v>1339.4746094</v>
      </c>
      <c r="H1385">
        <v>1337.0405272999999</v>
      </c>
      <c r="I1385">
        <v>1326.0939940999999</v>
      </c>
      <c r="J1385">
        <v>1323.8405762</v>
      </c>
      <c r="K1385">
        <v>2400</v>
      </c>
      <c r="L1385">
        <v>0</v>
      </c>
      <c r="M1385">
        <v>0</v>
      </c>
      <c r="N1385">
        <v>2400</v>
      </c>
    </row>
    <row r="1386" spans="1:14" x14ac:dyDescent="0.25">
      <c r="A1386">
        <v>875.33388200000002</v>
      </c>
      <c r="B1386" s="1">
        <f>DATE(2012,9,22) + TIME(8,0,47)</f>
        <v>41174.333877314813</v>
      </c>
      <c r="C1386">
        <v>80</v>
      </c>
      <c r="D1386">
        <v>79.974922179999993</v>
      </c>
      <c r="E1386">
        <v>50</v>
      </c>
      <c r="F1386">
        <v>50.972099303999997</v>
      </c>
      <c r="G1386">
        <v>1339.4685059000001</v>
      </c>
      <c r="H1386">
        <v>1337.0360106999999</v>
      </c>
      <c r="I1386">
        <v>1326.0860596</v>
      </c>
      <c r="J1386">
        <v>1323.8300781</v>
      </c>
      <c r="K1386">
        <v>2400</v>
      </c>
      <c r="L1386">
        <v>0</v>
      </c>
      <c r="M1386">
        <v>0</v>
      </c>
      <c r="N1386">
        <v>2400</v>
      </c>
    </row>
    <row r="1387" spans="1:14" x14ac:dyDescent="0.25">
      <c r="A1387">
        <v>877.44254799999999</v>
      </c>
      <c r="B1387" s="1">
        <f>DATE(2012,9,24) + TIME(10,37,16)</f>
        <v>41176.442546296297</v>
      </c>
      <c r="C1387">
        <v>80</v>
      </c>
      <c r="D1387">
        <v>79.974937439000001</v>
      </c>
      <c r="E1387">
        <v>50</v>
      </c>
      <c r="F1387">
        <v>51.352375031000001</v>
      </c>
      <c r="G1387">
        <v>1339.4622803</v>
      </c>
      <c r="H1387">
        <v>1337.0314940999999</v>
      </c>
      <c r="I1387">
        <v>1326.0786132999999</v>
      </c>
      <c r="J1387">
        <v>1323.8206786999999</v>
      </c>
      <c r="K1387">
        <v>2400</v>
      </c>
      <c r="L1387">
        <v>0</v>
      </c>
      <c r="M1387">
        <v>0</v>
      </c>
      <c r="N1387">
        <v>2400</v>
      </c>
    </row>
    <row r="1388" spans="1:14" x14ac:dyDescent="0.25">
      <c r="A1388">
        <v>879.57827399999996</v>
      </c>
      <c r="B1388" s="1">
        <f>DATE(2012,9,26) + TIME(13,52,42)</f>
        <v>41178.578263888892</v>
      </c>
      <c r="C1388">
        <v>80</v>
      </c>
      <c r="D1388">
        <v>79.974960327000005</v>
      </c>
      <c r="E1388">
        <v>50</v>
      </c>
      <c r="F1388">
        <v>51.738861084</v>
      </c>
      <c r="G1388">
        <v>1339.4561768000001</v>
      </c>
      <c r="H1388">
        <v>1337.0269774999999</v>
      </c>
      <c r="I1388">
        <v>1326.0716553</v>
      </c>
      <c r="J1388">
        <v>1323.8123779</v>
      </c>
      <c r="K1388">
        <v>2400</v>
      </c>
      <c r="L1388">
        <v>0</v>
      </c>
      <c r="M1388">
        <v>0</v>
      </c>
      <c r="N1388">
        <v>2400</v>
      </c>
    </row>
    <row r="1389" spans="1:14" x14ac:dyDescent="0.25">
      <c r="A1389">
        <v>881.74898700000006</v>
      </c>
      <c r="B1389" s="1">
        <f>DATE(2012,9,28) + TIME(17,58,32)</f>
        <v>41180.748981481483</v>
      </c>
      <c r="C1389">
        <v>80</v>
      </c>
      <c r="D1389">
        <v>79.974983214999995</v>
      </c>
      <c r="E1389">
        <v>50</v>
      </c>
      <c r="F1389">
        <v>52.130512238000001</v>
      </c>
      <c r="G1389">
        <v>1339.4500731999999</v>
      </c>
      <c r="H1389">
        <v>1337.0224608999999</v>
      </c>
      <c r="I1389">
        <v>1326.0653076000001</v>
      </c>
      <c r="J1389">
        <v>1323.8050536999999</v>
      </c>
      <c r="K1389">
        <v>2400</v>
      </c>
      <c r="L1389">
        <v>0</v>
      </c>
      <c r="M1389">
        <v>0</v>
      </c>
      <c r="N1389">
        <v>2400</v>
      </c>
    </row>
    <row r="1390" spans="1:14" x14ac:dyDescent="0.25">
      <c r="A1390">
        <v>884</v>
      </c>
      <c r="B1390" s="1">
        <f>DATE(2012,10,1) + TIME(0,0,0)</f>
        <v>41183</v>
      </c>
      <c r="C1390">
        <v>80</v>
      </c>
      <c r="D1390">
        <v>79.975006104000002</v>
      </c>
      <c r="E1390">
        <v>50</v>
      </c>
      <c r="F1390">
        <v>52.528373717999997</v>
      </c>
      <c r="G1390">
        <v>1339.4439697</v>
      </c>
      <c r="H1390">
        <v>1337.0179443</v>
      </c>
      <c r="I1390">
        <v>1326.0595702999999</v>
      </c>
      <c r="J1390">
        <v>1323.7987060999999</v>
      </c>
      <c r="K1390">
        <v>2400</v>
      </c>
      <c r="L1390">
        <v>0</v>
      </c>
      <c r="M1390">
        <v>0</v>
      </c>
      <c r="N1390">
        <v>2400</v>
      </c>
    </row>
    <row r="1391" spans="1:14" x14ac:dyDescent="0.25">
      <c r="A1391">
        <v>886.21365700000001</v>
      </c>
      <c r="B1391" s="1">
        <f>DATE(2012,10,3) + TIME(5,7,39)</f>
        <v>41185.213645833333</v>
      </c>
      <c r="C1391">
        <v>80</v>
      </c>
      <c r="D1391">
        <v>79.975021362000007</v>
      </c>
      <c r="E1391">
        <v>50</v>
      </c>
      <c r="F1391">
        <v>52.931163787999999</v>
      </c>
      <c r="G1391">
        <v>1339.4377440999999</v>
      </c>
      <c r="H1391">
        <v>1337.0133057</v>
      </c>
      <c r="I1391">
        <v>1326.0544434000001</v>
      </c>
      <c r="J1391">
        <v>1323.7933350000001</v>
      </c>
      <c r="K1391">
        <v>2400</v>
      </c>
      <c r="L1391">
        <v>0</v>
      </c>
      <c r="M1391">
        <v>0</v>
      </c>
      <c r="N1391">
        <v>2400</v>
      </c>
    </row>
    <row r="1392" spans="1:14" x14ac:dyDescent="0.25">
      <c r="A1392">
        <v>888.53573300000005</v>
      </c>
      <c r="B1392" s="1">
        <f>DATE(2012,10,5) + TIME(12,51,27)</f>
        <v>41187.535729166666</v>
      </c>
      <c r="C1392">
        <v>80</v>
      </c>
      <c r="D1392">
        <v>79.975044249999996</v>
      </c>
      <c r="E1392">
        <v>50</v>
      </c>
      <c r="F1392">
        <v>53.331104279000002</v>
      </c>
      <c r="G1392">
        <v>1339.4316406</v>
      </c>
      <c r="H1392">
        <v>1337.0089111</v>
      </c>
      <c r="I1392">
        <v>1326.0498047000001</v>
      </c>
      <c r="J1392">
        <v>1323.7890625</v>
      </c>
      <c r="K1392">
        <v>2400</v>
      </c>
      <c r="L1392">
        <v>0</v>
      </c>
      <c r="M1392">
        <v>0</v>
      </c>
      <c r="N1392">
        <v>2400</v>
      </c>
    </row>
    <row r="1393" spans="1:14" x14ac:dyDescent="0.25">
      <c r="A1393">
        <v>890.87114799999995</v>
      </c>
      <c r="B1393" s="1">
        <f>DATE(2012,10,7) + TIME(20,54,27)</f>
        <v>41189.871145833335</v>
      </c>
      <c r="C1393">
        <v>80</v>
      </c>
      <c r="D1393">
        <v>79.975067139000004</v>
      </c>
      <c r="E1393">
        <v>50</v>
      </c>
      <c r="F1393">
        <v>53.736270904999998</v>
      </c>
      <c r="G1393">
        <v>1339.425293</v>
      </c>
      <c r="H1393">
        <v>1337.0042725000001</v>
      </c>
      <c r="I1393">
        <v>1326.0457764</v>
      </c>
      <c r="J1393">
        <v>1323.7855225000001</v>
      </c>
      <c r="K1393">
        <v>2400</v>
      </c>
      <c r="L1393">
        <v>0</v>
      </c>
      <c r="M1393">
        <v>0</v>
      </c>
      <c r="N1393">
        <v>2400</v>
      </c>
    </row>
    <row r="1394" spans="1:14" x14ac:dyDescent="0.25">
      <c r="A1394">
        <v>893.21889899999996</v>
      </c>
      <c r="B1394" s="1">
        <f>DATE(2012,10,10) + TIME(5,15,12)</f>
        <v>41192.218888888892</v>
      </c>
      <c r="C1394">
        <v>80</v>
      </c>
      <c r="D1394">
        <v>79.975090026999993</v>
      </c>
      <c r="E1394">
        <v>50</v>
      </c>
      <c r="F1394">
        <v>54.137638092000003</v>
      </c>
      <c r="G1394">
        <v>1339.4191894999999</v>
      </c>
      <c r="H1394">
        <v>1336.9997559000001</v>
      </c>
      <c r="I1394">
        <v>1326.0424805</v>
      </c>
      <c r="J1394">
        <v>1323.7832031</v>
      </c>
      <c r="K1394">
        <v>2400</v>
      </c>
      <c r="L1394">
        <v>0</v>
      </c>
      <c r="M1394">
        <v>0</v>
      </c>
      <c r="N1394">
        <v>2400</v>
      </c>
    </row>
    <row r="1395" spans="1:14" x14ac:dyDescent="0.25">
      <c r="A1395">
        <v>895.58943499999998</v>
      </c>
      <c r="B1395" s="1">
        <f>DATE(2012,10,12) + TIME(14,8,47)</f>
        <v>41194.589432870373</v>
      </c>
      <c r="C1395">
        <v>80</v>
      </c>
      <c r="D1395">
        <v>79.975112914999997</v>
      </c>
      <c r="E1395">
        <v>50</v>
      </c>
      <c r="F1395">
        <v>54.532600403000004</v>
      </c>
      <c r="G1395">
        <v>1339.4129639</v>
      </c>
      <c r="H1395">
        <v>1336.9952393000001</v>
      </c>
      <c r="I1395">
        <v>1326.0397949000001</v>
      </c>
      <c r="J1395">
        <v>1323.7817382999999</v>
      </c>
      <c r="K1395">
        <v>2400</v>
      </c>
      <c r="L1395">
        <v>0</v>
      </c>
      <c r="M1395">
        <v>0</v>
      </c>
      <c r="N1395">
        <v>2400</v>
      </c>
    </row>
    <row r="1396" spans="1:14" x14ac:dyDescent="0.25">
      <c r="A1396">
        <v>897.99339399999997</v>
      </c>
      <c r="B1396" s="1">
        <f>DATE(2012,10,14) + TIME(23,50,29)</f>
        <v>41196.993391203701</v>
      </c>
      <c r="C1396">
        <v>80</v>
      </c>
      <c r="D1396">
        <v>79.975135803000001</v>
      </c>
      <c r="E1396">
        <v>50</v>
      </c>
      <c r="F1396">
        <v>54.921211243000002</v>
      </c>
      <c r="G1396">
        <v>1339.4068603999999</v>
      </c>
      <c r="H1396">
        <v>1336.9907227000001</v>
      </c>
      <c r="I1396">
        <v>1326.0377197</v>
      </c>
      <c r="J1396">
        <v>1323.7811279</v>
      </c>
      <c r="K1396">
        <v>2400</v>
      </c>
      <c r="L1396">
        <v>0</v>
      </c>
      <c r="M1396">
        <v>0</v>
      </c>
      <c r="N1396">
        <v>2400</v>
      </c>
    </row>
    <row r="1397" spans="1:14" x14ac:dyDescent="0.25">
      <c r="A1397">
        <v>900.44163100000003</v>
      </c>
      <c r="B1397" s="1">
        <f>DATE(2012,10,17) + TIME(10,35,56)</f>
        <v>41199.441620370373</v>
      </c>
      <c r="C1397">
        <v>80</v>
      </c>
      <c r="D1397">
        <v>79.975158691000004</v>
      </c>
      <c r="E1397">
        <v>50</v>
      </c>
      <c r="F1397">
        <v>55.304000854000002</v>
      </c>
      <c r="G1397">
        <v>1339.4008789</v>
      </c>
      <c r="H1397">
        <v>1336.9863281</v>
      </c>
      <c r="I1397">
        <v>1326.0361327999999</v>
      </c>
      <c r="J1397">
        <v>1323.7813721</v>
      </c>
      <c r="K1397">
        <v>2400</v>
      </c>
      <c r="L1397">
        <v>0</v>
      </c>
      <c r="M1397">
        <v>0</v>
      </c>
      <c r="N1397">
        <v>2400</v>
      </c>
    </row>
    <row r="1398" spans="1:14" x14ac:dyDescent="0.25">
      <c r="A1398">
        <v>902.94632200000001</v>
      </c>
      <c r="B1398" s="1">
        <f>DATE(2012,10,19) + TIME(22,42,42)</f>
        <v>41201.946319444447</v>
      </c>
      <c r="C1398">
        <v>80</v>
      </c>
      <c r="D1398">
        <v>79.975181579999997</v>
      </c>
      <c r="E1398">
        <v>50</v>
      </c>
      <c r="F1398">
        <v>55.681720734000002</v>
      </c>
      <c r="G1398">
        <v>1339.3947754000001</v>
      </c>
      <c r="H1398">
        <v>1336.9819336</v>
      </c>
      <c r="I1398">
        <v>1326.0351562000001</v>
      </c>
      <c r="J1398">
        <v>1323.7823486</v>
      </c>
      <c r="K1398">
        <v>2400</v>
      </c>
      <c r="L1398">
        <v>0</v>
      </c>
      <c r="M1398">
        <v>0</v>
      </c>
      <c r="N1398">
        <v>2400</v>
      </c>
    </row>
    <row r="1399" spans="1:14" x14ac:dyDescent="0.25">
      <c r="A1399">
        <v>905.51883099999998</v>
      </c>
      <c r="B1399" s="1">
        <f>DATE(2012,10,22) + TIME(12,27,6)</f>
        <v>41204.518819444442</v>
      </c>
      <c r="C1399">
        <v>80</v>
      </c>
      <c r="D1399">
        <v>79.975204468000001</v>
      </c>
      <c r="E1399">
        <v>50</v>
      </c>
      <c r="F1399">
        <v>56.055248259999999</v>
      </c>
      <c r="G1399">
        <v>1339.3886719</v>
      </c>
      <c r="H1399">
        <v>1336.9775391000001</v>
      </c>
      <c r="I1399">
        <v>1326.034668</v>
      </c>
      <c r="J1399">
        <v>1323.7840576000001</v>
      </c>
      <c r="K1399">
        <v>2400</v>
      </c>
      <c r="L1399">
        <v>0</v>
      </c>
      <c r="M1399">
        <v>0</v>
      </c>
      <c r="N1399">
        <v>2400</v>
      </c>
    </row>
    <row r="1400" spans="1:14" x14ac:dyDescent="0.25">
      <c r="A1400">
        <v>908.14418499999999</v>
      </c>
      <c r="B1400" s="1">
        <f>DATE(2012,10,25) + TIME(3,27,37)</f>
        <v>41207.144178240742</v>
      </c>
      <c r="C1400">
        <v>80</v>
      </c>
      <c r="D1400">
        <v>79.975227356000005</v>
      </c>
      <c r="E1400">
        <v>50</v>
      </c>
      <c r="F1400">
        <v>56.424133300999998</v>
      </c>
      <c r="G1400">
        <v>1339.3825684000001</v>
      </c>
      <c r="H1400">
        <v>1336.9731445</v>
      </c>
      <c r="I1400">
        <v>1326.034668</v>
      </c>
      <c r="J1400">
        <v>1323.7863769999999</v>
      </c>
      <c r="K1400">
        <v>2400</v>
      </c>
      <c r="L1400">
        <v>0</v>
      </c>
      <c r="M1400">
        <v>0</v>
      </c>
      <c r="N1400">
        <v>2400</v>
      </c>
    </row>
    <row r="1401" spans="1:14" x14ac:dyDescent="0.25">
      <c r="A1401">
        <v>910.79836999999998</v>
      </c>
      <c r="B1401" s="1">
        <f>DATE(2012,10,27) + TIME(19,9,39)</f>
        <v>41209.798368055555</v>
      </c>
      <c r="C1401">
        <v>80</v>
      </c>
      <c r="D1401">
        <v>79.975257873999993</v>
      </c>
      <c r="E1401">
        <v>50</v>
      </c>
      <c r="F1401">
        <v>56.786003113</v>
      </c>
      <c r="G1401">
        <v>1339.3763428</v>
      </c>
      <c r="H1401">
        <v>1336.9686279</v>
      </c>
      <c r="I1401">
        <v>1326.0351562000001</v>
      </c>
      <c r="J1401">
        <v>1323.7894286999999</v>
      </c>
      <c r="K1401">
        <v>2400</v>
      </c>
      <c r="L1401">
        <v>0</v>
      </c>
      <c r="M1401">
        <v>0</v>
      </c>
      <c r="N1401">
        <v>2400</v>
      </c>
    </row>
    <row r="1402" spans="1:14" x14ac:dyDescent="0.25">
      <c r="A1402">
        <v>913.49210900000003</v>
      </c>
      <c r="B1402" s="1">
        <f>DATE(2012,10,30) + TIME(11,48,38)</f>
        <v>41212.492106481484</v>
      </c>
      <c r="C1402">
        <v>80</v>
      </c>
      <c r="D1402">
        <v>79.975280761999997</v>
      </c>
      <c r="E1402">
        <v>50</v>
      </c>
      <c r="F1402">
        <v>57.137775421000001</v>
      </c>
      <c r="G1402">
        <v>1339.3703613</v>
      </c>
      <c r="H1402">
        <v>1336.9643555</v>
      </c>
      <c r="I1402">
        <v>1326.0361327999999</v>
      </c>
      <c r="J1402">
        <v>1323.7930908000001</v>
      </c>
      <c r="K1402">
        <v>2400</v>
      </c>
      <c r="L1402">
        <v>0</v>
      </c>
      <c r="M1402">
        <v>0</v>
      </c>
      <c r="N1402">
        <v>2400</v>
      </c>
    </row>
    <row r="1403" spans="1:14" x14ac:dyDescent="0.25">
      <c r="A1403">
        <v>915</v>
      </c>
      <c r="B1403" s="1">
        <f>DATE(2012,11,1) + TIME(0,0,0)</f>
        <v>41214</v>
      </c>
      <c r="C1403">
        <v>80</v>
      </c>
      <c r="D1403">
        <v>79.975288391000007</v>
      </c>
      <c r="E1403">
        <v>50</v>
      </c>
      <c r="F1403">
        <v>57.436073303000001</v>
      </c>
      <c r="G1403">
        <v>1339.364624</v>
      </c>
      <c r="H1403">
        <v>1336.9603271000001</v>
      </c>
      <c r="I1403">
        <v>1326.0390625</v>
      </c>
      <c r="J1403">
        <v>1323.7977295000001</v>
      </c>
      <c r="K1403">
        <v>2400</v>
      </c>
      <c r="L1403">
        <v>0</v>
      </c>
      <c r="M1403">
        <v>0</v>
      </c>
      <c r="N1403">
        <v>2400</v>
      </c>
    </row>
    <row r="1404" spans="1:14" x14ac:dyDescent="0.25">
      <c r="A1404">
        <v>915.000001</v>
      </c>
      <c r="B1404" s="1">
        <f>DATE(2012,11,1) + TIME(0,0,0)</f>
        <v>41214</v>
      </c>
      <c r="C1404">
        <v>80</v>
      </c>
      <c r="D1404">
        <v>79.975250243999994</v>
      </c>
      <c r="E1404">
        <v>50</v>
      </c>
      <c r="F1404">
        <v>57.436088562000002</v>
      </c>
      <c r="G1404">
        <v>1336.9495850000001</v>
      </c>
      <c r="H1404">
        <v>1336.6314697</v>
      </c>
      <c r="I1404">
        <v>1328.5054932</v>
      </c>
      <c r="J1404">
        <v>1326.0526123</v>
      </c>
      <c r="K1404">
        <v>0</v>
      </c>
      <c r="L1404">
        <v>2400</v>
      </c>
      <c r="M1404">
        <v>2400</v>
      </c>
      <c r="N1404">
        <v>0</v>
      </c>
    </row>
    <row r="1405" spans="1:14" x14ac:dyDescent="0.25">
      <c r="A1405">
        <v>915.00000399999999</v>
      </c>
      <c r="B1405" s="1">
        <f>DATE(2012,11,1) + TIME(0,0,0)</f>
        <v>41214</v>
      </c>
      <c r="C1405">
        <v>80</v>
      </c>
      <c r="D1405">
        <v>79.975151061999995</v>
      </c>
      <c r="E1405">
        <v>50</v>
      </c>
      <c r="F1405">
        <v>57.436126709</v>
      </c>
      <c r="G1405">
        <v>1336.9182129000001</v>
      </c>
      <c r="H1405">
        <v>1336.6013184000001</v>
      </c>
      <c r="I1405">
        <v>1328.5361327999999</v>
      </c>
      <c r="J1405">
        <v>1326.0924072</v>
      </c>
      <c r="K1405">
        <v>0</v>
      </c>
      <c r="L1405">
        <v>2400</v>
      </c>
      <c r="M1405">
        <v>2400</v>
      </c>
      <c r="N1405">
        <v>0</v>
      </c>
    </row>
    <row r="1406" spans="1:14" x14ac:dyDescent="0.25">
      <c r="A1406">
        <v>915.00001299999997</v>
      </c>
      <c r="B1406" s="1">
        <f>DATE(2012,11,1) + TIME(0,0,1)</f>
        <v>41214.000011574077</v>
      </c>
      <c r="C1406">
        <v>80</v>
      </c>
      <c r="D1406">
        <v>79.974868774000001</v>
      </c>
      <c r="E1406">
        <v>50</v>
      </c>
      <c r="F1406">
        <v>57.436237335000001</v>
      </c>
      <c r="G1406">
        <v>1336.8298339999999</v>
      </c>
      <c r="H1406">
        <v>1336.5159911999999</v>
      </c>
      <c r="I1406">
        <v>1328.6248779</v>
      </c>
      <c r="J1406">
        <v>1326.2060547000001</v>
      </c>
      <c r="K1406">
        <v>0</v>
      </c>
      <c r="L1406">
        <v>2400</v>
      </c>
      <c r="M1406">
        <v>2400</v>
      </c>
      <c r="N1406">
        <v>0</v>
      </c>
    </row>
    <row r="1407" spans="1:14" x14ac:dyDescent="0.25">
      <c r="A1407">
        <v>915.00004000000001</v>
      </c>
      <c r="B1407" s="1">
        <f>DATE(2012,11,1) + TIME(0,0,3)</f>
        <v>41214.000034722223</v>
      </c>
      <c r="C1407">
        <v>80</v>
      </c>
      <c r="D1407">
        <v>79.974143982000001</v>
      </c>
      <c r="E1407">
        <v>50</v>
      </c>
      <c r="F1407">
        <v>57.436492919999999</v>
      </c>
      <c r="G1407">
        <v>1336.6055908000001</v>
      </c>
      <c r="H1407">
        <v>1336.2977295000001</v>
      </c>
      <c r="I1407">
        <v>1328.8645019999999</v>
      </c>
      <c r="J1407">
        <v>1326.503418</v>
      </c>
      <c r="K1407">
        <v>0</v>
      </c>
      <c r="L1407">
        <v>2400</v>
      </c>
      <c r="M1407">
        <v>2400</v>
      </c>
      <c r="N1407">
        <v>0</v>
      </c>
    </row>
    <row r="1408" spans="1:14" x14ac:dyDescent="0.25">
      <c r="A1408">
        <v>915.00012100000004</v>
      </c>
      <c r="B1408" s="1">
        <f>DATE(2012,11,1) + TIME(0,0,10)</f>
        <v>41214.000115740739</v>
      </c>
      <c r="C1408">
        <v>80</v>
      </c>
      <c r="D1408">
        <v>79.972671508999994</v>
      </c>
      <c r="E1408">
        <v>50</v>
      </c>
      <c r="F1408">
        <v>57.436862945999998</v>
      </c>
      <c r="G1408">
        <v>1336.1486815999999</v>
      </c>
      <c r="H1408">
        <v>1335.8453368999999</v>
      </c>
      <c r="I1408">
        <v>1329.4193115</v>
      </c>
      <c r="J1408">
        <v>1327.1478271000001</v>
      </c>
      <c r="K1408">
        <v>0</v>
      </c>
      <c r="L1408">
        <v>2400</v>
      </c>
      <c r="M1408">
        <v>2400</v>
      </c>
      <c r="N1408">
        <v>0</v>
      </c>
    </row>
    <row r="1409" spans="1:14" x14ac:dyDescent="0.25">
      <c r="A1409">
        <v>915.00036399999999</v>
      </c>
      <c r="B1409" s="1">
        <f>DATE(2012,11,1) + TIME(0,0,31)</f>
        <v>41214.000358796293</v>
      </c>
      <c r="C1409">
        <v>80</v>
      </c>
      <c r="D1409">
        <v>79.970458984000004</v>
      </c>
      <c r="E1409">
        <v>50</v>
      </c>
      <c r="F1409">
        <v>57.435905456999997</v>
      </c>
      <c r="G1409">
        <v>1335.4674072</v>
      </c>
      <c r="H1409">
        <v>1335.1563721</v>
      </c>
      <c r="I1409">
        <v>1330.3975829999999</v>
      </c>
      <c r="J1409">
        <v>1328.1760254000001</v>
      </c>
      <c r="K1409">
        <v>0</v>
      </c>
      <c r="L1409">
        <v>2400</v>
      </c>
      <c r="M1409">
        <v>2400</v>
      </c>
      <c r="N1409">
        <v>0</v>
      </c>
    </row>
    <row r="1410" spans="1:14" x14ac:dyDescent="0.25">
      <c r="A1410">
        <v>915.00109299999997</v>
      </c>
      <c r="B1410" s="1">
        <f>DATE(2012,11,1) + TIME(0,1,34)</f>
        <v>41214.001087962963</v>
      </c>
      <c r="C1410">
        <v>80</v>
      </c>
      <c r="D1410">
        <v>79.967903136999993</v>
      </c>
      <c r="E1410">
        <v>50</v>
      </c>
      <c r="F1410">
        <v>57.429405211999999</v>
      </c>
      <c r="G1410">
        <v>1334.6871338000001</v>
      </c>
      <c r="H1410">
        <v>1334.3565673999999</v>
      </c>
      <c r="I1410">
        <v>1331.6687012</v>
      </c>
      <c r="J1410">
        <v>1329.4331055</v>
      </c>
      <c r="K1410">
        <v>0</v>
      </c>
      <c r="L1410">
        <v>2400</v>
      </c>
      <c r="M1410">
        <v>2400</v>
      </c>
      <c r="N1410">
        <v>0</v>
      </c>
    </row>
    <row r="1411" spans="1:14" x14ac:dyDescent="0.25">
      <c r="A1411">
        <v>915.00328000000002</v>
      </c>
      <c r="B1411" s="1">
        <f>DATE(2012,11,1) + TIME(0,4,43)</f>
        <v>41214.003275462965</v>
      </c>
      <c r="C1411">
        <v>80</v>
      </c>
      <c r="D1411">
        <v>79.965133667000003</v>
      </c>
      <c r="E1411">
        <v>50</v>
      </c>
      <c r="F1411">
        <v>57.404914855999998</v>
      </c>
      <c r="G1411">
        <v>1333.880249</v>
      </c>
      <c r="H1411">
        <v>1333.5256348</v>
      </c>
      <c r="I1411">
        <v>1333.0257568</v>
      </c>
      <c r="J1411">
        <v>1330.7657471</v>
      </c>
      <c r="K1411">
        <v>0</v>
      </c>
      <c r="L1411">
        <v>2400</v>
      </c>
      <c r="M1411">
        <v>2400</v>
      </c>
      <c r="N1411">
        <v>0</v>
      </c>
    </row>
    <row r="1412" spans="1:14" x14ac:dyDescent="0.25">
      <c r="A1412">
        <v>915.00984100000005</v>
      </c>
      <c r="B1412" s="1">
        <f>DATE(2012,11,1) + TIME(0,14,10)</f>
        <v>41214.009837962964</v>
      </c>
      <c r="C1412">
        <v>80</v>
      </c>
      <c r="D1412">
        <v>79.961898804</v>
      </c>
      <c r="E1412">
        <v>50</v>
      </c>
      <c r="F1412">
        <v>57.326580047999997</v>
      </c>
      <c r="G1412">
        <v>1333.0444336</v>
      </c>
      <c r="H1412">
        <v>1332.6544189000001</v>
      </c>
      <c r="I1412">
        <v>1334.402832</v>
      </c>
      <c r="J1412">
        <v>1332.1242675999999</v>
      </c>
      <c r="K1412">
        <v>0</v>
      </c>
      <c r="L1412">
        <v>2400</v>
      </c>
      <c r="M1412">
        <v>2400</v>
      </c>
      <c r="N1412">
        <v>0</v>
      </c>
    </row>
    <row r="1413" spans="1:14" x14ac:dyDescent="0.25">
      <c r="A1413">
        <v>915.02952400000004</v>
      </c>
      <c r="B1413" s="1">
        <f>DATE(2012,11,1) + TIME(0,42,30)</f>
        <v>41214.029513888891</v>
      </c>
      <c r="C1413">
        <v>80</v>
      </c>
      <c r="D1413">
        <v>79.957328795999999</v>
      </c>
      <c r="E1413">
        <v>50</v>
      </c>
      <c r="F1413">
        <v>57.092346190999997</v>
      </c>
      <c r="G1413">
        <v>1332.1693115</v>
      </c>
      <c r="H1413">
        <v>1331.7154541</v>
      </c>
      <c r="I1413">
        <v>1335.7867432</v>
      </c>
      <c r="J1413">
        <v>1333.4831543</v>
      </c>
      <c r="K1413">
        <v>0</v>
      </c>
      <c r="L1413">
        <v>2400</v>
      </c>
      <c r="M1413">
        <v>2400</v>
      </c>
      <c r="N1413">
        <v>0</v>
      </c>
    </row>
    <row r="1414" spans="1:14" x14ac:dyDescent="0.25">
      <c r="A1414">
        <v>915.06369900000004</v>
      </c>
      <c r="B1414" s="1">
        <f>DATE(2012,11,1) + TIME(1,31,43)</f>
        <v>41214.063692129632</v>
      </c>
      <c r="C1414">
        <v>80</v>
      </c>
      <c r="D1414">
        <v>79.952087402000004</v>
      </c>
      <c r="E1414">
        <v>50</v>
      </c>
      <c r="F1414">
        <v>56.703151703000003</v>
      </c>
      <c r="G1414">
        <v>1331.527832</v>
      </c>
      <c r="H1414">
        <v>1331.005249</v>
      </c>
      <c r="I1414">
        <v>1336.7628173999999</v>
      </c>
      <c r="J1414">
        <v>1334.4309082</v>
      </c>
      <c r="K1414">
        <v>0</v>
      </c>
      <c r="L1414">
        <v>2400</v>
      </c>
      <c r="M1414">
        <v>2400</v>
      </c>
      <c r="N1414">
        <v>0</v>
      </c>
    </row>
    <row r="1415" spans="1:14" x14ac:dyDescent="0.25">
      <c r="A1415">
        <v>915.10094500000002</v>
      </c>
      <c r="B1415" s="1">
        <f>DATE(2012,11,1) + TIME(2,25,21)</f>
        <v>41214.100937499999</v>
      </c>
      <c r="C1415">
        <v>80</v>
      </c>
      <c r="D1415">
        <v>79.947296143000003</v>
      </c>
      <c r="E1415">
        <v>50</v>
      </c>
      <c r="F1415">
        <v>56.302394866999997</v>
      </c>
      <c r="G1415">
        <v>1331.1514893000001</v>
      </c>
      <c r="H1415">
        <v>1330.5817870999999</v>
      </c>
      <c r="I1415">
        <v>1337.3155518000001</v>
      </c>
      <c r="J1415">
        <v>1334.9619141000001</v>
      </c>
      <c r="K1415">
        <v>0</v>
      </c>
      <c r="L1415">
        <v>2400</v>
      </c>
      <c r="M1415">
        <v>2400</v>
      </c>
      <c r="N1415">
        <v>0</v>
      </c>
    </row>
    <row r="1416" spans="1:14" x14ac:dyDescent="0.25">
      <c r="A1416">
        <v>915.14110700000003</v>
      </c>
      <c r="B1416" s="1">
        <f>DATE(2012,11,1) + TIME(3,23,11)</f>
        <v>41214.141099537039</v>
      </c>
      <c r="C1416">
        <v>80</v>
      </c>
      <c r="D1416">
        <v>79.942565918</v>
      </c>
      <c r="E1416">
        <v>50</v>
      </c>
      <c r="F1416">
        <v>55.897434234999999</v>
      </c>
      <c r="G1416">
        <v>1330.9025879000001</v>
      </c>
      <c r="H1416">
        <v>1330.3016356999999</v>
      </c>
      <c r="I1416">
        <v>1337.6655272999999</v>
      </c>
      <c r="J1416">
        <v>1335.2954102000001</v>
      </c>
      <c r="K1416">
        <v>0</v>
      </c>
      <c r="L1416">
        <v>2400</v>
      </c>
      <c r="M1416">
        <v>2400</v>
      </c>
      <c r="N1416">
        <v>0</v>
      </c>
    </row>
    <row r="1417" spans="1:14" x14ac:dyDescent="0.25">
      <c r="A1417">
        <v>915.18424900000002</v>
      </c>
      <c r="B1417" s="1">
        <f>DATE(2012,11,1) + TIME(4,25,19)</f>
        <v>41214.184247685182</v>
      </c>
      <c r="C1417">
        <v>80</v>
      </c>
      <c r="D1417">
        <v>79.937736510999997</v>
      </c>
      <c r="E1417">
        <v>50</v>
      </c>
      <c r="F1417">
        <v>55.492454529</v>
      </c>
      <c r="G1417">
        <v>1330.7248535000001</v>
      </c>
      <c r="H1417">
        <v>1330.1029053</v>
      </c>
      <c r="I1417">
        <v>1337.9027100000001</v>
      </c>
      <c r="J1417">
        <v>1335.5194091999999</v>
      </c>
      <c r="K1417">
        <v>0</v>
      </c>
      <c r="L1417">
        <v>2400</v>
      </c>
      <c r="M1417">
        <v>2400</v>
      </c>
      <c r="N1417">
        <v>0</v>
      </c>
    </row>
    <row r="1418" spans="1:14" x14ac:dyDescent="0.25">
      <c r="A1418">
        <v>915.23053100000004</v>
      </c>
      <c r="B1418" s="1">
        <f>DATE(2012,11,1) + TIME(5,31,57)</f>
        <v>41214.230520833335</v>
      </c>
      <c r="C1418">
        <v>80</v>
      </c>
      <c r="D1418">
        <v>79.932723999000004</v>
      </c>
      <c r="E1418">
        <v>50</v>
      </c>
      <c r="F1418">
        <v>55.090396880999997</v>
      </c>
      <c r="G1418">
        <v>1330.5906981999999</v>
      </c>
      <c r="H1418">
        <v>1329.9544678</v>
      </c>
      <c r="I1418">
        <v>1338.0701904</v>
      </c>
      <c r="J1418">
        <v>1335.6759033000001</v>
      </c>
      <c r="K1418">
        <v>0</v>
      </c>
      <c r="L1418">
        <v>2400</v>
      </c>
      <c r="M1418">
        <v>2400</v>
      </c>
      <c r="N1418">
        <v>0</v>
      </c>
    </row>
    <row r="1419" spans="1:14" x14ac:dyDescent="0.25">
      <c r="A1419">
        <v>915.28017699999998</v>
      </c>
      <c r="B1419" s="1">
        <f>DATE(2012,11,1) + TIME(6,43,27)</f>
        <v>41214.280173611114</v>
      </c>
      <c r="C1419">
        <v>80</v>
      </c>
      <c r="D1419">
        <v>79.927474975999999</v>
      </c>
      <c r="E1419">
        <v>50</v>
      </c>
      <c r="F1419">
        <v>54.693565368999998</v>
      </c>
      <c r="G1419">
        <v>1330.4855957</v>
      </c>
      <c r="H1419">
        <v>1329.8393555</v>
      </c>
      <c r="I1419">
        <v>1338.1915283000001</v>
      </c>
      <c r="J1419">
        <v>1335.7877197</v>
      </c>
      <c r="K1419">
        <v>0</v>
      </c>
      <c r="L1419">
        <v>2400</v>
      </c>
      <c r="M1419">
        <v>2400</v>
      </c>
      <c r="N1419">
        <v>0</v>
      </c>
    </row>
    <row r="1420" spans="1:14" x14ac:dyDescent="0.25">
      <c r="A1420">
        <v>915.33347300000003</v>
      </c>
      <c r="B1420" s="1">
        <f>DATE(2012,11,1) + TIME(8,0,12)</f>
        <v>41214.333472222221</v>
      </c>
      <c r="C1420">
        <v>80</v>
      </c>
      <c r="D1420">
        <v>79.921943665000001</v>
      </c>
      <c r="E1420">
        <v>50</v>
      </c>
      <c r="F1420">
        <v>54.303871155000003</v>
      </c>
      <c r="G1420">
        <v>1330.4007568</v>
      </c>
      <c r="H1420">
        <v>1329.7471923999999</v>
      </c>
      <c r="I1420">
        <v>1338.2806396000001</v>
      </c>
      <c r="J1420">
        <v>1335.8681641000001</v>
      </c>
      <c r="K1420">
        <v>0</v>
      </c>
      <c r="L1420">
        <v>2400</v>
      </c>
      <c r="M1420">
        <v>2400</v>
      </c>
      <c r="N1420">
        <v>0</v>
      </c>
    </row>
    <row r="1421" spans="1:14" x14ac:dyDescent="0.25">
      <c r="A1421">
        <v>915.39074200000005</v>
      </c>
      <c r="B1421" s="1">
        <f>DATE(2012,11,1) + TIME(9,22,40)</f>
        <v>41214.390740740739</v>
      </c>
      <c r="C1421">
        <v>80</v>
      </c>
      <c r="D1421">
        <v>79.916091918999996</v>
      </c>
      <c r="E1421">
        <v>50</v>
      </c>
      <c r="F1421">
        <v>53.923171996999997</v>
      </c>
      <c r="G1421">
        <v>1330.3306885</v>
      </c>
      <c r="H1421">
        <v>1329.6717529</v>
      </c>
      <c r="I1421">
        <v>1338.3461914</v>
      </c>
      <c r="J1421">
        <v>1335.9259033000001</v>
      </c>
      <c r="K1421">
        <v>0</v>
      </c>
      <c r="L1421">
        <v>2400</v>
      </c>
      <c r="M1421">
        <v>2400</v>
      </c>
      <c r="N1421">
        <v>0</v>
      </c>
    </row>
    <row r="1422" spans="1:14" x14ac:dyDescent="0.25">
      <c r="A1422">
        <v>915.45220200000006</v>
      </c>
      <c r="B1422" s="1">
        <f>DATE(2012,11,1) + TIME(10,51,10)</f>
        <v>41214.452199074076</v>
      </c>
      <c r="C1422">
        <v>80</v>
      </c>
      <c r="D1422">
        <v>79.909896850999999</v>
      </c>
      <c r="E1422">
        <v>50</v>
      </c>
      <c r="F1422">
        <v>53.554058075</v>
      </c>
      <c r="G1422">
        <v>1330.2722168</v>
      </c>
      <c r="H1422">
        <v>1329.6088867000001</v>
      </c>
      <c r="I1422">
        <v>1338.3937988</v>
      </c>
      <c r="J1422">
        <v>1335.9663086</v>
      </c>
      <c r="K1422">
        <v>0</v>
      </c>
      <c r="L1422">
        <v>2400</v>
      </c>
      <c r="M1422">
        <v>2400</v>
      </c>
      <c r="N1422">
        <v>0</v>
      </c>
    </row>
    <row r="1423" spans="1:14" x14ac:dyDescent="0.25">
      <c r="A1423">
        <v>915.51675299999999</v>
      </c>
      <c r="B1423" s="1">
        <f>DATE(2012,11,1) + TIME(12,24,7)</f>
        <v>41214.516747685186</v>
      </c>
      <c r="C1423">
        <v>80</v>
      </c>
      <c r="D1423">
        <v>79.903465271000002</v>
      </c>
      <c r="E1423">
        <v>50</v>
      </c>
      <c r="F1423">
        <v>53.205337524000001</v>
      </c>
      <c r="G1423">
        <v>1330.2235106999999</v>
      </c>
      <c r="H1423">
        <v>1329.5566406</v>
      </c>
      <c r="I1423">
        <v>1338.4272461</v>
      </c>
      <c r="J1423">
        <v>1335.9932861</v>
      </c>
      <c r="K1423">
        <v>0</v>
      </c>
      <c r="L1423">
        <v>2400</v>
      </c>
      <c r="M1423">
        <v>2400</v>
      </c>
      <c r="N1423">
        <v>0</v>
      </c>
    </row>
    <row r="1424" spans="1:14" x14ac:dyDescent="0.25">
      <c r="A1424">
        <v>915.58469600000001</v>
      </c>
      <c r="B1424" s="1">
        <f>DATE(2012,11,1) + TIME(14,1,57)</f>
        <v>41214.584687499999</v>
      </c>
      <c r="C1424">
        <v>80</v>
      </c>
      <c r="D1424">
        <v>79.896766662999994</v>
      </c>
      <c r="E1424">
        <v>50</v>
      </c>
      <c r="F1424">
        <v>52.876754761000001</v>
      </c>
      <c r="G1424">
        <v>1330.1823730000001</v>
      </c>
      <c r="H1424">
        <v>1329.5124512</v>
      </c>
      <c r="I1424">
        <v>1338.4499512</v>
      </c>
      <c r="J1424">
        <v>1336.0100098</v>
      </c>
      <c r="K1424">
        <v>0</v>
      </c>
      <c r="L1424">
        <v>2400</v>
      </c>
      <c r="M1424">
        <v>2400</v>
      </c>
      <c r="N1424">
        <v>0</v>
      </c>
    </row>
    <row r="1425" spans="1:14" x14ac:dyDescent="0.25">
      <c r="A1425">
        <v>915.65634599999998</v>
      </c>
      <c r="B1425" s="1">
        <f>DATE(2012,11,1) + TIME(15,45,8)</f>
        <v>41214.656342592592</v>
      </c>
      <c r="C1425">
        <v>80</v>
      </c>
      <c r="D1425">
        <v>79.889778136999993</v>
      </c>
      <c r="E1425">
        <v>50</v>
      </c>
      <c r="F1425">
        <v>52.568153381000002</v>
      </c>
      <c r="G1425">
        <v>1330.1473389</v>
      </c>
      <c r="H1425">
        <v>1329.4747314000001</v>
      </c>
      <c r="I1425">
        <v>1338.4643555</v>
      </c>
      <c r="J1425">
        <v>1336.0192870999999</v>
      </c>
      <c r="K1425">
        <v>0</v>
      </c>
      <c r="L1425">
        <v>2400</v>
      </c>
      <c r="M1425">
        <v>2400</v>
      </c>
      <c r="N1425">
        <v>0</v>
      </c>
    </row>
    <row r="1426" spans="1:14" x14ac:dyDescent="0.25">
      <c r="A1426">
        <v>915.73210099999994</v>
      </c>
      <c r="B1426" s="1">
        <f>DATE(2012,11,1) + TIME(17,34,13)</f>
        <v>41214.732094907406</v>
      </c>
      <c r="C1426">
        <v>80</v>
      </c>
      <c r="D1426">
        <v>79.882453917999996</v>
      </c>
      <c r="E1426">
        <v>50</v>
      </c>
      <c r="F1426">
        <v>52.279212952000002</v>
      </c>
      <c r="G1426">
        <v>1330.1170654</v>
      </c>
      <c r="H1426">
        <v>1329.4421387</v>
      </c>
      <c r="I1426">
        <v>1338.4726562000001</v>
      </c>
      <c r="J1426">
        <v>1336.0228271000001</v>
      </c>
      <c r="K1426">
        <v>0</v>
      </c>
      <c r="L1426">
        <v>2400</v>
      </c>
      <c r="M1426">
        <v>2400</v>
      </c>
      <c r="N1426">
        <v>0</v>
      </c>
    </row>
    <row r="1427" spans="1:14" x14ac:dyDescent="0.25">
      <c r="A1427">
        <v>915.81241</v>
      </c>
      <c r="B1427" s="1">
        <f>DATE(2012,11,1) + TIME(19,29,52)</f>
        <v>41214.812407407408</v>
      </c>
      <c r="C1427">
        <v>80</v>
      </c>
      <c r="D1427">
        <v>79.874771117999998</v>
      </c>
      <c r="E1427">
        <v>50</v>
      </c>
      <c r="F1427">
        <v>52.009651183999999</v>
      </c>
      <c r="G1427">
        <v>1330.0906981999999</v>
      </c>
      <c r="H1427">
        <v>1329.4136963000001</v>
      </c>
      <c r="I1427">
        <v>1338.4763184000001</v>
      </c>
      <c r="J1427">
        <v>1336.0223389</v>
      </c>
      <c r="K1427">
        <v>0</v>
      </c>
      <c r="L1427">
        <v>2400</v>
      </c>
      <c r="M1427">
        <v>2400</v>
      </c>
      <c r="N1427">
        <v>0</v>
      </c>
    </row>
    <row r="1428" spans="1:14" x14ac:dyDescent="0.25">
      <c r="A1428">
        <v>915.89780099999996</v>
      </c>
      <c r="B1428" s="1">
        <f>DATE(2012,11,1) + TIME(21,32,50)</f>
        <v>41214.897800925923</v>
      </c>
      <c r="C1428">
        <v>80</v>
      </c>
      <c r="D1428">
        <v>79.866676330999994</v>
      </c>
      <c r="E1428">
        <v>50</v>
      </c>
      <c r="F1428">
        <v>51.759166718000003</v>
      </c>
      <c r="G1428">
        <v>1330.0676269999999</v>
      </c>
      <c r="H1428">
        <v>1329.3885498</v>
      </c>
      <c r="I1428">
        <v>1338.4764404</v>
      </c>
      <c r="J1428">
        <v>1336.0187988</v>
      </c>
      <c r="K1428">
        <v>0</v>
      </c>
      <c r="L1428">
        <v>2400</v>
      </c>
      <c r="M1428">
        <v>2400</v>
      </c>
      <c r="N1428">
        <v>0</v>
      </c>
    </row>
    <row r="1429" spans="1:14" x14ac:dyDescent="0.25">
      <c r="A1429">
        <v>915.98889199999996</v>
      </c>
      <c r="B1429" s="1">
        <f>DATE(2012,11,1) + TIME(23,44,0)</f>
        <v>41214.988888888889</v>
      </c>
      <c r="C1429">
        <v>80</v>
      </c>
      <c r="D1429">
        <v>79.858131408999995</v>
      </c>
      <c r="E1429">
        <v>50</v>
      </c>
      <c r="F1429">
        <v>51.527450561999999</v>
      </c>
      <c r="G1429">
        <v>1330.0472411999999</v>
      </c>
      <c r="H1429">
        <v>1329.3660889</v>
      </c>
      <c r="I1429">
        <v>1338.4741211</v>
      </c>
      <c r="J1429">
        <v>1336.0131836</v>
      </c>
      <c r="K1429">
        <v>0</v>
      </c>
      <c r="L1429">
        <v>2400</v>
      </c>
      <c r="M1429">
        <v>2400</v>
      </c>
      <c r="N1429">
        <v>0</v>
      </c>
    </row>
    <row r="1430" spans="1:14" x14ac:dyDescent="0.25">
      <c r="A1430">
        <v>916.08641999999998</v>
      </c>
      <c r="B1430" s="1">
        <f>DATE(2012,11,2) + TIME(2,4,26)</f>
        <v>41215.086412037039</v>
      </c>
      <c r="C1430">
        <v>80</v>
      </c>
      <c r="D1430">
        <v>79.849067688000005</v>
      </c>
      <c r="E1430">
        <v>50</v>
      </c>
      <c r="F1430">
        <v>51.314163207999997</v>
      </c>
      <c r="G1430">
        <v>1330.0289307</v>
      </c>
      <c r="H1430">
        <v>1329.3459473</v>
      </c>
      <c r="I1430">
        <v>1338.4702147999999</v>
      </c>
      <c r="J1430">
        <v>1336.0063477000001</v>
      </c>
      <c r="K1430">
        <v>0</v>
      </c>
      <c r="L1430">
        <v>2400</v>
      </c>
      <c r="M1430">
        <v>2400</v>
      </c>
      <c r="N1430">
        <v>0</v>
      </c>
    </row>
    <row r="1431" spans="1:14" x14ac:dyDescent="0.25">
      <c r="A1431">
        <v>916.19127000000003</v>
      </c>
      <c r="B1431" s="1">
        <f>DATE(2012,11,2) + TIME(4,35,25)</f>
        <v>41215.191261574073</v>
      </c>
      <c r="C1431">
        <v>80</v>
      </c>
      <c r="D1431">
        <v>79.839431762999993</v>
      </c>
      <c r="E1431">
        <v>50</v>
      </c>
      <c r="F1431">
        <v>51.118965148999997</v>
      </c>
      <c r="G1431">
        <v>1330.0125731999999</v>
      </c>
      <c r="H1431">
        <v>1329.3277588000001</v>
      </c>
      <c r="I1431">
        <v>1338.4650879000001</v>
      </c>
      <c r="J1431">
        <v>1335.9987793</v>
      </c>
      <c r="K1431">
        <v>0</v>
      </c>
      <c r="L1431">
        <v>2400</v>
      </c>
      <c r="M1431">
        <v>2400</v>
      </c>
      <c r="N1431">
        <v>0</v>
      </c>
    </row>
    <row r="1432" spans="1:14" x14ac:dyDescent="0.25">
      <c r="A1432">
        <v>916.30451200000005</v>
      </c>
      <c r="B1432" s="1">
        <f>DATE(2012,11,2) + TIME(7,18,29)</f>
        <v>41215.304502314815</v>
      </c>
      <c r="C1432">
        <v>80</v>
      </c>
      <c r="D1432">
        <v>79.829132079999994</v>
      </c>
      <c r="E1432">
        <v>50</v>
      </c>
      <c r="F1432">
        <v>50.941474915000001</v>
      </c>
      <c r="G1432">
        <v>1329.9978027</v>
      </c>
      <c r="H1432">
        <v>1329.3110352000001</v>
      </c>
      <c r="I1432">
        <v>1338.4594727000001</v>
      </c>
      <c r="J1432">
        <v>1335.9909668</v>
      </c>
      <c r="K1432">
        <v>0</v>
      </c>
      <c r="L1432">
        <v>2400</v>
      </c>
      <c r="M1432">
        <v>2400</v>
      </c>
      <c r="N1432">
        <v>0</v>
      </c>
    </row>
    <row r="1433" spans="1:14" x14ac:dyDescent="0.25">
      <c r="A1433">
        <v>916.42746199999999</v>
      </c>
      <c r="B1433" s="1">
        <f>DATE(2012,11,2) + TIME(10,15,32)</f>
        <v>41215.427453703705</v>
      </c>
      <c r="C1433">
        <v>80</v>
      </c>
      <c r="D1433">
        <v>79.818069457999997</v>
      </c>
      <c r="E1433">
        <v>50</v>
      </c>
      <c r="F1433">
        <v>50.781303405999999</v>
      </c>
      <c r="G1433">
        <v>1329.9842529</v>
      </c>
      <c r="H1433">
        <v>1329.2955322</v>
      </c>
      <c r="I1433">
        <v>1338.4536132999999</v>
      </c>
      <c r="J1433">
        <v>1335.9832764</v>
      </c>
      <c r="K1433">
        <v>0</v>
      </c>
      <c r="L1433">
        <v>2400</v>
      </c>
      <c r="M1433">
        <v>2400</v>
      </c>
      <c r="N1433">
        <v>0</v>
      </c>
    </row>
    <row r="1434" spans="1:14" x14ac:dyDescent="0.25">
      <c r="A1434">
        <v>916.56175199999996</v>
      </c>
      <c r="B1434" s="1">
        <f>DATE(2012,11,2) + TIME(13,28,55)</f>
        <v>41215.561747685184</v>
      </c>
      <c r="C1434">
        <v>80</v>
      </c>
      <c r="D1434">
        <v>79.806137085000003</v>
      </c>
      <c r="E1434">
        <v>50</v>
      </c>
      <c r="F1434">
        <v>50.638019561999997</v>
      </c>
      <c r="G1434">
        <v>1329.9716797000001</v>
      </c>
      <c r="H1434">
        <v>1329.2811279</v>
      </c>
      <c r="I1434">
        <v>1338.447876</v>
      </c>
      <c r="J1434">
        <v>1335.9759521000001</v>
      </c>
      <c r="K1434">
        <v>0</v>
      </c>
      <c r="L1434">
        <v>2400</v>
      </c>
      <c r="M1434">
        <v>2400</v>
      </c>
      <c r="N1434">
        <v>0</v>
      </c>
    </row>
    <row r="1435" spans="1:14" x14ac:dyDescent="0.25">
      <c r="A1435">
        <v>916.70943699999998</v>
      </c>
      <c r="B1435" s="1">
        <f>DATE(2012,11,2) + TIME(17,1,35)</f>
        <v>41215.709432870368</v>
      </c>
      <c r="C1435">
        <v>80</v>
      </c>
      <c r="D1435">
        <v>79.793174743999998</v>
      </c>
      <c r="E1435">
        <v>50</v>
      </c>
      <c r="F1435">
        <v>50.511157990000001</v>
      </c>
      <c r="G1435">
        <v>1329.9599608999999</v>
      </c>
      <c r="H1435">
        <v>1329.2673339999999</v>
      </c>
      <c r="I1435">
        <v>1338.4421387</v>
      </c>
      <c r="J1435">
        <v>1335.9691161999999</v>
      </c>
      <c r="K1435">
        <v>0</v>
      </c>
      <c r="L1435">
        <v>2400</v>
      </c>
      <c r="M1435">
        <v>2400</v>
      </c>
      <c r="N1435">
        <v>0</v>
      </c>
    </row>
    <row r="1436" spans="1:14" x14ac:dyDescent="0.25">
      <c r="A1436">
        <v>916.87313500000005</v>
      </c>
      <c r="B1436" s="1">
        <f>DATE(2012,11,2) + TIME(20,57,18)</f>
        <v>41215.873124999998</v>
      </c>
      <c r="C1436">
        <v>80</v>
      </c>
      <c r="D1436">
        <v>79.779006957999997</v>
      </c>
      <c r="E1436">
        <v>50</v>
      </c>
      <c r="F1436">
        <v>50.400211333999998</v>
      </c>
      <c r="G1436">
        <v>1329.9488524999999</v>
      </c>
      <c r="H1436">
        <v>1329.2542725000001</v>
      </c>
      <c r="I1436">
        <v>1338.4368896000001</v>
      </c>
      <c r="J1436">
        <v>1335.9628906</v>
      </c>
      <c r="K1436">
        <v>0</v>
      </c>
      <c r="L1436">
        <v>2400</v>
      </c>
      <c r="M1436">
        <v>2400</v>
      </c>
      <c r="N1436">
        <v>0</v>
      </c>
    </row>
    <row r="1437" spans="1:14" x14ac:dyDescent="0.25">
      <c r="A1437">
        <v>917.05634399999997</v>
      </c>
      <c r="B1437" s="1">
        <f>DATE(2012,11,3) + TIME(1,21,8)</f>
        <v>41216.056342592594</v>
      </c>
      <c r="C1437">
        <v>80</v>
      </c>
      <c r="D1437">
        <v>79.763381957999997</v>
      </c>
      <c r="E1437">
        <v>50</v>
      </c>
      <c r="F1437">
        <v>50.304573058999999</v>
      </c>
      <c r="G1437">
        <v>1329.9382324000001</v>
      </c>
      <c r="H1437">
        <v>1329.2414550999999</v>
      </c>
      <c r="I1437">
        <v>1338.4318848</v>
      </c>
      <c r="J1437">
        <v>1335.9572754000001</v>
      </c>
      <c r="K1437">
        <v>0</v>
      </c>
      <c r="L1437">
        <v>2400</v>
      </c>
      <c r="M1437">
        <v>2400</v>
      </c>
      <c r="N1437">
        <v>0</v>
      </c>
    </row>
    <row r="1438" spans="1:14" x14ac:dyDescent="0.25">
      <c r="A1438">
        <v>917.26372700000002</v>
      </c>
      <c r="B1438" s="1">
        <f>DATE(2012,11,3) + TIME(6,19,46)</f>
        <v>41216.263726851852</v>
      </c>
      <c r="C1438">
        <v>80</v>
      </c>
      <c r="D1438">
        <v>79.745994568</v>
      </c>
      <c r="E1438">
        <v>50</v>
      </c>
      <c r="F1438">
        <v>50.223567963000001</v>
      </c>
      <c r="G1438">
        <v>1329.9278564000001</v>
      </c>
      <c r="H1438">
        <v>1329.2286377</v>
      </c>
      <c r="I1438">
        <v>1338.4270019999999</v>
      </c>
      <c r="J1438">
        <v>1335.9522704999999</v>
      </c>
      <c r="K1438">
        <v>0</v>
      </c>
      <c r="L1438">
        <v>2400</v>
      </c>
      <c r="M1438">
        <v>2400</v>
      </c>
      <c r="N1438">
        <v>0</v>
      </c>
    </row>
    <row r="1439" spans="1:14" x14ac:dyDescent="0.25">
      <c r="A1439">
        <v>917.47804399999995</v>
      </c>
      <c r="B1439" s="1">
        <f>DATE(2012,11,3) + TIME(11,28,22)</f>
        <v>41216.478032407409</v>
      </c>
      <c r="C1439">
        <v>80</v>
      </c>
      <c r="D1439">
        <v>79.728096007999994</v>
      </c>
      <c r="E1439">
        <v>50</v>
      </c>
      <c r="F1439">
        <v>50.161403655999997</v>
      </c>
      <c r="G1439">
        <v>1329.9178466999999</v>
      </c>
      <c r="H1439">
        <v>1329.2161865</v>
      </c>
      <c r="I1439">
        <v>1338.4234618999999</v>
      </c>
      <c r="J1439">
        <v>1335.9486084</v>
      </c>
      <c r="K1439">
        <v>0</v>
      </c>
      <c r="L1439">
        <v>2400</v>
      </c>
      <c r="M1439">
        <v>2400</v>
      </c>
      <c r="N1439">
        <v>0</v>
      </c>
    </row>
    <row r="1440" spans="1:14" x14ac:dyDescent="0.25">
      <c r="A1440">
        <v>917.69789600000001</v>
      </c>
      <c r="B1440" s="1">
        <f>DATE(2012,11,3) + TIME(16,44,58)</f>
        <v>41216.697893518518</v>
      </c>
      <c r="C1440">
        <v>80</v>
      </c>
      <c r="D1440">
        <v>79.709800720000004</v>
      </c>
      <c r="E1440">
        <v>50</v>
      </c>
      <c r="F1440">
        <v>50.114322661999999</v>
      </c>
      <c r="G1440">
        <v>1329.9083252</v>
      </c>
      <c r="H1440">
        <v>1329.2041016000001</v>
      </c>
      <c r="I1440">
        <v>1338.4201660000001</v>
      </c>
      <c r="J1440">
        <v>1335.9455565999999</v>
      </c>
      <c r="K1440">
        <v>0</v>
      </c>
      <c r="L1440">
        <v>2400</v>
      </c>
      <c r="M1440">
        <v>2400</v>
      </c>
      <c r="N1440">
        <v>0</v>
      </c>
    </row>
    <row r="1441" spans="1:14" x14ac:dyDescent="0.25">
      <c r="A1441">
        <v>917.92360599999995</v>
      </c>
      <c r="B1441" s="1">
        <f>DATE(2012,11,3) + TIME(22,9,59)</f>
        <v>41216.92359953704</v>
      </c>
      <c r="C1441">
        <v>80</v>
      </c>
      <c r="D1441">
        <v>79.691070557000003</v>
      </c>
      <c r="E1441">
        <v>50</v>
      </c>
      <c r="F1441">
        <v>50.078853606999999</v>
      </c>
      <c r="G1441">
        <v>1329.8991699000001</v>
      </c>
      <c r="H1441">
        <v>1329.1925048999999</v>
      </c>
      <c r="I1441">
        <v>1338.4167480000001</v>
      </c>
      <c r="J1441">
        <v>1335.942749</v>
      </c>
      <c r="K1441">
        <v>0</v>
      </c>
      <c r="L1441">
        <v>2400</v>
      </c>
      <c r="M1441">
        <v>2400</v>
      </c>
      <c r="N1441">
        <v>0</v>
      </c>
    </row>
    <row r="1442" spans="1:14" x14ac:dyDescent="0.25">
      <c r="A1442">
        <v>918.15572199999997</v>
      </c>
      <c r="B1442" s="1">
        <f>DATE(2012,11,4) + TIME(3,44,14)</f>
        <v>41217.155717592592</v>
      </c>
      <c r="C1442">
        <v>80</v>
      </c>
      <c r="D1442">
        <v>79.671890258999994</v>
      </c>
      <c r="E1442">
        <v>50</v>
      </c>
      <c r="F1442">
        <v>50.052265167000002</v>
      </c>
      <c r="G1442">
        <v>1329.8902588000001</v>
      </c>
      <c r="H1442">
        <v>1329.1811522999999</v>
      </c>
      <c r="I1442">
        <v>1338.4134521000001</v>
      </c>
      <c r="J1442">
        <v>1335.9400635</v>
      </c>
      <c r="K1442">
        <v>0</v>
      </c>
      <c r="L1442">
        <v>2400</v>
      </c>
      <c r="M1442">
        <v>2400</v>
      </c>
      <c r="N1442">
        <v>0</v>
      </c>
    </row>
    <row r="1443" spans="1:14" x14ac:dyDescent="0.25">
      <c r="A1443">
        <v>918.39564600000006</v>
      </c>
      <c r="B1443" s="1">
        <f>DATE(2012,11,4) + TIME(9,29,43)</f>
        <v>41217.395636574074</v>
      </c>
      <c r="C1443">
        <v>80</v>
      </c>
      <c r="D1443">
        <v>79.652145386000001</v>
      </c>
      <c r="E1443">
        <v>50</v>
      </c>
      <c r="F1443">
        <v>50.032394408999998</v>
      </c>
      <c r="G1443">
        <v>1329.8815918</v>
      </c>
      <c r="H1443">
        <v>1329.1699219</v>
      </c>
      <c r="I1443">
        <v>1338.4099120999999</v>
      </c>
      <c r="J1443">
        <v>1335.9373779</v>
      </c>
      <c r="K1443">
        <v>0</v>
      </c>
      <c r="L1443">
        <v>2400</v>
      </c>
      <c r="M1443">
        <v>2400</v>
      </c>
      <c r="N1443">
        <v>0</v>
      </c>
    </row>
    <row r="1444" spans="1:14" x14ac:dyDescent="0.25">
      <c r="A1444">
        <v>918.64484300000004</v>
      </c>
      <c r="B1444" s="1">
        <f>DATE(2012,11,4) + TIME(15,28,34)</f>
        <v>41217.644837962966</v>
      </c>
      <c r="C1444">
        <v>80</v>
      </c>
      <c r="D1444">
        <v>79.631744385000005</v>
      </c>
      <c r="E1444">
        <v>50</v>
      </c>
      <c r="F1444">
        <v>50.017612456999998</v>
      </c>
      <c r="G1444">
        <v>1329.8728027</v>
      </c>
      <c r="H1444">
        <v>1329.1586914</v>
      </c>
      <c r="I1444">
        <v>1338.40625</v>
      </c>
      <c r="J1444">
        <v>1335.9346923999999</v>
      </c>
      <c r="K1444">
        <v>0</v>
      </c>
      <c r="L1444">
        <v>2400</v>
      </c>
      <c r="M1444">
        <v>2400</v>
      </c>
      <c r="N1444">
        <v>0</v>
      </c>
    </row>
    <row r="1445" spans="1:14" x14ac:dyDescent="0.25">
      <c r="A1445">
        <v>918.904944</v>
      </c>
      <c r="B1445" s="1">
        <f>DATE(2012,11,4) + TIME(21,43,7)</f>
        <v>41217.904942129629</v>
      </c>
      <c r="C1445">
        <v>80</v>
      </c>
      <c r="D1445">
        <v>79.610572814999998</v>
      </c>
      <c r="E1445">
        <v>50</v>
      </c>
      <c r="F1445">
        <v>50.006679535000004</v>
      </c>
      <c r="G1445">
        <v>1329.8640137</v>
      </c>
      <c r="H1445">
        <v>1329.1472168</v>
      </c>
      <c r="I1445">
        <v>1338.4023437999999</v>
      </c>
      <c r="J1445">
        <v>1335.9320068</v>
      </c>
      <c r="K1445">
        <v>0</v>
      </c>
      <c r="L1445">
        <v>2400</v>
      </c>
      <c r="M1445">
        <v>2400</v>
      </c>
      <c r="N1445">
        <v>0</v>
      </c>
    </row>
    <row r="1446" spans="1:14" x14ac:dyDescent="0.25">
      <c r="A1446">
        <v>919.177817</v>
      </c>
      <c r="B1446" s="1">
        <f>DATE(2012,11,5) + TIME(4,16,3)</f>
        <v>41218.177812499998</v>
      </c>
      <c r="C1446">
        <v>80</v>
      </c>
      <c r="D1446">
        <v>79.588500976999995</v>
      </c>
      <c r="E1446">
        <v>50</v>
      </c>
      <c r="F1446">
        <v>49.998649596999996</v>
      </c>
      <c r="G1446">
        <v>1329.8549805</v>
      </c>
      <c r="H1446">
        <v>1329.1356201000001</v>
      </c>
      <c r="I1446">
        <v>1338.3983154</v>
      </c>
      <c r="J1446">
        <v>1335.9291992000001</v>
      </c>
      <c r="K1446">
        <v>0</v>
      </c>
      <c r="L1446">
        <v>2400</v>
      </c>
      <c r="M1446">
        <v>2400</v>
      </c>
      <c r="N1446">
        <v>0</v>
      </c>
    </row>
    <row r="1447" spans="1:14" x14ac:dyDescent="0.25">
      <c r="A1447">
        <v>919.46563000000003</v>
      </c>
      <c r="B1447" s="1">
        <f>DATE(2012,11,5) + TIME(11,10,30)</f>
        <v>41218.465624999997</v>
      </c>
      <c r="C1447">
        <v>80</v>
      </c>
      <c r="D1447">
        <v>79.565399170000006</v>
      </c>
      <c r="E1447">
        <v>50</v>
      </c>
      <c r="F1447">
        <v>49.992801665999998</v>
      </c>
      <c r="G1447">
        <v>1329.8457031</v>
      </c>
      <c r="H1447">
        <v>1329.1235352000001</v>
      </c>
      <c r="I1447">
        <v>1338.3941649999999</v>
      </c>
      <c r="J1447">
        <v>1335.9261475000001</v>
      </c>
      <c r="K1447">
        <v>0</v>
      </c>
      <c r="L1447">
        <v>2400</v>
      </c>
      <c r="M1447">
        <v>2400</v>
      </c>
      <c r="N1447">
        <v>0</v>
      </c>
    </row>
    <row r="1448" spans="1:14" x14ac:dyDescent="0.25">
      <c r="A1448">
        <v>919.77095599999996</v>
      </c>
      <c r="B1448" s="1">
        <f>DATE(2012,11,5) + TIME(18,30,10)</f>
        <v>41218.770949074074</v>
      </c>
      <c r="C1448">
        <v>80</v>
      </c>
      <c r="D1448">
        <v>79.541076660000002</v>
      </c>
      <c r="E1448">
        <v>50</v>
      </c>
      <c r="F1448">
        <v>49.988586425999998</v>
      </c>
      <c r="G1448">
        <v>1329.8361815999999</v>
      </c>
      <c r="H1448">
        <v>1329.1112060999999</v>
      </c>
      <c r="I1448">
        <v>1338.3896483999999</v>
      </c>
      <c r="J1448">
        <v>1335.9229736</v>
      </c>
      <c r="K1448">
        <v>0</v>
      </c>
      <c r="L1448">
        <v>2400</v>
      </c>
      <c r="M1448">
        <v>2400</v>
      </c>
      <c r="N1448">
        <v>0</v>
      </c>
    </row>
    <row r="1449" spans="1:14" x14ac:dyDescent="0.25">
      <c r="A1449">
        <v>920.093929</v>
      </c>
      <c r="B1449" s="1">
        <f>DATE(2012,11,6) + TIME(2,15,15)</f>
        <v>41219.093923611108</v>
      </c>
      <c r="C1449">
        <v>80</v>
      </c>
      <c r="D1449">
        <v>79.515533446999996</v>
      </c>
      <c r="E1449">
        <v>50</v>
      </c>
      <c r="F1449">
        <v>49.985599518000001</v>
      </c>
      <c r="G1449">
        <v>1329.8261719</v>
      </c>
      <c r="H1449">
        <v>1329.0982666</v>
      </c>
      <c r="I1449">
        <v>1338.3850098</v>
      </c>
      <c r="J1449">
        <v>1335.9196777</v>
      </c>
      <c r="K1449">
        <v>0</v>
      </c>
      <c r="L1449">
        <v>2400</v>
      </c>
      <c r="M1449">
        <v>2400</v>
      </c>
      <c r="N1449">
        <v>0</v>
      </c>
    </row>
    <row r="1450" spans="1:14" x14ac:dyDescent="0.25">
      <c r="A1450">
        <v>920.43482600000004</v>
      </c>
      <c r="B1450" s="1">
        <f>DATE(2012,11,6) + TIME(10,26,8)</f>
        <v>41219.434814814813</v>
      </c>
      <c r="C1450">
        <v>80</v>
      </c>
      <c r="D1450">
        <v>79.488754271999994</v>
      </c>
      <c r="E1450">
        <v>50</v>
      </c>
      <c r="F1450">
        <v>49.983516692999999</v>
      </c>
      <c r="G1450">
        <v>1329.8157959</v>
      </c>
      <c r="H1450">
        <v>1329.0847168</v>
      </c>
      <c r="I1450">
        <v>1338.380249</v>
      </c>
      <c r="J1450">
        <v>1335.9162598</v>
      </c>
      <c r="K1450">
        <v>0</v>
      </c>
      <c r="L1450">
        <v>2400</v>
      </c>
      <c r="M1450">
        <v>2400</v>
      </c>
      <c r="N1450">
        <v>0</v>
      </c>
    </row>
    <row r="1451" spans="1:14" x14ac:dyDescent="0.25">
      <c r="A1451">
        <v>920.783726</v>
      </c>
      <c r="B1451" s="1">
        <f>DATE(2012,11,6) + TIME(18,48,33)</f>
        <v>41219.783715277779</v>
      </c>
      <c r="C1451">
        <v>80</v>
      </c>
      <c r="D1451">
        <v>79.461334229000002</v>
      </c>
      <c r="E1451">
        <v>50</v>
      </c>
      <c r="F1451">
        <v>49.982105255</v>
      </c>
      <c r="G1451">
        <v>1329.8049315999999</v>
      </c>
      <c r="H1451">
        <v>1329.0706786999999</v>
      </c>
      <c r="I1451">
        <v>1338.3752440999999</v>
      </c>
      <c r="J1451">
        <v>1335.9125977000001</v>
      </c>
      <c r="K1451">
        <v>0</v>
      </c>
      <c r="L1451">
        <v>2400</v>
      </c>
      <c r="M1451">
        <v>2400</v>
      </c>
      <c r="N1451">
        <v>0</v>
      </c>
    </row>
    <row r="1452" spans="1:14" x14ac:dyDescent="0.25">
      <c r="A1452">
        <v>921.14165700000001</v>
      </c>
      <c r="B1452" s="1">
        <f>DATE(2012,11,7) + TIME(3,23,59)</f>
        <v>41220.141655092593</v>
      </c>
      <c r="C1452">
        <v>80</v>
      </c>
      <c r="D1452">
        <v>79.433235167999996</v>
      </c>
      <c r="E1452">
        <v>50</v>
      </c>
      <c r="F1452">
        <v>49.981155395999998</v>
      </c>
      <c r="G1452">
        <v>1329.7939452999999</v>
      </c>
      <c r="H1452">
        <v>1329.0565185999999</v>
      </c>
      <c r="I1452">
        <v>1338.3702393000001</v>
      </c>
      <c r="J1452">
        <v>1335.9089355000001</v>
      </c>
      <c r="K1452">
        <v>0</v>
      </c>
      <c r="L1452">
        <v>2400</v>
      </c>
      <c r="M1452">
        <v>2400</v>
      </c>
      <c r="N1452">
        <v>0</v>
      </c>
    </row>
    <row r="1453" spans="1:14" x14ac:dyDescent="0.25">
      <c r="A1453">
        <v>921.50840700000003</v>
      </c>
      <c r="B1453" s="1">
        <f>DATE(2012,11,7) + TIME(12,12,6)</f>
        <v>41220.508402777778</v>
      </c>
      <c r="C1453">
        <v>80</v>
      </c>
      <c r="D1453">
        <v>79.404495238999999</v>
      </c>
      <c r="E1453">
        <v>50</v>
      </c>
      <c r="F1453">
        <v>49.980510711999997</v>
      </c>
      <c r="G1453">
        <v>1329.7828368999999</v>
      </c>
      <c r="H1453">
        <v>1329.0419922000001</v>
      </c>
      <c r="I1453">
        <v>1338.3652344</v>
      </c>
      <c r="J1453">
        <v>1335.9052733999999</v>
      </c>
      <c r="K1453">
        <v>0</v>
      </c>
      <c r="L1453">
        <v>2400</v>
      </c>
      <c r="M1453">
        <v>2400</v>
      </c>
      <c r="N1453">
        <v>0</v>
      </c>
    </row>
    <row r="1454" spans="1:14" x14ac:dyDescent="0.25">
      <c r="A1454">
        <v>921.88066200000003</v>
      </c>
      <c r="B1454" s="1">
        <f>DATE(2012,11,7) + TIME(21,8,9)</f>
        <v>41220.880659722221</v>
      </c>
      <c r="C1454">
        <v>80</v>
      </c>
      <c r="D1454">
        <v>79.375335692999997</v>
      </c>
      <c r="E1454">
        <v>50</v>
      </c>
      <c r="F1454">
        <v>49.980075835999997</v>
      </c>
      <c r="G1454">
        <v>1329.7714844</v>
      </c>
      <c r="H1454">
        <v>1329.0273437999999</v>
      </c>
      <c r="I1454">
        <v>1338.3603516000001</v>
      </c>
      <c r="J1454">
        <v>1335.9016113</v>
      </c>
      <c r="K1454">
        <v>0</v>
      </c>
      <c r="L1454">
        <v>2400</v>
      </c>
      <c r="M1454">
        <v>2400</v>
      </c>
      <c r="N1454">
        <v>0</v>
      </c>
    </row>
    <row r="1455" spans="1:14" x14ac:dyDescent="0.25">
      <c r="A1455">
        <v>922.25928199999998</v>
      </c>
      <c r="B1455" s="1">
        <f>DATE(2012,11,8) + TIME(6,13,21)</f>
        <v>41221.259270833332</v>
      </c>
      <c r="C1455">
        <v>80</v>
      </c>
      <c r="D1455">
        <v>79.345718383999994</v>
      </c>
      <c r="E1455">
        <v>50</v>
      </c>
      <c r="F1455">
        <v>49.979778289999999</v>
      </c>
      <c r="G1455">
        <v>1329.7601318</v>
      </c>
      <c r="H1455">
        <v>1329.0125731999999</v>
      </c>
      <c r="I1455">
        <v>1338.3555908000001</v>
      </c>
      <c r="J1455">
        <v>1335.8979492000001</v>
      </c>
      <c r="K1455">
        <v>0</v>
      </c>
      <c r="L1455">
        <v>2400</v>
      </c>
      <c r="M1455">
        <v>2400</v>
      </c>
      <c r="N1455">
        <v>0</v>
      </c>
    </row>
    <row r="1456" spans="1:14" x14ac:dyDescent="0.25">
      <c r="A1456">
        <v>922.64485300000001</v>
      </c>
      <c r="B1456" s="1">
        <f>DATE(2012,11,8) + TIME(15,28,35)</f>
        <v>41221.644849537035</v>
      </c>
      <c r="C1456">
        <v>80</v>
      </c>
      <c r="D1456">
        <v>79.315635681000003</v>
      </c>
      <c r="E1456">
        <v>50</v>
      </c>
      <c r="F1456">
        <v>49.979576111</v>
      </c>
      <c r="G1456">
        <v>1329.7486572</v>
      </c>
      <c r="H1456">
        <v>1328.9975586</v>
      </c>
      <c r="I1456">
        <v>1338.3508300999999</v>
      </c>
      <c r="J1456">
        <v>1335.8942870999999</v>
      </c>
      <c r="K1456">
        <v>0</v>
      </c>
      <c r="L1456">
        <v>2400</v>
      </c>
      <c r="M1456">
        <v>2400</v>
      </c>
      <c r="N1456">
        <v>0</v>
      </c>
    </row>
    <row r="1457" spans="1:14" x14ac:dyDescent="0.25">
      <c r="A1457">
        <v>923.03842499999996</v>
      </c>
      <c r="B1457" s="1">
        <f>DATE(2012,11,9) + TIME(0,55,19)</f>
        <v>41222.038414351853</v>
      </c>
      <c r="C1457">
        <v>80</v>
      </c>
      <c r="D1457">
        <v>79.285041809000006</v>
      </c>
      <c r="E1457">
        <v>50</v>
      </c>
      <c r="F1457">
        <v>49.979434967000003</v>
      </c>
      <c r="G1457">
        <v>1329.7369385</v>
      </c>
      <c r="H1457">
        <v>1328.9824219</v>
      </c>
      <c r="I1457">
        <v>1338.3461914</v>
      </c>
      <c r="J1457">
        <v>1335.890625</v>
      </c>
      <c r="K1457">
        <v>0</v>
      </c>
      <c r="L1457">
        <v>2400</v>
      </c>
      <c r="M1457">
        <v>2400</v>
      </c>
      <c r="N1457">
        <v>0</v>
      </c>
    </row>
    <row r="1458" spans="1:14" x14ac:dyDescent="0.25">
      <c r="A1458">
        <v>923.44085900000005</v>
      </c>
      <c r="B1458" s="1">
        <f>DATE(2012,11,9) + TIME(10,34,50)</f>
        <v>41222.44085648148</v>
      </c>
      <c r="C1458">
        <v>80</v>
      </c>
      <c r="D1458">
        <v>79.253890991000006</v>
      </c>
      <c r="E1458">
        <v>50</v>
      </c>
      <c r="F1458">
        <v>49.979335785000004</v>
      </c>
      <c r="G1458">
        <v>1329.7252197</v>
      </c>
      <c r="H1458">
        <v>1328.9671631000001</v>
      </c>
      <c r="I1458">
        <v>1338.3415527</v>
      </c>
      <c r="J1458">
        <v>1335.8869629000001</v>
      </c>
      <c r="K1458">
        <v>0</v>
      </c>
      <c r="L1458">
        <v>2400</v>
      </c>
      <c r="M1458">
        <v>2400</v>
      </c>
      <c r="N1458">
        <v>0</v>
      </c>
    </row>
    <row r="1459" spans="1:14" x14ac:dyDescent="0.25">
      <c r="A1459">
        <v>923.85304199999996</v>
      </c>
      <c r="B1459" s="1">
        <f>DATE(2012,11,9) + TIME(20,28,22)</f>
        <v>41222.853032407409</v>
      </c>
      <c r="C1459">
        <v>80</v>
      </c>
      <c r="D1459">
        <v>79.222137450999995</v>
      </c>
      <c r="E1459">
        <v>50</v>
      </c>
      <c r="F1459">
        <v>49.979267120000003</v>
      </c>
      <c r="G1459">
        <v>1329.7132568</v>
      </c>
      <c r="H1459">
        <v>1328.9517822</v>
      </c>
      <c r="I1459">
        <v>1338.3371582</v>
      </c>
      <c r="J1459">
        <v>1335.8834228999999</v>
      </c>
      <c r="K1459">
        <v>0</v>
      </c>
      <c r="L1459">
        <v>2400</v>
      </c>
      <c r="M1459">
        <v>2400</v>
      </c>
      <c r="N1459">
        <v>0</v>
      </c>
    </row>
    <row r="1460" spans="1:14" x14ac:dyDescent="0.25">
      <c r="A1460">
        <v>924.27591500000005</v>
      </c>
      <c r="B1460" s="1">
        <f>DATE(2012,11,10) + TIME(6,37,19)</f>
        <v>41223.275914351849</v>
      </c>
      <c r="C1460">
        <v>80</v>
      </c>
      <c r="D1460">
        <v>79.189727782999995</v>
      </c>
      <c r="E1460">
        <v>50</v>
      </c>
      <c r="F1460">
        <v>49.979213715</v>
      </c>
      <c r="G1460">
        <v>1329.7011719</v>
      </c>
      <c r="H1460">
        <v>1328.9360352000001</v>
      </c>
      <c r="I1460">
        <v>1338.3326416</v>
      </c>
      <c r="J1460">
        <v>1335.8798827999999</v>
      </c>
      <c r="K1460">
        <v>0</v>
      </c>
      <c r="L1460">
        <v>2400</v>
      </c>
      <c r="M1460">
        <v>2400</v>
      </c>
      <c r="N1460">
        <v>0</v>
      </c>
    </row>
    <row r="1461" spans="1:14" x14ac:dyDescent="0.25">
      <c r="A1461">
        <v>924.71045600000002</v>
      </c>
      <c r="B1461" s="1">
        <f>DATE(2012,11,10) + TIME(17,3,3)</f>
        <v>41223.710451388892</v>
      </c>
      <c r="C1461">
        <v>80</v>
      </c>
      <c r="D1461">
        <v>79.156616210999999</v>
      </c>
      <c r="E1461">
        <v>50</v>
      </c>
      <c r="F1461">
        <v>49.979179381999998</v>
      </c>
      <c r="G1461">
        <v>1329.6889647999999</v>
      </c>
      <c r="H1461">
        <v>1328.9200439000001</v>
      </c>
      <c r="I1461">
        <v>1338.3283690999999</v>
      </c>
      <c r="J1461">
        <v>1335.8762207</v>
      </c>
      <c r="K1461">
        <v>0</v>
      </c>
      <c r="L1461">
        <v>2400</v>
      </c>
      <c r="M1461">
        <v>2400</v>
      </c>
      <c r="N1461">
        <v>0</v>
      </c>
    </row>
    <row r="1462" spans="1:14" x14ac:dyDescent="0.25">
      <c r="A1462">
        <v>925.15769399999999</v>
      </c>
      <c r="B1462" s="1">
        <f>DATE(2012,11,11) + TIME(3,47,4)</f>
        <v>41224.157685185186</v>
      </c>
      <c r="C1462">
        <v>80</v>
      </c>
      <c r="D1462">
        <v>79.122741699000002</v>
      </c>
      <c r="E1462">
        <v>50</v>
      </c>
      <c r="F1462">
        <v>49.979152679000002</v>
      </c>
      <c r="G1462">
        <v>1329.6763916</v>
      </c>
      <c r="H1462">
        <v>1328.9038086</v>
      </c>
      <c r="I1462">
        <v>1338.3239745999999</v>
      </c>
      <c r="J1462">
        <v>1335.8726807</v>
      </c>
      <c r="K1462">
        <v>0</v>
      </c>
      <c r="L1462">
        <v>2400</v>
      </c>
      <c r="M1462">
        <v>2400</v>
      </c>
      <c r="N1462">
        <v>0</v>
      </c>
    </row>
    <row r="1463" spans="1:14" x14ac:dyDescent="0.25">
      <c r="A1463">
        <v>925.61872900000003</v>
      </c>
      <c r="B1463" s="1">
        <f>DATE(2012,11,11) + TIME(14,50,58)</f>
        <v>41224.618726851855</v>
      </c>
      <c r="C1463">
        <v>80</v>
      </c>
      <c r="D1463">
        <v>79.088035583000007</v>
      </c>
      <c r="E1463">
        <v>50</v>
      </c>
      <c r="F1463">
        <v>49.979133605999998</v>
      </c>
      <c r="G1463">
        <v>1329.6636963000001</v>
      </c>
      <c r="H1463">
        <v>1328.887207</v>
      </c>
      <c r="I1463">
        <v>1338.3197021000001</v>
      </c>
      <c r="J1463">
        <v>1335.8691406</v>
      </c>
      <c r="K1463">
        <v>0</v>
      </c>
      <c r="L1463">
        <v>2400</v>
      </c>
      <c r="M1463">
        <v>2400</v>
      </c>
      <c r="N1463">
        <v>0</v>
      </c>
    </row>
    <row r="1464" spans="1:14" x14ac:dyDescent="0.25">
      <c r="A1464">
        <v>926.09475899999995</v>
      </c>
      <c r="B1464" s="1">
        <f>DATE(2012,11,12) + TIME(2,16,27)</f>
        <v>41225.094756944447</v>
      </c>
      <c r="C1464">
        <v>80</v>
      </c>
      <c r="D1464">
        <v>79.052436829000001</v>
      </c>
      <c r="E1464">
        <v>50</v>
      </c>
      <c r="F1464">
        <v>49.979118346999996</v>
      </c>
      <c r="G1464">
        <v>1329.6506348</v>
      </c>
      <c r="H1464">
        <v>1328.8702393000001</v>
      </c>
      <c r="I1464">
        <v>1338.3155518000001</v>
      </c>
      <c r="J1464">
        <v>1335.8656006000001</v>
      </c>
      <c r="K1464">
        <v>0</v>
      </c>
      <c r="L1464">
        <v>2400</v>
      </c>
      <c r="M1464">
        <v>2400</v>
      </c>
      <c r="N1464">
        <v>0</v>
      </c>
    </row>
    <row r="1465" spans="1:14" x14ac:dyDescent="0.25">
      <c r="A1465">
        <v>926.58705399999997</v>
      </c>
      <c r="B1465" s="1">
        <f>DATE(2012,11,12) + TIME(14,5,21)</f>
        <v>41225.587048611109</v>
      </c>
      <c r="C1465">
        <v>80</v>
      </c>
      <c r="D1465">
        <v>79.015861510999997</v>
      </c>
      <c r="E1465">
        <v>50</v>
      </c>
      <c r="F1465">
        <v>49.979110718000001</v>
      </c>
      <c r="G1465">
        <v>1329.637207</v>
      </c>
      <c r="H1465">
        <v>1328.8527832</v>
      </c>
      <c r="I1465">
        <v>1338.3112793</v>
      </c>
      <c r="J1465">
        <v>1335.8620605000001</v>
      </c>
      <c r="K1465">
        <v>0</v>
      </c>
      <c r="L1465">
        <v>2400</v>
      </c>
      <c r="M1465">
        <v>2400</v>
      </c>
      <c r="N1465">
        <v>0</v>
      </c>
    </row>
    <row r="1466" spans="1:14" x14ac:dyDescent="0.25">
      <c r="A1466">
        <v>927.09680400000002</v>
      </c>
      <c r="B1466" s="1">
        <f>DATE(2012,11,13) + TIME(2,19,23)</f>
        <v>41226.09679398148</v>
      </c>
      <c r="C1466">
        <v>80</v>
      </c>
      <c r="D1466">
        <v>78.978256225999999</v>
      </c>
      <c r="E1466">
        <v>50</v>
      </c>
      <c r="F1466">
        <v>49.979103088000002</v>
      </c>
      <c r="G1466">
        <v>1329.6235352000001</v>
      </c>
      <c r="H1466">
        <v>1328.8349608999999</v>
      </c>
      <c r="I1466">
        <v>1338.3071289</v>
      </c>
      <c r="J1466">
        <v>1335.8583983999999</v>
      </c>
      <c r="K1466">
        <v>0</v>
      </c>
      <c r="L1466">
        <v>2400</v>
      </c>
      <c r="M1466">
        <v>2400</v>
      </c>
      <c r="N1466">
        <v>0</v>
      </c>
    </row>
    <row r="1467" spans="1:14" x14ac:dyDescent="0.25">
      <c r="A1467">
        <v>927.62561500000004</v>
      </c>
      <c r="B1467" s="1">
        <f>DATE(2012,11,13) + TIME(15,0,53)</f>
        <v>41226.625613425924</v>
      </c>
      <c r="C1467">
        <v>80</v>
      </c>
      <c r="D1467">
        <v>78.939514160000002</v>
      </c>
      <c r="E1467">
        <v>50</v>
      </c>
      <c r="F1467">
        <v>49.979099273999999</v>
      </c>
      <c r="G1467">
        <v>1329.6094971</v>
      </c>
      <c r="H1467">
        <v>1328.8166504000001</v>
      </c>
      <c r="I1467">
        <v>1338.3029785000001</v>
      </c>
      <c r="J1467">
        <v>1335.8548584</v>
      </c>
      <c r="K1467">
        <v>0</v>
      </c>
      <c r="L1467">
        <v>2400</v>
      </c>
      <c r="M1467">
        <v>2400</v>
      </c>
      <c r="N1467">
        <v>0</v>
      </c>
    </row>
    <row r="1468" spans="1:14" x14ac:dyDescent="0.25">
      <c r="A1468">
        <v>928.17517899999996</v>
      </c>
      <c r="B1468" s="1">
        <f>DATE(2012,11,14) + TIME(4,12,15)</f>
        <v>41227.175173611111</v>
      </c>
      <c r="C1468">
        <v>80</v>
      </c>
      <c r="D1468">
        <v>78.899551392000006</v>
      </c>
      <c r="E1468">
        <v>50</v>
      </c>
      <c r="F1468">
        <v>49.979095459</v>
      </c>
      <c r="G1468">
        <v>1329.5949707</v>
      </c>
      <c r="H1468">
        <v>1328.7978516000001</v>
      </c>
      <c r="I1468">
        <v>1338.2989502</v>
      </c>
      <c r="J1468">
        <v>1335.8511963000001</v>
      </c>
      <c r="K1468">
        <v>0</v>
      </c>
      <c r="L1468">
        <v>2400</v>
      </c>
      <c r="M1468">
        <v>2400</v>
      </c>
      <c r="N1468">
        <v>0</v>
      </c>
    </row>
    <row r="1469" spans="1:14" x14ac:dyDescent="0.25">
      <c r="A1469">
        <v>928.74732100000006</v>
      </c>
      <c r="B1469" s="1">
        <f>DATE(2012,11,14) + TIME(17,56,8)</f>
        <v>41227.747314814813</v>
      </c>
      <c r="C1469">
        <v>80</v>
      </c>
      <c r="D1469">
        <v>78.858268738000007</v>
      </c>
      <c r="E1469">
        <v>50</v>
      </c>
      <c r="F1469">
        <v>49.979095459</v>
      </c>
      <c r="G1469">
        <v>1329.5799560999999</v>
      </c>
      <c r="H1469">
        <v>1328.7783202999999</v>
      </c>
      <c r="I1469">
        <v>1338.2947998</v>
      </c>
      <c r="J1469">
        <v>1335.8475341999999</v>
      </c>
      <c r="K1469">
        <v>0</v>
      </c>
      <c r="L1469">
        <v>2400</v>
      </c>
      <c r="M1469">
        <v>2400</v>
      </c>
      <c r="N1469">
        <v>0</v>
      </c>
    </row>
    <row r="1470" spans="1:14" x14ac:dyDescent="0.25">
      <c r="A1470">
        <v>929.34406300000001</v>
      </c>
      <c r="B1470" s="1">
        <f>DATE(2012,11,15) + TIME(8,15,27)</f>
        <v>41228.3440625</v>
      </c>
      <c r="C1470">
        <v>80</v>
      </c>
      <c r="D1470">
        <v>78.815544127999999</v>
      </c>
      <c r="E1470">
        <v>50</v>
      </c>
      <c r="F1470">
        <v>49.979099273999999</v>
      </c>
      <c r="G1470">
        <v>1329.5645752</v>
      </c>
      <c r="H1470">
        <v>1328.7583007999999</v>
      </c>
      <c r="I1470">
        <v>1338.2906493999999</v>
      </c>
      <c r="J1470">
        <v>1335.84375</v>
      </c>
      <c r="K1470">
        <v>0</v>
      </c>
      <c r="L1470">
        <v>2400</v>
      </c>
      <c r="M1470">
        <v>2400</v>
      </c>
      <c r="N1470">
        <v>0</v>
      </c>
    </row>
    <row r="1471" spans="1:14" x14ac:dyDescent="0.25">
      <c r="A1471">
        <v>929.96765100000005</v>
      </c>
      <c r="B1471" s="1">
        <f>DATE(2012,11,15) + TIME(23,13,25)</f>
        <v>41228.967650462961</v>
      </c>
      <c r="C1471">
        <v>80</v>
      </c>
      <c r="D1471">
        <v>78.771255492999998</v>
      </c>
      <c r="E1471">
        <v>50</v>
      </c>
      <c r="F1471">
        <v>49.979099273999999</v>
      </c>
      <c r="G1471">
        <v>1329.5485839999999</v>
      </c>
      <c r="H1471">
        <v>1328.7374268000001</v>
      </c>
      <c r="I1471">
        <v>1338.286499</v>
      </c>
      <c r="J1471">
        <v>1335.8400879000001</v>
      </c>
      <c r="K1471">
        <v>0</v>
      </c>
      <c r="L1471">
        <v>2400</v>
      </c>
      <c r="M1471">
        <v>2400</v>
      </c>
      <c r="N1471">
        <v>0</v>
      </c>
    </row>
    <row r="1472" spans="1:14" x14ac:dyDescent="0.25">
      <c r="A1472">
        <v>930.62057400000003</v>
      </c>
      <c r="B1472" s="1">
        <f>DATE(2012,11,16) + TIME(14,53,37)</f>
        <v>41229.620567129627</v>
      </c>
      <c r="C1472">
        <v>80</v>
      </c>
      <c r="D1472">
        <v>78.725280761999997</v>
      </c>
      <c r="E1472">
        <v>50</v>
      </c>
      <c r="F1472">
        <v>49.979103088000002</v>
      </c>
      <c r="G1472">
        <v>1329.5319824000001</v>
      </c>
      <c r="H1472">
        <v>1328.7158202999999</v>
      </c>
      <c r="I1472">
        <v>1338.2823486</v>
      </c>
      <c r="J1472">
        <v>1335.8361815999999</v>
      </c>
      <c r="K1472">
        <v>0</v>
      </c>
      <c r="L1472">
        <v>2400</v>
      </c>
      <c r="M1472">
        <v>2400</v>
      </c>
      <c r="N1472">
        <v>0</v>
      </c>
    </row>
    <row r="1473" spans="1:14" x14ac:dyDescent="0.25">
      <c r="A1473">
        <v>931.30564000000004</v>
      </c>
      <c r="B1473" s="1">
        <f>DATE(2012,11,17) + TIME(7,20,7)</f>
        <v>41230.305636574078</v>
      </c>
      <c r="C1473">
        <v>80</v>
      </c>
      <c r="D1473">
        <v>78.677459717000005</v>
      </c>
      <c r="E1473">
        <v>50</v>
      </c>
      <c r="F1473">
        <v>49.979110718000001</v>
      </c>
      <c r="G1473">
        <v>1329.5147704999999</v>
      </c>
      <c r="H1473">
        <v>1328.6934814000001</v>
      </c>
      <c r="I1473">
        <v>1338.2781981999999</v>
      </c>
      <c r="J1473">
        <v>1335.8323975000001</v>
      </c>
      <c r="K1473">
        <v>0</v>
      </c>
      <c r="L1473">
        <v>2400</v>
      </c>
      <c r="M1473">
        <v>2400</v>
      </c>
      <c r="N1473">
        <v>0</v>
      </c>
    </row>
    <row r="1474" spans="1:14" x14ac:dyDescent="0.25">
      <c r="A1474">
        <v>932.02601500000003</v>
      </c>
      <c r="B1474" s="1">
        <f>DATE(2012,11,18) + TIME(0,37,27)</f>
        <v>41231.026006944441</v>
      </c>
      <c r="C1474">
        <v>80</v>
      </c>
      <c r="D1474">
        <v>78.627639771000005</v>
      </c>
      <c r="E1474">
        <v>50</v>
      </c>
      <c r="F1474">
        <v>49.979114531999997</v>
      </c>
      <c r="G1474">
        <v>1329.4968262</v>
      </c>
      <c r="H1474">
        <v>1328.6700439000001</v>
      </c>
      <c r="I1474">
        <v>1338.2740478999999</v>
      </c>
      <c r="J1474">
        <v>1335.8284911999999</v>
      </c>
      <c r="K1474">
        <v>0</v>
      </c>
      <c r="L1474">
        <v>2400</v>
      </c>
      <c r="M1474">
        <v>2400</v>
      </c>
      <c r="N1474">
        <v>0</v>
      </c>
    </row>
    <row r="1475" spans="1:14" x14ac:dyDescent="0.25">
      <c r="A1475">
        <v>932.78526399999998</v>
      </c>
      <c r="B1475" s="1">
        <f>DATE(2012,11,18) + TIME(18,50,46)</f>
        <v>41231.785254629627</v>
      </c>
      <c r="C1475">
        <v>80</v>
      </c>
      <c r="D1475">
        <v>78.575622558999996</v>
      </c>
      <c r="E1475">
        <v>50</v>
      </c>
      <c r="F1475">
        <v>49.979122162000003</v>
      </c>
      <c r="G1475">
        <v>1329.4781493999999</v>
      </c>
      <c r="H1475">
        <v>1328.6456298999999</v>
      </c>
      <c r="I1475">
        <v>1338.2697754000001</v>
      </c>
      <c r="J1475">
        <v>1335.8244629000001</v>
      </c>
      <c r="K1475">
        <v>0</v>
      </c>
      <c r="L1475">
        <v>2400</v>
      </c>
      <c r="M1475">
        <v>2400</v>
      </c>
      <c r="N1475">
        <v>0</v>
      </c>
    </row>
    <row r="1476" spans="1:14" x14ac:dyDescent="0.25">
      <c r="A1476">
        <v>933.58455300000003</v>
      </c>
      <c r="B1476" s="1">
        <f>DATE(2012,11,19) + TIME(14,1,45)</f>
        <v>41232.584548611114</v>
      </c>
      <c r="C1476">
        <v>80</v>
      </c>
      <c r="D1476">
        <v>78.521339416999993</v>
      </c>
      <c r="E1476">
        <v>50</v>
      </c>
      <c r="F1476">
        <v>49.979133605999998</v>
      </c>
      <c r="G1476">
        <v>1329.4584961</v>
      </c>
      <c r="H1476">
        <v>1328.6201172000001</v>
      </c>
      <c r="I1476">
        <v>1338.2655029</v>
      </c>
      <c r="J1476">
        <v>1335.8203125</v>
      </c>
      <c r="K1476">
        <v>0</v>
      </c>
      <c r="L1476">
        <v>2400</v>
      </c>
      <c r="M1476">
        <v>2400</v>
      </c>
      <c r="N1476">
        <v>0</v>
      </c>
    </row>
    <row r="1477" spans="1:14" x14ac:dyDescent="0.25">
      <c r="A1477">
        <v>934.39510399999995</v>
      </c>
      <c r="B1477" s="1">
        <f>DATE(2012,11,20) + TIME(9,28,56)</f>
        <v>41233.395092592589</v>
      </c>
      <c r="C1477">
        <v>80</v>
      </c>
      <c r="D1477">
        <v>78.465904236</v>
      </c>
      <c r="E1477">
        <v>50</v>
      </c>
      <c r="F1477">
        <v>49.979141235</v>
      </c>
      <c r="G1477">
        <v>1329.4381103999999</v>
      </c>
      <c r="H1477">
        <v>1328.5936279</v>
      </c>
      <c r="I1477">
        <v>1338.2612305</v>
      </c>
      <c r="J1477">
        <v>1335.8161620999999</v>
      </c>
      <c r="K1477">
        <v>0</v>
      </c>
      <c r="L1477">
        <v>2400</v>
      </c>
      <c r="M1477">
        <v>2400</v>
      </c>
      <c r="N1477">
        <v>0</v>
      </c>
    </row>
    <row r="1478" spans="1:14" x14ac:dyDescent="0.25">
      <c r="A1478">
        <v>935.215374</v>
      </c>
      <c r="B1478" s="1">
        <f>DATE(2012,11,21) + TIME(5,10,8)</f>
        <v>41234.215370370373</v>
      </c>
      <c r="C1478">
        <v>80</v>
      </c>
      <c r="D1478">
        <v>78.409706115999995</v>
      </c>
      <c r="E1478">
        <v>50</v>
      </c>
      <c r="F1478">
        <v>49.979148864999999</v>
      </c>
      <c r="G1478">
        <v>1329.4173584</v>
      </c>
      <c r="H1478">
        <v>1328.5665283000001</v>
      </c>
      <c r="I1478">
        <v>1338.2570800999999</v>
      </c>
      <c r="J1478">
        <v>1335.8120117000001</v>
      </c>
      <c r="K1478">
        <v>0</v>
      </c>
      <c r="L1478">
        <v>2400</v>
      </c>
      <c r="M1478">
        <v>2400</v>
      </c>
      <c r="N1478">
        <v>0</v>
      </c>
    </row>
    <row r="1479" spans="1:14" x14ac:dyDescent="0.25">
      <c r="A1479">
        <v>936.04737999999998</v>
      </c>
      <c r="B1479" s="1">
        <f>DATE(2012,11,22) + TIME(1,8,13)</f>
        <v>41235.047372685185</v>
      </c>
      <c r="C1479">
        <v>80</v>
      </c>
      <c r="D1479">
        <v>78.352890015</v>
      </c>
      <c r="E1479">
        <v>50</v>
      </c>
      <c r="F1479">
        <v>49.979160309000001</v>
      </c>
      <c r="G1479">
        <v>1329.3964844</v>
      </c>
      <c r="H1479">
        <v>1328.5391846</v>
      </c>
      <c r="I1479">
        <v>1338.2529297000001</v>
      </c>
      <c r="J1479">
        <v>1335.8079834</v>
      </c>
      <c r="K1479">
        <v>0</v>
      </c>
      <c r="L1479">
        <v>2400</v>
      </c>
      <c r="M1479">
        <v>2400</v>
      </c>
      <c r="N1479">
        <v>0</v>
      </c>
    </row>
    <row r="1480" spans="1:14" x14ac:dyDescent="0.25">
      <c r="A1480">
        <v>936.89310999999998</v>
      </c>
      <c r="B1480" s="1">
        <f>DATE(2012,11,22) + TIME(21,26,4)</f>
        <v>41235.893101851849</v>
      </c>
      <c r="C1480">
        <v>80</v>
      </c>
      <c r="D1480">
        <v>78.295478821000003</v>
      </c>
      <c r="E1480">
        <v>50</v>
      </c>
      <c r="F1480">
        <v>49.979171753000003</v>
      </c>
      <c r="G1480">
        <v>1329.3752440999999</v>
      </c>
      <c r="H1480">
        <v>1328.5115966999999</v>
      </c>
      <c r="I1480">
        <v>1338.2490233999999</v>
      </c>
      <c r="J1480">
        <v>1335.8039550999999</v>
      </c>
      <c r="K1480">
        <v>0</v>
      </c>
      <c r="L1480">
        <v>2400</v>
      </c>
      <c r="M1480">
        <v>2400</v>
      </c>
      <c r="N1480">
        <v>0</v>
      </c>
    </row>
    <row r="1481" spans="1:14" x14ac:dyDescent="0.25">
      <c r="A1481">
        <v>937.75457400000005</v>
      </c>
      <c r="B1481" s="1">
        <f>DATE(2012,11,23) + TIME(18,6,35)</f>
        <v>41236.754571759258</v>
      </c>
      <c r="C1481">
        <v>80</v>
      </c>
      <c r="D1481">
        <v>78.237464904999996</v>
      </c>
      <c r="E1481">
        <v>50</v>
      </c>
      <c r="F1481">
        <v>49.979183196999998</v>
      </c>
      <c r="G1481">
        <v>1329.3538818</v>
      </c>
      <c r="H1481">
        <v>1328.4836425999999</v>
      </c>
      <c r="I1481">
        <v>1338.2451172000001</v>
      </c>
      <c r="J1481">
        <v>1335.8000488</v>
      </c>
      <c r="K1481">
        <v>0</v>
      </c>
      <c r="L1481">
        <v>2400</v>
      </c>
      <c r="M1481">
        <v>2400</v>
      </c>
      <c r="N1481">
        <v>0</v>
      </c>
    </row>
    <row r="1482" spans="1:14" x14ac:dyDescent="0.25">
      <c r="A1482">
        <v>938.63385800000003</v>
      </c>
      <c r="B1482" s="1">
        <f>DATE(2012,11,24) + TIME(15,12,45)</f>
        <v>41237.63385416667</v>
      </c>
      <c r="C1482">
        <v>80</v>
      </c>
      <c r="D1482">
        <v>78.178779602000006</v>
      </c>
      <c r="E1482">
        <v>50</v>
      </c>
      <c r="F1482">
        <v>49.979194640999999</v>
      </c>
      <c r="G1482">
        <v>1329.3322754000001</v>
      </c>
      <c r="H1482">
        <v>1328.4554443</v>
      </c>
      <c r="I1482">
        <v>1338.2414550999999</v>
      </c>
      <c r="J1482">
        <v>1335.7961425999999</v>
      </c>
      <c r="K1482">
        <v>0</v>
      </c>
      <c r="L1482">
        <v>2400</v>
      </c>
      <c r="M1482">
        <v>2400</v>
      </c>
      <c r="N1482">
        <v>0</v>
      </c>
    </row>
    <row r="1483" spans="1:14" x14ac:dyDescent="0.25">
      <c r="A1483">
        <v>939.533096</v>
      </c>
      <c r="B1483" s="1">
        <f>DATE(2012,11,25) + TIME(12,47,39)</f>
        <v>41238.533090277779</v>
      </c>
      <c r="C1483">
        <v>80</v>
      </c>
      <c r="D1483">
        <v>78.119346618999998</v>
      </c>
      <c r="E1483">
        <v>50</v>
      </c>
      <c r="F1483">
        <v>49.979206085000001</v>
      </c>
      <c r="G1483">
        <v>1329.3103027</v>
      </c>
      <c r="H1483">
        <v>1328.4267577999999</v>
      </c>
      <c r="I1483">
        <v>1338.2376709</v>
      </c>
      <c r="J1483">
        <v>1335.7923584</v>
      </c>
      <c r="K1483">
        <v>0</v>
      </c>
      <c r="L1483">
        <v>2400</v>
      </c>
      <c r="M1483">
        <v>2400</v>
      </c>
      <c r="N1483">
        <v>0</v>
      </c>
    </row>
    <row r="1484" spans="1:14" x14ac:dyDescent="0.25">
      <c r="A1484">
        <v>940.45453599999996</v>
      </c>
      <c r="B1484" s="1">
        <f>DATE(2012,11,26) + TIME(10,54,31)</f>
        <v>41239.454525462963</v>
      </c>
      <c r="C1484">
        <v>80</v>
      </c>
      <c r="D1484">
        <v>78.059059142999999</v>
      </c>
      <c r="E1484">
        <v>50</v>
      </c>
      <c r="F1484">
        <v>49.979221344000003</v>
      </c>
      <c r="G1484">
        <v>1329.2879639</v>
      </c>
      <c r="H1484">
        <v>1328.3975829999999</v>
      </c>
      <c r="I1484">
        <v>1338.2340088000001</v>
      </c>
      <c r="J1484">
        <v>1335.7884521000001</v>
      </c>
      <c r="K1484">
        <v>0</v>
      </c>
      <c r="L1484">
        <v>2400</v>
      </c>
      <c r="M1484">
        <v>2400</v>
      </c>
      <c r="N1484">
        <v>0</v>
      </c>
    </row>
    <row r="1485" spans="1:14" x14ac:dyDescent="0.25">
      <c r="A1485">
        <v>941.38967400000001</v>
      </c>
      <c r="B1485" s="1">
        <f>DATE(2012,11,27) + TIME(9,21,7)</f>
        <v>41240.389664351853</v>
      </c>
      <c r="C1485">
        <v>80</v>
      </c>
      <c r="D1485">
        <v>77.998191833000007</v>
      </c>
      <c r="E1485">
        <v>50</v>
      </c>
      <c r="F1485">
        <v>49.979236602999997</v>
      </c>
      <c r="G1485">
        <v>1329.2653809000001</v>
      </c>
      <c r="H1485">
        <v>1328.3679199000001</v>
      </c>
      <c r="I1485">
        <v>1338.2304687999999</v>
      </c>
      <c r="J1485">
        <v>1335.784668</v>
      </c>
      <c r="K1485">
        <v>0</v>
      </c>
      <c r="L1485">
        <v>2400</v>
      </c>
      <c r="M1485">
        <v>2400</v>
      </c>
      <c r="N1485">
        <v>0</v>
      </c>
    </row>
    <row r="1486" spans="1:14" x14ac:dyDescent="0.25">
      <c r="A1486">
        <v>942.34053800000004</v>
      </c>
      <c r="B1486" s="1">
        <f>DATE(2012,11,28) + TIME(8,10,22)</f>
        <v>41241.340532407405</v>
      </c>
      <c r="C1486">
        <v>80</v>
      </c>
      <c r="D1486">
        <v>77.936782836999996</v>
      </c>
      <c r="E1486">
        <v>50</v>
      </c>
      <c r="F1486">
        <v>49.979248046999999</v>
      </c>
      <c r="G1486">
        <v>1329.2424315999999</v>
      </c>
      <c r="H1486">
        <v>1328.3380127</v>
      </c>
      <c r="I1486">
        <v>1338.2269286999999</v>
      </c>
      <c r="J1486">
        <v>1335.7808838000001</v>
      </c>
      <c r="K1486">
        <v>0</v>
      </c>
      <c r="L1486">
        <v>2400</v>
      </c>
      <c r="M1486">
        <v>2400</v>
      </c>
      <c r="N1486">
        <v>0</v>
      </c>
    </row>
    <row r="1487" spans="1:14" x14ac:dyDescent="0.25">
      <c r="A1487">
        <v>943.309349</v>
      </c>
      <c r="B1487" s="1">
        <f>DATE(2012,11,29) + TIME(7,25,27)</f>
        <v>41242.309340277781</v>
      </c>
      <c r="C1487">
        <v>80</v>
      </c>
      <c r="D1487">
        <v>77.874786377000007</v>
      </c>
      <c r="E1487">
        <v>50</v>
      </c>
      <c r="F1487">
        <v>49.979263306</v>
      </c>
      <c r="G1487">
        <v>1329.2191161999999</v>
      </c>
      <c r="H1487">
        <v>1328.3076172000001</v>
      </c>
      <c r="I1487">
        <v>1338.2235106999999</v>
      </c>
      <c r="J1487">
        <v>1335.7772216999999</v>
      </c>
      <c r="K1487">
        <v>0</v>
      </c>
      <c r="L1487">
        <v>2400</v>
      </c>
      <c r="M1487">
        <v>2400</v>
      </c>
      <c r="N1487">
        <v>0</v>
      </c>
    </row>
    <row r="1488" spans="1:14" x14ac:dyDescent="0.25">
      <c r="A1488">
        <v>944.29839000000004</v>
      </c>
      <c r="B1488" s="1">
        <f>DATE(2012,11,30) + TIME(7,9,40)</f>
        <v>41243.298379629632</v>
      </c>
      <c r="C1488">
        <v>80</v>
      </c>
      <c r="D1488">
        <v>77.812141417999996</v>
      </c>
      <c r="E1488">
        <v>50</v>
      </c>
      <c r="F1488">
        <v>49.979278563999998</v>
      </c>
      <c r="G1488">
        <v>1329.1956786999999</v>
      </c>
      <c r="H1488">
        <v>1328.2768555</v>
      </c>
      <c r="I1488">
        <v>1338.2202147999999</v>
      </c>
      <c r="J1488">
        <v>1335.7734375</v>
      </c>
      <c r="K1488">
        <v>0</v>
      </c>
      <c r="L1488">
        <v>2400</v>
      </c>
      <c r="M1488">
        <v>2400</v>
      </c>
      <c r="N1488">
        <v>0</v>
      </c>
    </row>
    <row r="1489" spans="1:14" x14ac:dyDescent="0.25">
      <c r="A1489">
        <v>945</v>
      </c>
      <c r="B1489" s="1">
        <f>DATE(2012,12,1) + TIME(0,0,0)</f>
        <v>41244</v>
      </c>
      <c r="C1489">
        <v>80</v>
      </c>
      <c r="D1489">
        <v>77.760574340999995</v>
      </c>
      <c r="E1489">
        <v>50</v>
      </c>
      <c r="F1489">
        <v>49.979290009000003</v>
      </c>
      <c r="G1489">
        <v>1329.1724853999999</v>
      </c>
      <c r="H1489">
        <v>1328.246582</v>
      </c>
      <c r="I1489">
        <v>1338.2166748</v>
      </c>
      <c r="J1489">
        <v>1335.7698975000001</v>
      </c>
      <c r="K1489">
        <v>0</v>
      </c>
      <c r="L1489">
        <v>2400</v>
      </c>
      <c r="M1489">
        <v>2400</v>
      </c>
      <c r="N1489">
        <v>0</v>
      </c>
    </row>
    <row r="1490" spans="1:14" x14ac:dyDescent="0.25">
      <c r="A1490">
        <v>946.01164100000005</v>
      </c>
      <c r="B1490" s="1">
        <f>DATE(2012,12,2) + TIME(0,16,45)</f>
        <v>41245.011631944442</v>
      </c>
      <c r="C1490">
        <v>80</v>
      </c>
      <c r="D1490">
        <v>77.700790405000006</v>
      </c>
      <c r="E1490">
        <v>50</v>
      </c>
      <c r="F1490">
        <v>49.979305267000001</v>
      </c>
      <c r="G1490">
        <v>1329.1530762</v>
      </c>
      <c r="H1490">
        <v>1328.2211914</v>
      </c>
      <c r="I1490">
        <v>1338.2145995999999</v>
      </c>
      <c r="J1490">
        <v>1335.7670897999999</v>
      </c>
      <c r="K1490">
        <v>0</v>
      </c>
      <c r="L1490">
        <v>2400</v>
      </c>
      <c r="M1490">
        <v>2400</v>
      </c>
      <c r="N1490">
        <v>0</v>
      </c>
    </row>
    <row r="1491" spans="1:14" x14ac:dyDescent="0.25">
      <c r="A1491">
        <v>947.06758400000001</v>
      </c>
      <c r="B1491" s="1">
        <f>DATE(2012,12,3) + TIME(1,37,19)</f>
        <v>41246.06758101852</v>
      </c>
      <c r="C1491">
        <v>80</v>
      </c>
      <c r="D1491">
        <v>77.638061523000005</v>
      </c>
      <c r="E1491">
        <v>50</v>
      </c>
      <c r="F1491">
        <v>49.979324341000002</v>
      </c>
      <c r="G1491">
        <v>1329.1298827999999</v>
      </c>
      <c r="H1491">
        <v>1328.190918</v>
      </c>
      <c r="I1491">
        <v>1338.2114257999999</v>
      </c>
      <c r="J1491">
        <v>1335.7635498</v>
      </c>
      <c r="K1491">
        <v>0</v>
      </c>
      <c r="L1491">
        <v>2400</v>
      </c>
      <c r="M1491">
        <v>2400</v>
      </c>
      <c r="N1491">
        <v>0</v>
      </c>
    </row>
    <row r="1492" spans="1:14" x14ac:dyDescent="0.25">
      <c r="A1492">
        <v>948.15260999999998</v>
      </c>
      <c r="B1492" s="1">
        <f>DATE(2012,12,4) + TIME(3,39,45)</f>
        <v>41247.152604166666</v>
      </c>
      <c r="C1492">
        <v>80</v>
      </c>
      <c r="D1492">
        <v>77.573219299000002</v>
      </c>
      <c r="E1492">
        <v>50</v>
      </c>
      <c r="F1492">
        <v>49.979339600000003</v>
      </c>
      <c r="G1492">
        <v>1329.1053466999999</v>
      </c>
      <c r="H1492">
        <v>1328.1586914</v>
      </c>
      <c r="I1492">
        <v>1338.2081298999999</v>
      </c>
      <c r="J1492">
        <v>1335.7600098</v>
      </c>
      <c r="K1492">
        <v>0</v>
      </c>
      <c r="L1492">
        <v>2400</v>
      </c>
      <c r="M1492">
        <v>2400</v>
      </c>
      <c r="N1492">
        <v>0</v>
      </c>
    </row>
    <row r="1493" spans="1:14" x14ac:dyDescent="0.25">
      <c r="A1493">
        <v>949.26989900000001</v>
      </c>
      <c r="B1493" s="1">
        <f>DATE(2012,12,5) + TIME(6,28,39)</f>
        <v>41248.269895833335</v>
      </c>
      <c r="C1493">
        <v>80</v>
      </c>
      <c r="D1493">
        <v>77.506668090999995</v>
      </c>
      <c r="E1493">
        <v>50</v>
      </c>
      <c r="F1493">
        <v>49.979358673</v>
      </c>
      <c r="G1493">
        <v>1329.0798339999999</v>
      </c>
      <c r="H1493">
        <v>1328.1254882999999</v>
      </c>
      <c r="I1493">
        <v>1338.2049560999999</v>
      </c>
      <c r="J1493">
        <v>1335.7563477000001</v>
      </c>
      <c r="K1493">
        <v>0</v>
      </c>
      <c r="L1493">
        <v>2400</v>
      </c>
      <c r="M1493">
        <v>2400</v>
      </c>
      <c r="N1493">
        <v>0</v>
      </c>
    </row>
    <row r="1494" spans="1:14" x14ac:dyDescent="0.25">
      <c r="A1494">
        <v>950.42222500000003</v>
      </c>
      <c r="B1494" s="1">
        <f>DATE(2012,12,6) + TIME(10,8,0)</f>
        <v>41249.422222222223</v>
      </c>
      <c r="C1494">
        <v>80</v>
      </c>
      <c r="D1494">
        <v>77.438545227000006</v>
      </c>
      <c r="E1494">
        <v>50</v>
      </c>
      <c r="F1494">
        <v>49.979377747000001</v>
      </c>
      <c r="G1494">
        <v>1329.0537108999999</v>
      </c>
      <c r="H1494">
        <v>1328.0911865</v>
      </c>
      <c r="I1494">
        <v>1338.2017822</v>
      </c>
      <c r="J1494">
        <v>1335.7526855000001</v>
      </c>
      <c r="K1494">
        <v>0</v>
      </c>
      <c r="L1494">
        <v>2400</v>
      </c>
      <c r="M1494">
        <v>2400</v>
      </c>
      <c r="N1494">
        <v>0</v>
      </c>
    </row>
    <row r="1495" spans="1:14" x14ac:dyDescent="0.25">
      <c r="A1495">
        <v>951.61308899999995</v>
      </c>
      <c r="B1495" s="1">
        <f>DATE(2012,12,7) + TIME(14,42,50)</f>
        <v>41250.613078703704</v>
      </c>
      <c r="C1495">
        <v>80</v>
      </c>
      <c r="D1495">
        <v>77.368858337000006</v>
      </c>
      <c r="E1495">
        <v>50</v>
      </c>
      <c r="F1495">
        <v>49.979396819999998</v>
      </c>
      <c r="G1495">
        <v>1329.0268555</v>
      </c>
      <c r="H1495">
        <v>1328.0560303</v>
      </c>
      <c r="I1495">
        <v>1338.1986084</v>
      </c>
      <c r="J1495">
        <v>1335.7490233999999</v>
      </c>
      <c r="K1495">
        <v>0</v>
      </c>
      <c r="L1495">
        <v>2400</v>
      </c>
      <c r="M1495">
        <v>2400</v>
      </c>
      <c r="N1495">
        <v>0</v>
      </c>
    </row>
    <row r="1496" spans="1:14" x14ac:dyDescent="0.25">
      <c r="A1496">
        <v>952.84619499999997</v>
      </c>
      <c r="B1496" s="1">
        <f>DATE(2012,12,8) + TIME(20,18,31)</f>
        <v>41251.846192129633</v>
      </c>
      <c r="C1496">
        <v>80</v>
      </c>
      <c r="D1496">
        <v>77.297538756999998</v>
      </c>
      <c r="E1496">
        <v>50</v>
      </c>
      <c r="F1496">
        <v>49.979415893999999</v>
      </c>
      <c r="G1496">
        <v>1328.9991454999999</v>
      </c>
      <c r="H1496">
        <v>1328.0198975000001</v>
      </c>
      <c r="I1496">
        <v>1338.1954346</v>
      </c>
      <c r="J1496">
        <v>1335.7452393000001</v>
      </c>
      <c r="K1496">
        <v>0</v>
      </c>
      <c r="L1496">
        <v>2400</v>
      </c>
      <c r="M1496">
        <v>2400</v>
      </c>
      <c r="N1496">
        <v>0</v>
      </c>
    </row>
    <row r="1497" spans="1:14" x14ac:dyDescent="0.25">
      <c r="A1497">
        <v>954.125586</v>
      </c>
      <c r="B1497" s="1">
        <f>DATE(2012,12,10) + TIME(3,0,50)</f>
        <v>41253.125578703701</v>
      </c>
      <c r="C1497">
        <v>80</v>
      </c>
      <c r="D1497">
        <v>77.224464416999993</v>
      </c>
      <c r="E1497">
        <v>50</v>
      </c>
      <c r="F1497">
        <v>49.979434967000003</v>
      </c>
      <c r="G1497">
        <v>1328.9707031</v>
      </c>
      <c r="H1497">
        <v>1327.9825439000001</v>
      </c>
      <c r="I1497">
        <v>1338.1922606999999</v>
      </c>
      <c r="J1497">
        <v>1335.7415771000001</v>
      </c>
      <c r="K1497">
        <v>0</v>
      </c>
      <c r="L1497">
        <v>2400</v>
      </c>
      <c r="M1497">
        <v>2400</v>
      </c>
      <c r="N1497">
        <v>0</v>
      </c>
    </row>
    <row r="1498" spans="1:14" x14ac:dyDescent="0.25">
      <c r="A1498">
        <v>955.45569999999998</v>
      </c>
      <c r="B1498" s="1">
        <f>DATE(2012,12,11) + TIME(10,56,12)</f>
        <v>41254.455694444441</v>
      </c>
      <c r="C1498">
        <v>80</v>
      </c>
      <c r="D1498">
        <v>77.149490356000001</v>
      </c>
      <c r="E1498">
        <v>50</v>
      </c>
      <c r="F1498">
        <v>49.979457855</v>
      </c>
      <c r="G1498">
        <v>1328.9414062000001</v>
      </c>
      <c r="H1498">
        <v>1327.9440918</v>
      </c>
      <c r="I1498">
        <v>1338.1890868999999</v>
      </c>
      <c r="J1498">
        <v>1335.737793</v>
      </c>
      <c r="K1498">
        <v>0</v>
      </c>
      <c r="L1498">
        <v>2400</v>
      </c>
      <c r="M1498">
        <v>2400</v>
      </c>
      <c r="N1498">
        <v>0</v>
      </c>
    </row>
    <row r="1499" spans="1:14" x14ac:dyDescent="0.25">
      <c r="A1499">
        <v>956.84145599999999</v>
      </c>
      <c r="B1499" s="1">
        <f>DATE(2012,12,12) + TIME(20,11,41)</f>
        <v>41255.841446759259</v>
      </c>
      <c r="C1499">
        <v>80</v>
      </c>
      <c r="D1499">
        <v>77.072448730000005</v>
      </c>
      <c r="E1499">
        <v>50</v>
      </c>
      <c r="F1499">
        <v>49.979480743000003</v>
      </c>
      <c r="G1499">
        <v>1328.9110106999999</v>
      </c>
      <c r="H1499">
        <v>1327.9044189000001</v>
      </c>
      <c r="I1499">
        <v>1338.1859131000001</v>
      </c>
      <c r="J1499">
        <v>1335.7340088000001</v>
      </c>
      <c r="K1499">
        <v>0</v>
      </c>
      <c r="L1499">
        <v>2400</v>
      </c>
      <c r="M1499">
        <v>2400</v>
      </c>
      <c r="N1499">
        <v>0</v>
      </c>
    </row>
    <row r="1500" spans="1:14" x14ac:dyDescent="0.25">
      <c r="A1500">
        <v>958.28831200000002</v>
      </c>
      <c r="B1500" s="1">
        <f>DATE(2012,12,14) + TIME(6,55,10)</f>
        <v>41257.288310185184</v>
      </c>
      <c r="C1500">
        <v>80</v>
      </c>
      <c r="D1500">
        <v>76.993148804</v>
      </c>
      <c r="E1500">
        <v>50</v>
      </c>
      <c r="F1500">
        <v>49.979503631999997</v>
      </c>
      <c r="G1500">
        <v>1328.8795166</v>
      </c>
      <c r="H1500">
        <v>1327.8631591999999</v>
      </c>
      <c r="I1500">
        <v>1338.1827393000001</v>
      </c>
      <c r="J1500">
        <v>1335.7301024999999</v>
      </c>
      <c r="K1500">
        <v>0</v>
      </c>
      <c r="L1500">
        <v>2400</v>
      </c>
      <c r="M1500">
        <v>2400</v>
      </c>
      <c r="N1500">
        <v>0</v>
      </c>
    </row>
    <row r="1501" spans="1:14" x14ac:dyDescent="0.25">
      <c r="A1501">
        <v>959.759546</v>
      </c>
      <c r="B1501" s="1">
        <f>DATE(2012,12,15) + TIME(18,13,44)</f>
        <v>41258.75953703704</v>
      </c>
      <c r="C1501">
        <v>80</v>
      </c>
      <c r="D1501">
        <v>76.912315368999998</v>
      </c>
      <c r="E1501">
        <v>50</v>
      </c>
      <c r="F1501">
        <v>49.97952652</v>
      </c>
      <c r="G1501">
        <v>1328.8470459</v>
      </c>
      <c r="H1501">
        <v>1327.8205565999999</v>
      </c>
      <c r="I1501">
        <v>1338.1794434000001</v>
      </c>
      <c r="J1501">
        <v>1335.7261963000001</v>
      </c>
      <c r="K1501">
        <v>0</v>
      </c>
      <c r="L1501">
        <v>2400</v>
      </c>
      <c r="M1501">
        <v>2400</v>
      </c>
      <c r="N1501">
        <v>0</v>
      </c>
    </row>
    <row r="1502" spans="1:14" x14ac:dyDescent="0.25">
      <c r="A1502">
        <v>961.25173199999995</v>
      </c>
      <c r="B1502" s="1">
        <f>DATE(2012,12,17) + TIME(6,2,29)</f>
        <v>41260.25172453704</v>
      </c>
      <c r="C1502">
        <v>80</v>
      </c>
      <c r="D1502">
        <v>76.830741881999998</v>
      </c>
      <c r="E1502">
        <v>50</v>
      </c>
      <c r="F1502">
        <v>49.979553223000003</v>
      </c>
      <c r="G1502">
        <v>1328.8138428</v>
      </c>
      <c r="H1502">
        <v>1327.7770995999999</v>
      </c>
      <c r="I1502">
        <v>1338.1762695</v>
      </c>
      <c r="J1502">
        <v>1335.7222899999999</v>
      </c>
      <c r="K1502">
        <v>0</v>
      </c>
      <c r="L1502">
        <v>2400</v>
      </c>
      <c r="M1502">
        <v>2400</v>
      </c>
      <c r="N1502">
        <v>0</v>
      </c>
    </row>
    <row r="1503" spans="1:14" x14ac:dyDescent="0.25">
      <c r="A1503">
        <v>962.76507200000003</v>
      </c>
      <c r="B1503" s="1">
        <f>DATE(2012,12,18) + TIME(18,21,42)</f>
        <v>41261.765069444446</v>
      </c>
      <c r="C1503">
        <v>80</v>
      </c>
      <c r="D1503">
        <v>76.748802185000002</v>
      </c>
      <c r="E1503">
        <v>50</v>
      </c>
      <c r="F1503">
        <v>49.979576111</v>
      </c>
      <c r="G1503">
        <v>1328.7801514</v>
      </c>
      <c r="H1503">
        <v>1327.7329102000001</v>
      </c>
      <c r="I1503">
        <v>1338.1732178</v>
      </c>
      <c r="J1503">
        <v>1335.7185059000001</v>
      </c>
      <c r="K1503">
        <v>0</v>
      </c>
      <c r="L1503">
        <v>2400</v>
      </c>
      <c r="M1503">
        <v>2400</v>
      </c>
      <c r="N1503">
        <v>0</v>
      </c>
    </row>
    <row r="1504" spans="1:14" x14ac:dyDescent="0.25">
      <c r="A1504">
        <v>964.30355099999997</v>
      </c>
      <c r="B1504" s="1">
        <f>DATE(2012,12,20) + TIME(7,17,6)</f>
        <v>41263.303541666668</v>
      </c>
      <c r="C1504">
        <v>80</v>
      </c>
      <c r="D1504">
        <v>76.666580199999999</v>
      </c>
      <c r="E1504">
        <v>50</v>
      </c>
      <c r="F1504">
        <v>49.979598998999997</v>
      </c>
      <c r="G1504">
        <v>1328.7462158000001</v>
      </c>
      <c r="H1504">
        <v>1327.6883545000001</v>
      </c>
      <c r="I1504">
        <v>1338.1701660000001</v>
      </c>
      <c r="J1504">
        <v>1335.7147216999999</v>
      </c>
      <c r="K1504">
        <v>0</v>
      </c>
      <c r="L1504">
        <v>2400</v>
      </c>
      <c r="M1504">
        <v>2400</v>
      </c>
      <c r="N1504">
        <v>0</v>
      </c>
    </row>
    <row r="1505" spans="1:14" x14ac:dyDescent="0.25">
      <c r="A1505">
        <v>965.87121100000002</v>
      </c>
      <c r="B1505" s="1">
        <f>DATE(2012,12,21) + TIME(20,54,32)</f>
        <v>41264.871203703704</v>
      </c>
      <c r="C1505">
        <v>80</v>
      </c>
      <c r="D1505">
        <v>76.583992003999995</v>
      </c>
      <c r="E1505">
        <v>50</v>
      </c>
      <c r="F1505">
        <v>49.979625702</v>
      </c>
      <c r="G1505">
        <v>1328.7119141000001</v>
      </c>
      <c r="H1505">
        <v>1327.6433105000001</v>
      </c>
      <c r="I1505">
        <v>1338.1671143000001</v>
      </c>
      <c r="J1505">
        <v>1335.7109375</v>
      </c>
      <c r="K1505">
        <v>0</v>
      </c>
      <c r="L1505">
        <v>2400</v>
      </c>
      <c r="M1505">
        <v>2400</v>
      </c>
      <c r="N1505">
        <v>0</v>
      </c>
    </row>
    <row r="1506" spans="1:14" x14ac:dyDescent="0.25">
      <c r="A1506">
        <v>967.47225300000002</v>
      </c>
      <c r="B1506" s="1">
        <f>DATE(2012,12,23) + TIME(11,20,2)</f>
        <v>41266.472245370373</v>
      </c>
      <c r="C1506">
        <v>80</v>
      </c>
      <c r="D1506">
        <v>76.500892639</v>
      </c>
      <c r="E1506">
        <v>50</v>
      </c>
      <c r="F1506">
        <v>49.979652405000003</v>
      </c>
      <c r="G1506">
        <v>1328.677124</v>
      </c>
      <c r="H1506">
        <v>1327.5976562000001</v>
      </c>
      <c r="I1506">
        <v>1338.1641846</v>
      </c>
      <c r="J1506">
        <v>1335.7072754000001</v>
      </c>
      <c r="K1506">
        <v>0</v>
      </c>
      <c r="L1506">
        <v>2400</v>
      </c>
      <c r="M1506">
        <v>2400</v>
      </c>
      <c r="N1506">
        <v>0</v>
      </c>
    </row>
    <row r="1507" spans="1:14" x14ac:dyDescent="0.25">
      <c r="A1507">
        <v>969.111041</v>
      </c>
      <c r="B1507" s="1">
        <f>DATE(2012,12,25) + TIME(2,39,53)</f>
        <v>41268.111030092594</v>
      </c>
      <c r="C1507">
        <v>80</v>
      </c>
      <c r="D1507">
        <v>76.417121886999993</v>
      </c>
      <c r="E1507">
        <v>50</v>
      </c>
      <c r="F1507">
        <v>49.979679107999999</v>
      </c>
      <c r="G1507">
        <v>1328.6418457</v>
      </c>
      <c r="H1507">
        <v>1327.5512695</v>
      </c>
      <c r="I1507">
        <v>1338.1612548999999</v>
      </c>
      <c r="J1507">
        <v>1335.7036132999999</v>
      </c>
      <c r="K1507">
        <v>0</v>
      </c>
      <c r="L1507">
        <v>2400</v>
      </c>
      <c r="M1507">
        <v>2400</v>
      </c>
      <c r="N1507">
        <v>0</v>
      </c>
    </row>
    <row r="1508" spans="1:14" x14ac:dyDescent="0.25">
      <c r="A1508">
        <v>970.77963799999998</v>
      </c>
      <c r="B1508" s="1">
        <f>DATE(2012,12,26) + TIME(18,42,40)</f>
        <v>41269.779629629629</v>
      </c>
      <c r="C1508">
        <v>80</v>
      </c>
      <c r="D1508">
        <v>76.332717896000005</v>
      </c>
      <c r="E1508">
        <v>50</v>
      </c>
      <c r="F1508">
        <v>49.979705811000002</v>
      </c>
      <c r="G1508">
        <v>1328.605957</v>
      </c>
      <c r="H1508">
        <v>1327.5041504000001</v>
      </c>
      <c r="I1508">
        <v>1338.1583252</v>
      </c>
      <c r="J1508">
        <v>1335.6999512</v>
      </c>
      <c r="K1508">
        <v>0</v>
      </c>
      <c r="L1508">
        <v>2400</v>
      </c>
      <c r="M1508">
        <v>2400</v>
      </c>
      <c r="N1508">
        <v>0</v>
      </c>
    </row>
    <row r="1509" spans="1:14" x14ac:dyDescent="0.25">
      <c r="A1509">
        <v>972.481495</v>
      </c>
      <c r="B1509" s="1">
        <f>DATE(2012,12,28) + TIME(11,33,21)</f>
        <v>41271.481493055559</v>
      </c>
      <c r="C1509">
        <v>80</v>
      </c>
      <c r="D1509">
        <v>76.247764587000006</v>
      </c>
      <c r="E1509">
        <v>50</v>
      </c>
      <c r="F1509">
        <v>49.979732513000002</v>
      </c>
      <c r="G1509">
        <v>1328.5694579999999</v>
      </c>
      <c r="H1509">
        <v>1327.4562988</v>
      </c>
      <c r="I1509">
        <v>1338.1555175999999</v>
      </c>
      <c r="J1509">
        <v>1335.6962891000001</v>
      </c>
      <c r="K1509">
        <v>0</v>
      </c>
      <c r="L1509">
        <v>2400</v>
      </c>
      <c r="M1509">
        <v>2400</v>
      </c>
      <c r="N1509">
        <v>0</v>
      </c>
    </row>
    <row r="1510" spans="1:14" x14ac:dyDescent="0.25">
      <c r="A1510">
        <v>974.22114099999999</v>
      </c>
      <c r="B1510" s="1">
        <f>DATE(2012,12,30) + TIME(5,18,26)</f>
        <v>41273.221134259256</v>
      </c>
      <c r="C1510">
        <v>80</v>
      </c>
      <c r="D1510">
        <v>76.162178040000001</v>
      </c>
      <c r="E1510">
        <v>50</v>
      </c>
      <c r="F1510">
        <v>49.979759215999998</v>
      </c>
      <c r="G1510">
        <v>1328.5325928</v>
      </c>
      <c r="H1510">
        <v>1327.4077147999999</v>
      </c>
      <c r="I1510">
        <v>1338.1527100000001</v>
      </c>
      <c r="J1510">
        <v>1335.692749</v>
      </c>
      <c r="K1510">
        <v>0</v>
      </c>
      <c r="L1510">
        <v>2400</v>
      </c>
      <c r="M1510">
        <v>2400</v>
      </c>
      <c r="N1510">
        <v>0</v>
      </c>
    </row>
    <row r="1511" spans="1:14" x14ac:dyDescent="0.25">
      <c r="A1511">
        <v>976</v>
      </c>
      <c r="B1511" s="1">
        <f>DATE(2013,1,1) + TIME(0,0,0)</f>
        <v>41275</v>
      </c>
      <c r="C1511">
        <v>80</v>
      </c>
      <c r="D1511">
        <v>76.075859070000007</v>
      </c>
      <c r="E1511">
        <v>50</v>
      </c>
      <c r="F1511">
        <v>49.979785919000001</v>
      </c>
      <c r="G1511">
        <v>1328.4949951000001</v>
      </c>
      <c r="H1511">
        <v>1327.3582764</v>
      </c>
      <c r="I1511">
        <v>1338.1497803</v>
      </c>
      <c r="J1511">
        <v>1335.6892089999999</v>
      </c>
      <c r="K1511">
        <v>0</v>
      </c>
      <c r="L1511">
        <v>2400</v>
      </c>
      <c r="M1511">
        <v>2400</v>
      </c>
      <c r="N1511">
        <v>0</v>
      </c>
    </row>
    <row r="1512" spans="1:14" x14ac:dyDescent="0.25">
      <c r="A1512">
        <v>977.78217199999995</v>
      </c>
      <c r="B1512" s="1">
        <f>DATE(2013,1,2) + TIME(18,46,19)</f>
        <v>41276.782164351855</v>
      </c>
      <c r="C1512">
        <v>80</v>
      </c>
      <c r="D1512">
        <v>75.989341736</v>
      </c>
      <c r="E1512">
        <v>50</v>
      </c>
      <c r="F1512">
        <v>49.979812621999997</v>
      </c>
      <c r="G1512">
        <v>1328.4567870999999</v>
      </c>
      <c r="H1512">
        <v>1327.3081055</v>
      </c>
      <c r="I1512">
        <v>1338.1469727000001</v>
      </c>
      <c r="J1512">
        <v>1335.6855469</v>
      </c>
      <c r="K1512">
        <v>0</v>
      </c>
      <c r="L1512">
        <v>2400</v>
      </c>
      <c r="M1512">
        <v>2400</v>
      </c>
      <c r="N1512">
        <v>0</v>
      </c>
    </row>
    <row r="1513" spans="1:14" x14ac:dyDescent="0.25">
      <c r="A1513">
        <v>979.66460800000004</v>
      </c>
      <c r="B1513" s="1">
        <f>DATE(2013,1,4) + TIME(15,57,2)</f>
        <v>41278.664606481485</v>
      </c>
      <c r="C1513">
        <v>80</v>
      </c>
      <c r="D1513">
        <v>75.901855468999997</v>
      </c>
      <c r="E1513">
        <v>50</v>
      </c>
      <c r="F1513">
        <v>49.97984314</v>
      </c>
      <c r="G1513">
        <v>1328.418457</v>
      </c>
      <c r="H1513">
        <v>1327.2575684000001</v>
      </c>
      <c r="I1513">
        <v>1338.1442870999999</v>
      </c>
      <c r="J1513">
        <v>1335.6821289</v>
      </c>
      <c r="K1513">
        <v>0</v>
      </c>
      <c r="L1513">
        <v>2400</v>
      </c>
      <c r="M1513">
        <v>2400</v>
      </c>
      <c r="N1513">
        <v>0</v>
      </c>
    </row>
    <row r="1514" spans="1:14" x14ac:dyDescent="0.25">
      <c r="A1514">
        <v>981.60450000000003</v>
      </c>
      <c r="B1514" s="1">
        <f>DATE(2013,1,6) + TIME(14,30,28)</f>
        <v>41280.604490740741</v>
      </c>
      <c r="C1514">
        <v>80</v>
      </c>
      <c r="D1514">
        <v>75.812255859000004</v>
      </c>
      <c r="E1514">
        <v>50</v>
      </c>
      <c r="F1514">
        <v>49.979869843000003</v>
      </c>
      <c r="G1514">
        <v>1328.3787841999999</v>
      </c>
      <c r="H1514">
        <v>1327.2054443</v>
      </c>
      <c r="I1514">
        <v>1338.1414795000001</v>
      </c>
      <c r="J1514">
        <v>1335.6785889</v>
      </c>
      <c r="K1514">
        <v>0</v>
      </c>
      <c r="L1514">
        <v>2400</v>
      </c>
      <c r="M1514">
        <v>2400</v>
      </c>
      <c r="N1514">
        <v>0</v>
      </c>
    </row>
    <row r="1515" spans="1:14" x14ac:dyDescent="0.25">
      <c r="A1515">
        <v>983.60836600000005</v>
      </c>
      <c r="B1515" s="1">
        <f>DATE(2013,1,8) + TIME(14,36,2)</f>
        <v>41282.608356481483</v>
      </c>
      <c r="C1515">
        <v>80</v>
      </c>
      <c r="D1515">
        <v>75.720809936999999</v>
      </c>
      <c r="E1515">
        <v>50</v>
      </c>
      <c r="F1515">
        <v>49.979900360000002</v>
      </c>
      <c r="G1515">
        <v>1328.3378906</v>
      </c>
      <c r="H1515">
        <v>1327.1517334</v>
      </c>
      <c r="I1515">
        <v>1338.1386719</v>
      </c>
      <c r="J1515">
        <v>1335.6750488</v>
      </c>
      <c r="K1515">
        <v>0</v>
      </c>
      <c r="L1515">
        <v>2400</v>
      </c>
      <c r="M1515">
        <v>2400</v>
      </c>
      <c r="N1515">
        <v>0</v>
      </c>
    </row>
    <row r="1516" spans="1:14" x14ac:dyDescent="0.25">
      <c r="A1516">
        <v>985.68261700000005</v>
      </c>
      <c r="B1516" s="1">
        <f>DATE(2013,1,10) + TIME(16,22,58)</f>
        <v>41284.682615740741</v>
      </c>
      <c r="C1516">
        <v>80</v>
      </c>
      <c r="D1516">
        <v>75.627433776999993</v>
      </c>
      <c r="E1516">
        <v>50</v>
      </c>
      <c r="F1516">
        <v>49.979930877999998</v>
      </c>
      <c r="G1516">
        <v>1328.2960204999999</v>
      </c>
      <c r="H1516">
        <v>1327.0965576000001</v>
      </c>
      <c r="I1516">
        <v>1338.1358643000001</v>
      </c>
      <c r="J1516">
        <v>1335.6715088000001</v>
      </c>
      <c r="K1516">
        <v>0</v>
      </c>
      <c r="L1516">
        <v>2400</v>
      </c>
      <c r="M1516">
        <v>2400</v>
      </c>
      <c r="N1516">
        <v>0</v>
      </c>
    </row>
    <row r="1517" spans="1:14" x14ac:dyDescent="0.25">
      <c r="A1517">
        <v>987.82664499999998</v>
      </c>
      <c r="B1517" s="1">
        <f>DATE(2013,1,12) + TIME(19,50,22)</f>
        <v>41286.826643518521</v>
      </c>
      <c r="C1517">
        <v>80</v>
      </c>
      <c r="D1517">
        <v>75.532005310000002</v>
      </c>
      <c r="E1517">
        <v>50</v>
      </c>
      <c r="F1517">
        <v>49.979961394999997</v>
      </c>
      <c r="G1517">
        <v>1328.2528076000001</v>
      </c>
      <c r="H1517">
        <v>1327.0396728999999</v>
      </c>
      <c r="I1517">
        <v>1338.1330565999999</v>
      </c>
      <c r="J1517">
        <v>1335.6678466999999</v>
      </c>
      <c r="K1517">
        <v>0</v>
      </c>
      <c r="L1517">
        <v>2400</v>
      </c>
      <c r="M1517">
        <v>2400</v>
      </c>
      <c r="N1517">
        <v>0</v>
      </c>
    </row>
    <row r="1518" spans="1:14" x14ac:dyDescent="0.25">
      <c r="A1518">
        <v>990.02762099999995</v>
      </c>
      <c r="B1518" s="1">
        <f>DATE(2013,1,15) + TIME(0,39,46)</f>
        <v>41289.027615740742</v>
      </c>
      <c r="C1518">
        <v>80</v>
      </c>
      <c r="D1518">
        <v>75.434654236</v>
      </c>
      <c r="E1518">
        <v>50</v>
      </c>
      <c r="F1518">
        <v>49.979991912999999</v>
      </c>
      <c r="G1518">
        <v>1328.2084961</v>
      </c>
      <c r="H1518">
        <v>1326.9813231999999</v>
      </c>
      <c r="I1518">
        <v>1338.1301269999999</v>
      </c>
      <c r="J1518">
        <v>1335.6643065999999</v>
      </c>
      <c r="K1518">
        <v>0</v>
      </c>
      <c r="L1518">
        <v>2400</v>
      </c>
      <c r="M1518">
        <v>2400</v>
      </c>
      <c r="N1518">
        <v>0</v>
      </c>
    </row>
    <row r="1519" spans="1:14" x14ac:dyDescent="0.25">
      <c r="A1519">
        <v>992.288139</v>
      </c>
      <c r="B1519" s="1">
        <f>DATE(2013,1,17) + TIME(6,54,55)</f>
        <v>41291.288136574076</v>
      </c>
      <c r="C1519">
        <v>80</v>
      </c>
      <c r="D1519">
        <v>75.335639954000001</v>
      </c>
      <c r="E1519">
        <v>50</v>
      </c>
      <c r="F1519">
        <v>49.980026244999998</v>
      </c>
      <c r="G1519">
        <v>1328.1630858999999</v>
      </c>
      <c r="H1519">
        <v>1326.9215088000001</v>
      </c>
      <c r="I1519">
        <v>1338.1273193</v>
      </c>
      <c r="J1519">
        <v>1335.6606445</v>
      </c>
      <c r="K1519">
        <v>0</v>
      </c>
      <c r="L1519">
        <v>2400</v>
      </c>
      <c r="M1519">
        <v>2400</v>
      </c>
      <c r="N1519">
        <v>0</v>
      </c>
    </row>
    <row r="1520" spans="1:14" x14ac:dyDescent="0.25">
      <c r="A1520">
        <v>994.60561299999995</v>
      </c>
      <c r="B1520" s="1">
        <f>DATE(2013,1,19) + TIME(14,32,4)</f>
        <v>41293.60560185185</v>
      </c>
      <c r="C1520">
        <v>80</v>
      </c>
      <c r="D1520">
        <v>75.234970093000001</v>
      </c>
      <c r="E1520">
        <v>50</v>
      </c>
      <c r="F1520">
        <v>49.980056763</v>
      </c>
      <c r="G1520">
        <v>1328.1168213000001</v>
      </c>
      <c r="H1520">
        <v>1326.8603516000001</v>
      </c>
      <c r="I1520">
        <v>1338.1243896000001</v>
      </c>
      <c r="J1520">
        <v>1335.6571045000001</v>
      </c>
      <c r="K1520">
        <v>0</v>
      </c>
      <c r="L1520">
        <v>2400</v>
      </c>
      <c r="M1520">
        <v>2400</v>
      </c>
      <c r="N1520">
        <v>0</v>
      </c>
    </row>
    <row r="1521" spans="1:14" x14ac:dyDescent="0.25">
      <c r="A1521">
        <v>996.98719500000004</v>
      </c>
      <c r="B1521" s="1">
        <f>DATE(2013,1,21) + TIME(23,41,33)</f>
        <v>41295.987187500003</v>
      </c>
      <c r="C1521">
        <v>80</v>
      </c>
      <c r="D1521">
        <v>75.132621764999996</v>
      </c>
      <c r="E1521">
        <v>50</v>
      </c>
      <c r="F1521">
        <v>49.980091094999999</v>
      </c>
      <c r="G1521">
        <v>1328.0694579999999</v>
      </c>
      <c r="H1521">
        <v>1326.7979736</v>
      </c>
      <c r="I1521">
        <v>1338.1214600000001</v>
      </c>
      <c r="J1521">
        <v>1335.6535644999999</v>
      </c>
      <c r="K1521">
        <v>0</v>
      </c>
      <c r="L1521">
        <v>2400</v>
      </c>
      <c r="M1521">
        <v>2400</v>
      </c>
      <c r="N1521">
        <v>0</v>
      </c>
    </row>
    <row r="1522" spans="1:14" x14ac:dyDescent="0.25">
      <c r="A1522">
        <v>999.43956000000003</v>
      </c>
      <c r="B1522" s="1">
        <f>DATE(2013,1,24) + TIME(10,32,57)</f>
        <v>41298.43954861111</v>
      </c>
      <c r="C1522">
        <v>80</v>
      </c>
      <c r="D1522">
        <v>75.028259277000004</v>
      </c>
      <c r="E1522">
        <v>50</v>
      </c>
      <c r="F1522">
        <v>49.980125426999997</v>
      </c>
      <c r="G1522">
        <v>1328.0212402</v>
      </c>
      <c r="H1522">
        <v>1326.734375</v>
      </c>
      <c r="I1522">
        <v>1338.1186522999999</v>
      </c>
      <c r="J1522">
        <v>1335.6500243999999</v>
      </c>
      <c r="K1522">
        <v>0</v>
      </c>
      <c r="L1522">
        <v>2400</v>
      </c>
      <c r="M1522">
        <v>2400</v>
      </c>
      <c r="N1522">
        <v>0</v>
      </c>
    </row>
    <row r="1523" spans="1:14" x14ac:dyDescent="0.25">
      <c r="A1523">
        <v>1001.96878</v>
      </c>
      <c r="B1523" s="1">
        <f>DATE(2013,1,26) + TIME(23,15,2)</f>
        <v>41300.968773148146</v>
      </c>
      <c r="C1523">
        <v>80</v>
      </c>
      <c r="D1523">
        <v>74.921440125000004</v>
      </c>
      <c r="E1523">
        <v>50</v>
      </c>
      <c r="F1523">
        <v>49.980159759999999</v>
      </c>
      <c r="G1523">
        <v>1327.9719238</v>
      </c>
      <c r="H1523">
        <v>1326.6693115</v>
      </c>
      <c r="I1523">
        <v>1338.1157227000001</v>
      </c>
      <c r="J1523">
        <v>1335.6464844</v>
      </c>
      <c r="K1523">
        <v>0</v>
      </c>
      <c r="L1523">
        <v>2400</v>
      </c>
      <c r="M1523">
        <v>2400</v>
      </c>
      <c r="N1523">
        <v>0</v>
      </c>
    </row>
    <row r="1524" spans="1:14" x14ac:dyDescent="0.25">
      <c r="A1524">
        <v>1004.549738</v>
      </c>
      <c r="B1524" s="1">
        <f>DATE(2013,1,29) + TIME(13,11,37)</f>
        <v>41303.549733796295</v>
      </c>
      <c r="C1524">
        <v>80</v>
      </c>
      <c r="D1524">
        <v>74.812080382999994</v>
      </c>
      <c r="E1524">
        <v>50</v>
      </c>
      <c r="F1524">
        <v>49.980190276999998</v>
      </c>
      <c r="G1524">
        <v>1327.9215088000001</v>
      </c>
      <c r="H1524">
        <v>1326.6026611</v>
      </c>
      <c r="I1524">
        <v>1338.1126709</v>
      </c>
      <c r="J1524">
        <v>1335.6429443</v>
      </c>
      <c r="K1524">
        <v>0</v>
      </c>
      <c r="L1524">
        <v>2400</v>
      </c>
      <c r="M1524">
        <v>2400</v>
      </c>
      <c r="N1524">
        <v>0</v>
      </c>
    </row>
    <row r="1525" spans="1:14" x14ac:dyDescent="0.25">
      <c r="A1525">
        <v>1007</v>
      </c>
      <c r="B1525" s="1">
        <f>DATE(2013,2,1) + TIME(0,0,0)</f>
        <v>41306</v>
      </c>
      <c r="C1525">
        <v>80</v>
      </c>
      <c r="D1525">
        <v>74.702514648000005</v>
      </c>
      <c r="E1525">
        <v>50</v>
      </c>
      <c r="F1525">
        <v>49.980224608999997</v>
      </c>
      <c r="G1525">
        <v>1327.8703613</v>
      </c>
      <c r="H1525">
        <v>1326.5350341999999</v>
      </c>
      <c r="I1525">
        <v>1338.1097411999999</v>
      </c>
      <c r="J1525">
        <v>1335.6395264</v>
      </c>
      <c r="K1525">
        <v>0</v>
      </c>
      <c r="L1525">
        <v>2400</v>
      </c>
      <c r="M1525">
        <v>2400</v>
      </c>
      <c r="N1525">
        <v>0</v>
      </c>
    </row>
    <row r="1526" spans="1:14" x14ac:dyDescent="0.25">
      <c r="A1526">
        <v>1009.633154</v>
      </c>
      <c r="B1526" s="1">
        <f>DATE(2013,2,3) + TIME(15,11,44)</f>
        <v>41308.633148148147</v>
      </c>
      <c r="C1526">
        <v>80</v>
      </c>
      <c r="D1526">
        <v>74.593986510999997</v>
      </c>
      <c r="E1526">
        <v>50</v>
      </c>
      <c r="F1526">
        <v>49.980258941999999</v>
      </c>
      <c r="G1526">
        <v>1327.8204346</v>
      </c>
      <c r="H1526">
        <v>1326.46875</v>
      </c>
      <c r="I1526">
        <v>1338.1070557</v>
      </c>
      <c r="J1526">
        <v>1335.6362305</v>
      </c>
      <c r="K1526">
        <v>0</v>
      </c>
      <c r="L1526">
        <v>2400</v>
      </c>
      <c r="M1526">
        <v>2400</v>
      </c>
      <c r="N1526">
        <v>0</v>
      </c>
    </row>
    <row r="1527" spans="1:14" x14ac:dyDescent="0.25">
      <c r="A1527">
        <v>1012.370009</v>
      </c>
      <c r="B1527" s="1">
        <f>DATE(2013,2,6) + TIME(8,52,48)</f>
        <v>41311.370000000003</v>
      </c>
      <c r="C1527">
        <v>80</v>
      </c>
      <c r="D1527">
        <v>74.480445861999996</v>
      </c>
      <c r="E1527">
        <v>50</v>
      </c>
      <c r="F1527">
        <v>49.980293273999997</v>
      </c>
      <c r="G1527">
        <v>1327.7694091999999</v>
      </c>
      <c r="H1527">
        <v>1326.4013672000001</v>
      </c>
      <c r="I1527">
        <v>1338.104126</v>
      </c>
      <c r="J1527">
        <v>1335.6329346</v>
      </c>
      <c r="K1527">
        <v>0</v>
      </c>
      <c r="L1527">
        <v>2400</v>
      </c>
      <c r="M1527">
        <v>2400</v>
      </c>
      <c r="N1527">
        <v>0</v>
      </c>
    </row>
    <row r="1528" spans="1:14" x14ac:dyDescent="0.25">
      <c r="A1528">
        <v>1015.157401</v>
      </c>
      <c r="B1528" s="1">
        <f>DATE(2013,2,9) + TIME(3,46,39)</f>
        <v>41314.157395833332</v>
      </c>
      <c r="C1528">
        <v>80</v>
      </c>
      <c r="D1528">
        <v>74.362442017000006</v>
      </c>
      <c r="E1528">
        <v>50</v>
      </c>
      <c r="F1528">
        <v>49.980327606000003</v>
      </c>
      <c r="G1528">
        <v>1327.7166748</v>
      </c>
      <c r="H1528">
        <v>1326.331543</v>
      </c>
      <c r="I1528">
        <v>1338.1011963000001</v>
      </c>
      <c r="J1528">
        <v>1335.6295166</v>
      </c>
      <c r="K1528">
        <v>0</v>
      </c>
      <c r="L1528">
        <v>2400</v>
      </c>
      <c r="M1528">
        <v>2400</v>
      </c>
      <c r="N1528">
        <v>0</v>
      </c>
    </row>
    <row r="1529" spans="1:14" x14ac:dyDescent="0.25">
      <c r="A1529">
        <v>1018.0048389999999</v>
      </c>
      <c r="B1529" s="1">
        <f>DATE(2013,2,12) + TIME(0,6,58)</f>
        <v>41317.004837962966</v>
      </c>
      <c r="C1529">
        <v>80</v>
      </c>
      <c r="D1529">
        <v>74.241050720000004</v>
      </c>
      <c r="E1529">
        <v>50</v>
      </c>
      <c r="F1529">
        <v>49.980361938000001</v>
      </c>
      <c r="G1529">
        <v>1327.6628418</v>
      </c>
      <c r="H1529">
        <v>1326.2602539</v>
      </c>
      <c r="I1529">
        <v>1338.0981445</v>
      </c>
      <c r="J1529">
        <v>1335.6262207</v>
      </c>
      <c r="K1529">
        <v>0</v>
      </c>
      <c r="L1529">
        <v>2400</v>
      </c>
      <c r="M1529">
        <v>2400</v>
      </c>
      <c r="N1529">
        <v>0</v>
      </c>
    </row>
    <row r="1530" spans="1:14" x14ac:dyDescent="0.25">
      <c r="A1530">
        <v>1020.921457</v>
      </c>
      <c r="B1530" s="1">
        <f>DATE(2013,2,14) + TIME(22,6,53)</f>
        <v>41319.921446759261</v>
      </c>
      <c r="C1530">
        <v>80</v>
      </c>
      <c r="D1530">
        <v>74.115936278999996</v>
      </c>
      <c r="E1530">
        <v>50</v>
      </c>
      <c r="F1530">
        <v>49.980396270999996</v>
      </c>
      <c r="G1530">
        <v>1327.6082764</v>
      </c>
      <c r="H1530">
        <v>1326.1878661999999</v>
      </c>
      <c r="I1530">
        <v>1338.0952147999999</v>
      </c>
      <c r="J1530">
        <v>1335.6229248</v>
      </c>
      <c r="K1530">
        <v>0</v>
      </c>
      <c r="L1530">
        <v>2400</v>
      </c>
      <c r="M1530">
        <v>2400</v>
      </c>
      <c r="N1530">
        <v>0</v>
      </c>
    </row>
    <row r="1531" spans="1:14" x14ac:dyDescent="0.25">
      <c r="A1531">
        <v>1023.912224</v>
      </c>
      <c r="B1531" s="1">
        <f>DATE(2013,2,17) + TIME(21,53,36)</f>
        <v>41322.912222222221</v>
      </c>
      <c r="C1531">
        <v>80</v>
      </c>
      <c r="D1531">
        <v>73.986427307</v>
      </c>
      <c r="E1531">
        <v>50</v>
      </c>
      <c r="F1531">
        <v>49.980430603000002</v>
      </c>
      <c r="G1531">
        <v>1327.5529785000001</v>
      </c>
      <c r="H1531">
        <v>1326.1145019999999</v>
      </c>
      <c r="I1531">
        <v>1338.0921631000001</v>
      </c>
      <c r="J1531">
        <v>1335.6196289</v>
      </c>
      <c r="K1531">
        <v>0</v>
      </c>
      <c r="L1531">
        <v>2400</v>
      </c>
      <c r="M1531">
        <v>2400</v>
      </c>
      <c r="N1531">
        <v>0</v>
      </c>
    </row>
    <row r="1532" spans="1:14" x14ac:dyDescent="0.25">
      <c r="A1532">
        <v>1026.9773399999999</v>
      </c>
      <c r="B1532" s="1">
        <f>DATE(2013,2,20) + TIME(23,27,22)</f>
        <v>41325.977337962962</v>
      </c>
      <c r="C1532">
        <v>80</v>
      </c>
      <c r="D1532">
        <v>73.851867675999998</v>
      </c>
      <c r="E1532">
        <v>50</v>
      </c>
      <c r="F1532">
        <v>49.980464935000001</v>
      </c>
      <c r="G1532">
        <v>1327.4967041</v>
      </c>
      <c r="H1532">
        <v>1326.0399170000001</v>
      </c>
      <c r="I1532">
        <v>1338.0891113</v>
      </c>
      <c r="J1532">
        <v>1335.6163329999999</v>
      </c>
      <c r="K1532">
        <v>0</v>
      </c>
      <c r="L1532">
        <v>2400</v>
      </c>
      <c r="M1532">
        <v>2400</v>
      </c>
      <c r="N1532">
        <v>0</v>
      </c>
    </row>
    <row r="1533" spans="1:14" x14ac:dyDescent="0.25">
      <c r="A1533">
        <v>1030.126364</v>
      </c>
      <c r="B1533" s="1">
        <f>DATE(2013,2,24) + TIME(3,1,57)</f>
        <v>41329.126354166663</v>
      </c>
      <c r="C1533">
        <v>80</v>
      </c>
      <c r="D1533">
        <v>73.711639403999996</v>
      </c>
      <c r="E1533">
        <v>50</v>
      </c>
      <c r="F1533">
        <v>49.980499268000003</v>
      </c>
      <c r="G1533">
        <v>1327.4396973</v>
      </c>
      <c r="H1533">
        <v>1325.9639893000001</v>
      </c>
      <c r="I1533">
        <v>1338.0859375</v>
      </c>
      <c r="J1533">
        <v>1335.6131591999999</v>
      </c>
      <c r="K1533">
        <v>0</v>
      </c>
      <c r="L1533">
        <v>2400</v>
      </c>
      <c r="M1533">
        <v>2400</v>
      </c>
      <c r="N1533">
        <v>0</v>
      </c>
    </row>
    <row r="1534" spans="1:14" x14ac:dyDescent="0.25">
      <c r="A1534">
        <v>1033.354102</v>
      </c>
      <c r="B1534" s="1">
        <f>DATE(2013,2,27) + TIME(8,29,54)</f>
        <v>41332.354097222225</v>
      </c>
      <c r="C1534">
        <v>80</v>
      </c>
      <c r="D1534">
        <v>73.564918517999999</v>
      </c>
      <c r="E1534">
        <v>50</v>
      </c>
      <c r="F1534">
        <v>49.980533600000001</v>
      </c>
      <c r="G1534">
        <v>1327.3817139</v>
      </c>
      <c r="H1534">
        <v>1325.8869629000001</v>
      </c>
      <c r="I1534">
        <v>1338.0827637</v>
      </c>
      <c r="J1534">
        <v>1335.6099853999999</v>
      </c>
      <c r="K1534">
        <v>0</v>
      </c>
      <c r="L1534">
        <v>2400</v>
      </c>
      <c r="M1534">
        <v>2400</v>
      </c>
      <c r="N1534">
        <v>0</v>
      </c>
    </row>
    <row r="1535" spans="1:14" x14ac:dyDescent="0.25">
      <c r="A1535">
        <v>1035</v>
      </c>
      <c r="B1535" s="1">
        <f>DATE(2013,3,1) + TIME(0,0,0)</f>
        <v>41334</v>
      </c>
      <c r="C1535">
        <v>80</v>
      </c>
      <c r="D1535">
        <v>73.434509277000004</v>
      </c>
      <c r="E1535">
        <v>50</v>
      </c>
      <c r="F1535">
        <v>49.980552672999998</v>
      </c>
      <c r="G1535">
        <v>1327.3242187999999</v>
      </c>
      <c r="H1535">
        <v>1325.8107910000001</v>
      </c>
      <c r="I1535">
        <v>1338.0794678</v>
      </c>
      <c r="J1535">
        <v>1335.6068115</v>
      </c>
      <c r="K1535">
        <v>0</v>
      </c>
      <c r="L1535">
        <v>2400</v>
      </c>
      <c r="M1535">
        <v>2400</v>
      </c>
      <c r="N1535">
        <v>0</v>
      </c>
    </row>
    <row r="1536" spans="1:14" x14ac:dyDescent="0.25">
      <c r="A1536">
        <v>1038.3072440000001</v>
      </c>
      <c r="B1536" s="1">
        <f>DATE(2013,3,4) + TIME(7,22,25)</f>
        <v>41337.307233796295</v>
      </c>
      <c r="C1536">
        <v>80</v>
      </c>
      <c r="D1536">
        <v>73.321571349999999</v>
      </c>
      <c r="E1536">
        <v>50</v>
      </c>
      <c r="F1536">
        <v>49.980590820000003</v>
      </c>
      <c r="G1536">
        <v>1327.2825928</v>
      </c>
      <c r="H1536">
        <v>1325.7532959</v>
      </c>
      <c r="I1536">
        <v>1338.0780029</v>
      </c>
      <c r="J1536">
        <v>1335.6049805</v>
      </c>
      <c r="K1536">
        <v>0</v>
      </c>
      <c r="L1536">
        <v>2400</v>
      </c>
      <c r="M1536">
        <v>2400</v>
      </c>
      <c r="N1536">
        <v>0</v>
      </c>
    </row>
    <row r="1537" spans="1:14" x14ac:dyDescent="0.25">
      <c r="A1537">
        <v>1041.6563249999999</v>
      </c>
      <c r="B1537" s="1">
        <f>DATE(2013,3,7) + TIME(15,45,6)</f>
        <v>41340.656319444446</v>
      </c>
      <c r="C1537">
        <v>80</v>
      </c>
      <c r="D1537">
        <v>73.165863036999994</v>
      </c>
      <c r="E1537">
        <v>50</v>
      </c>
      <c r="F1537">
        <v>49.980625152999998</v>
      </c>
      <c r="G1537">
        <v>1327.2316894999999</v>
      </c>
      <c r="H1537">
        <v>1325.6867675999999</v>
      </c>
      <c r="I1537">
        <v>1338.074707</v>
      </c>
      <c r="J1537">
        <v>1335.6020507999999</v>
      </c>
      <c r="K1537">
        <v>0</v>
      </c>
      <c r="L1537">
        <v>2400</v>
      </c>
      <c r="M1537">
        <v>2400</v>
      </c>
      <c r="N1537">
        <v>0</v>
      </c>
    </row>
    <row r="1538" spans="1:14" x14ac:dyDescent="0.25">
      <c r="A1538">
        <v>1045.069587</v>
      </c>
      <c r="B1538" s="1">
        <f>DATE(2013,3,11) + TIME(1,40,12)</f>
        <v>41344.06958333333</v>
      </c>
      <c r="C1538">
        <v>80</v>
      </c>
      <c r="D1538">
        <v>72.996490479000002</v>
      </c>
      <c r="E1538">
        <v>50</v>
      </c>
      <c r="F1538">
        <v>49.980659484999997</v>
      </c>
      <c r="G1538">
        <v>1327.1735839999999</v>
      </c>
      <c r="H1538">
        <v>1325.6092529</v>
      </c>
      <c r="I1538">
        <v>1338.0714111</v>
      </c>
      <c r="J1538">
        <v>1335.598999</v>
      </c>
      <c r="K1538">
        <v>0</v>
      </c>
      <c r="L1538">
        <v>2400</v>
      </c>
      <c r="M1538">
        <v>2400</v>
      </c>
      <c r="N1538">
        <v>0</v>
      </c>
    </row>
    <row r="1539" spans="1:14" x14ac:dyDescent="0.25">
      <c r="A1539">
        <v>1048.55276</v>
      </c>
      <c r="B1539" s="1">
        <f>DATE(2013,3,14) + TIME(13,15,58)</f>
        <v>41347.552754629629</v>
      </c>
      <c r="C1539">
        <v>80</v>
      </c>
      <c r="D1539">
        <v>72.817657471000004</v>
      </c>
      <c r="E1539">
        <v>50</v>
      </c>
      <c r="F1539">
        <v>49.980693817000002</v>
      </c>
      <c r="G1539">
        <v>1327.1138916</v>
      </c>
      <c r="H1539">
        <v>1325.5295410000001</v>
      </c>
      <c r="I1539">
        <v>1338.0681152</v>
      </c>
      <c r="J1539">
        <v>1335.5960693</v>
      </c>
      <c r="K1539">
        <v>0</v>
      </c>
      <c r="L1539">
        <v>2400</v>
      </c>
      <c r="M1539">
        <v>2400</v>
      </c>
      <c r="N1539">
        <v>0</v>
      </c>
    </row>
    <row r="1540" spans="1:14" x14ac:dyDescent="0.25">
      <c r="A1540">
        <v>1052.066871</v>
      </c>
      <c r="B1540" s="1">
        <f>DATE(2013,3,18) + TIME(1,36,17)</f>
        <v>41351.066863425927</v>
      </c>
      <c r="C1540">
        <v>80</v>
      </c>
      <c r="D1540">
        <v>72.629440308</v>
      </c>
      <c r="E1540">
        <v>50</v>
      </c>
      <c r="F1540">
        <v>49.980724334999998</v>
      </c>
      <c r="G1540">
        <v>1327.0537108999999</v>
      </c>
      <c r="H1540">
        <v>1325.4489745999999</v>
      </c>
      <c r="I1540">
        <v>1338.0648193</v>
      </c>
      <c r="J1540">
        <v>1335.5930175999999</v>
      </c>
      <c r="K1540">
        <v>0</v>
      </c>
      <c r="L1540">
        <v>2400</v>
      </c>
      <c r="M1540">
        <v>2400</v>
      </c>
      <c r="N1540">
        <v>0</v>
      </c>
    </row>
    <row r="1541" spans="1:14" x14ac:dyDescent="0.25">
      <c r="A1541">
        <v>1055.6393270000001</v>
      </c>
      <c r="B1541" s="1">
        <f>DATE(2013,3,21) + TIME(15,20,37)</f>
        <v>41354.639317129629</v>
      </c>
      <c r="C1541">
        <v>80</v>
      </c>
      <c r="D1541">
        <v>72.432594299000002</v>
      </c>
      <c r="E1541">
        <v>50</v>
      </c>
      <c r="F1541">
        <v>49.980758667000003</v>
      </c>
      <c r="G1541">
        <v>1326.9935303</v>
      </c>
      <c r="H1541">
        <v>1325.3681641000001</v>
      </c>
      <c r="I1541">
        <v>1338.0614014</v>
      </c>
      <c r="J1541">
        <v>1335.5900879000001</v>
      </c>
      <c r="K1541">
        <v>0</v>
      </c>
      <c r="L1541">
        <v>2400</v>
      </c>
      <c r="M1541">
        <v>2400</v>
      </c>
      <c r="N1541">
        <v>0</v>
      </c>
    </row>
    <row r="1542" spans="1:14" x14ac:dyDescent="0.25">
      <c r="A1542">
        <v>1059.28541</v>
      </c>
      <c r="B1542" s="1">
        <f>DATE(2013,3,25) + TIME(6,50,59)</f>
        <v>41358.285405092596</v>
      </c>
      <c r="C1542">
        <v>80</v>
      </c>
      <c r="D1542">
        <v>72.225494385000005</v>
      </c>
      <c r="E1542">
        <v>50</v>
      </c>
      <c r="F1542">
        <v>49.980792999000002</v>
      </c>
      <c r="G1542">
        <v>1326.9333495999999</v>
      </c>
      <c r="H1542">
        <v>1325.2874756000001</v>
      </c>
      <c r="I1542">
        <v>1338.0579834</v>
      </c>
      <c r="J1542">
        <v>1335.5871582</v>
      </c>
      <c r="K1542">
        <v>0</v>
      </c>
      <c r="L1542">
        <v>2400</v>
      </c>
      <c r="M1542">
        <v>2400</v>
      </c>
      <c r="N1542">
        <v>0</v>
      </c>
    </row>
    <row r="1543" spans="1:14" x14ac:dyDescent="0.25">
      <c r="A1543">
        <v>1062.966338</v>
      </c>
      <c r="B1543" s="1">
        <f>DATE(2013,3,28) + TIME(23,11,31)</f>
        <v>41361.966331018521</v>
      </c>
      <c r="C1543">
        <v>80</v>
      </c>
      <c r="D1543">
        <v>72.007064818999993</v>
      </c>
      <c r="E1543">
        <v>50</v>
      </c>
      <c r="F1543">
        <v>49.980827331999997</v>
      </c>
      <c r="G1543">
        <v>1326.8730469</v>
      </c>
      <c r="H1543">
        <v>1325.2064209</v>
      </c>
      <c r="I1543">
        <v>1338.0545654</v>
      </c>
      <c r="J1543">
        <v>1335.5843506000001</v>
      </c>
      <c r="K1543">
        <v>0</v>
      </c>
      <c r="L1543">
        <v>2400</v>
      </c>
      <c r="M1543">
        <v>2400</v>
      </c>
      <c r="N1543">
        <v>0</v>
      </c>
    </row>
    <row r="1544" spans="1:14" x14ac:dyDescent="0.25">
      <c r="A1544">
        <v>1066</v>
      </c>
      <c r="B1544" s="1">
        <f>DATE(2013,4,1) + TIME(0,0,0)</f>
        <v>41365</v>
      </c>
      <c r="C1544">
        <v>80</v>
      </c>
      <c r="D1544">
        <v>71.785606384000005</v>
      </c>
      <c r="E1544">
        <v>50</v>
      </c>
      <c r="F1544">
        <v>49.980854033999996</v>
      </c>
      <c r="G1544">
        <v>1326.8131103999999</v>
      </c>
      <c r="H1544">
        <v>1325.1258545000001</v>
      </c>
      <c r="I1544">
        <v>1338.0510254000001</v>
      </c>
      <c r="J1544">
        <v>1335.581543</v>
      </c>
      <c r="K1544">
        <v>0</v>
      </c>
      <c r="L1544">
        <v>2400</v>
      </c>
      <c r="M1544">
        <v>2400</v>
      </c>
      <c r="N1544">
        <v>0</v>
      </c>
    </row>
    <row r="1545" spans="1:14" x14ac:dyDescent="0.25">
      <c r="A1545">
        <v>1069.7443639999999</v>
      </c>
      <c r="B1545" s="1">
        <f>DATE(2013,4,4) + TIME(17,51,53)</f>
        <v>41368.744363425925</v>
      </c>
      <c r="C1545">
        <v>80</v>
      </c>
      <c r="D1545">
        <v>71.577301024999997</v>
      </c>
      <c r="E1545">
        <v>50</v>
      </c>
      <c r="F1545">
        <v>49.980888366999999</v>
      </c>
      <c r="G1545">
        <v>1326.7595214999999</v>
      </c>
      <c r="H1545">
        <v>1325.0526123</v>
      </c>
      <c r="I1545">
        <v>1338.0480957</v>
      </c>
      <c r="J1545">
        <v>1335.5791016000001</v>
      </c>
      <c r="K1545">
        <v>0</v>
      </c>
      <c r="L1545">
        <v>2400</v>
      </c>
      <c r="M1545">
        <v>2400</v>
      </c>
      <c r="N1545">
        <v>0</v>
      </c>
    </row>
    <row r="1546" spans="1:14" x14ac:dyDescent="0.25">
      <c r="A1546">
        <v>1073.5906179999999</v>
      </c>
      <c r="B1546" s="1">
        <f>DATE(2013,4,8) + TIME(14,10,29)</f>
        <v>41372.590613425928</v>
      </c>
      <c r="C1546">
        <v>80</v>
      </c>
      <c r="D1546">
        <v>71.332435607999997</v>
      </c>
      <c r="E1546">
        <v>50</v>
      </c>
      <c r="F1546">
        <v>49.980918883999998</v>
      </c>
      <c r="G1546">
        <v>1326.7041016000001</v>
      </c>
      <c r="H1546">
        <v>1324.9783935999999</v>
      </c>
      <c r="I1546">
        <v>1338.0445557</v>
      </c>
      <c r="J1546">
        <v>1335.5764160000001</v>
      </c>
      <c r="K1546">
        <v>0</v>
      </c>
      <c r="L1546">
        <v>2400</v>
      </c>
      <c r="M1546">
        <v>2400</v>
      </c>
      <c r="N1546">
        <v>0</v>
      </c>
    </row>
    <row r="1547" spans="1:14" x14ac:dyDescent="0.25">
      <c r="A1547">
        <v>1077.509055</v>
      </c>
      <c r="B1547" s="1">
        <f>DATE(2013,4,12) + TIME(12,13,2)</f>
        <v>41376.509050925924</v>
      </c>
      <c r="C1547">
        <v>80</v>
      </c>
      <c r="D1547">
        <v>71.068382263000004</v>
      </c>
      <c r="E1547">
        <v>50</v>
      </c>
      <c r="F1547">
        <v>49.980953217</v>
      </c>
      <c r="G1547">
        <v>1326.6453856999999</v>
      </c>
      <c r="H1547">
        <v>1324.8991699000001</v>
      </c>
      <c r="I1547">
        <v>1338.0408935999999</v>
      </c>
      <c r="J1547">
        <v>1335.5737305</v>
      </c>
      <c r="K1547">
        <v>0</v>
      </c>
      <c r="L1547">
        <v>2400</v>
      </c>
      <c r="M1547">
        <v>2400</v>
      </c>
      <c r="N1547">
        <v>0</v>
      </c>
    </row>
    <row r="1548" spans="1:14" x14ac:dyDescent="0.25">
      <c r="A1548">
        <v>1081.4892589999999</v>
      </c>
      <c r="B1548" s="1">
        <f>DATE(2013,4,16) + TIME(11,44,31)</f>
        <v>41380.489247685182</v>
      </c>
      <c r="C1548">
        <v>80</v>
      </c>
      <c r="D1548">
        <v>70.789520264000004</v>
      </c>
      <c r="E1548">
        <v>50</v>
      </c>
      <c r="F1548">
        <v>49.980983733999999</v>
      </c>
      <c r="G1548">
        <v>1326.5861815999999</v>
      </c>
      <c r="H1548">
        <v>1324.8189697</v>
      </c>
      <c r="I1548">
        <v>1338.0371094</v>
      </c>
      <c r="J1548">
        <v>1335.5709228999999</v>
      </c>
      <c r="K1548">
        <v>0</v>
      </c>
      <c r="L1548">
        <v>2400</v>
      </c>
      <c r="M1548">
        <v>2400</v>
      </c>
      <c r="N1548">
        <v>0</v>
      </c>
    </row>
    <row r="1549" spans="1:14" x14ac:dyDescent="0.25">
      <c r="A1549">
        <v>1085.5314049999999</v>
      </c>
      <c r="B1549" s="1">
        <f>DATE(2013,4,20) + TIME(12,45,13)</f>
        <v>41384.531400462962</v>
      </c>
      <c r="C1549">
        <v>80</v>
      </c>
      <c r="D1549">
        <v>70.495651245000005</v>
      </c>
      <c r="E1549">
        <v>50</v>
      </c>
      <c r="F1549">
        <v>49.981018065999997</v>
      </c>
      <c r="G1549">
        <v>1326.5272216999999</v>
      </c>
      <c r="H1549">
        <v>1324.7388916</v>
      </c>
      <c r="I1549">
        <v>1338.0333252</v>
      </c>
      <c r="J1549">
        <v>1335.5682373</v>
      </c>
      <c r="K1549">
        <v>0</v>
      </c>
      <c r="L1549">
        <v>2400</v>
      </c>
      <c r="M1549">
        <v>2400</v>
      </c>
      <c r="N1549">
        <v>0</v>
      </c>
    </row>
    <row r="1550" spans="1:14" x14ac:dyDescent="0.25">
      <c r="A1550">
        <v>1089.6547780000001</v>
      </c>
      <c r="B1550" s="1">
        <f>DATE(2013,4,24) + TIME(15,42,52)</f>
        <v>41388.654768518521</v>
      </c>
      <c r="C1550">
        <v>80</v>
      </c>
      <c r="D1550">
        <v>70.187240600999999</v>
      </c>
      <c r="E1550">
        <v>50</v>
      </c>
      <c r="F1550">
        <v>49.981048584</v>
      </c>
      <c r="G1550">
        <v>1326.46875</v>
      </c>
      <c r="H1550">
        <v>1324.6593018000001</v>
      </c>
      <c r="I1550">
        <v>1338.0294189000001</v>
      </c>
      <c r="J1550">
        <v>1335.5655518000001</v>
      </c>
      <c r="K1550">
        <v>0</v>
      </c>
      <c r="L1550">
        <v>2400</v>
      </c>
      <c r="M1550">
        <v>2400</v>
      </c>
      <c r="N1550">
        <v>0</v>
      </c>
    </row>
    <row r="1551" spans="1:14" x14ac:dyDescent="0.25">
      <c r="A1551">
        <v>1093.838816</v>
      </c>
      <c r="B1551" s="1">
        <f>DATE(2013,4,28) + TIME(20,7,53)</f>
        <v>41392.838807870372</v>
      </c>
      <c r="C1551">
        <v>80</v>
      </c>
      <c r="D1551">
        <v>69.861686707000004</v>
      </c>
      <c r="E1551">
        <v>50</v>
      </c>
      <c r="F1551">
        <v>49.981079102000002</v>
      </c>
      <c r="G1551">
        <v>1326.4107666</v>
      </c>
      <c r="H1551">
        <v>1324.5802002</v>
      </c>
      <c r="I1551">
        <v>1338.0255127</v>
      </c>
      <c r="J1551">
        <v>1335.5627440999999</v>
      </c>
      <c r="K1551">
        <v>0</v>
      </c>
      <c r="L1551">
        <v>2400</v>
      </c>
      <c r="M1551">
        <v>2400</v>
      </c>
      <c r="N1551">
        <v>0</v>
      </c>
    </row>
    <row r="1552" spans="1:14" x14ac:dyDescent="0.25">
      <c r="A1552">
        <v>1096</v>
      </c>
      <c r="B1552" s="1">
        <f>DATE(2013,5,1) + TIME(0,0,0)</f>
        <v>41395</v>
      </c>
      <c r="C1552">
        <v>80</v>
      </c>
      <c r="D1552">
        <v>69.558403014999996</v>
      </c>
      <c r="E1552">
        <v>50</v>
      </c>
      <c r="F1552">
        <v>49.981090545999997</v>
      </c>
      <c r="G1552">
        <v>1326.3537598</v>
      </c>
      <c r="H1552">
        <v>1324.503418</v>
      </c>
      <c r="I1552">
        <v>1338.0214844</v>
      </c>
      <c r="J1552">
        <v>1335.5600586</v>
      </c>
      <c r="K1552">
        <v>0</v>
      </c>
      <c r="L1552">
        <v>2400</v>
      </c>
      <c r="M1552">
        <v>2400</v>
      </c>
      <c r="N1552">
        <v>0</v>
      </c>
    </row>
    <row r="1553" spans="1:14" x14ac:dyDescent="0.25">
      <c r="A1553">
        <v>1096.0000010000001</v>
      </c>
      <c r="B1553" s="1">
        <f>DATE(2013,5,1) + TIME(0,0,0)</f>
        <v>41395</v>
      </c>
      <c r="C1553">
        <v>80</v>
      </c>
      <c r="D1553">
        <v>69.558464049999998</v>
      </c>
      <c r="E1553">
        <v>50</v>
      </c>
      <c r="F1553">
        <v>49.981075287000003</v>
      </c>
      <c r="G1553">
        <v>1328.9567870999999</v>
      </c>
      <c r="H1553">
        <v>1326.3690185999999</v>
      </c>
      <c r="I1553">
        <v>1335.550293</v>
      </c>
      <c r="J1553">
        <v>1334.1766356999999</v>
      </c>
      <c r="K1553">
        <v>2400</v>
      </c>
      <c r="L1553">
        <v>0</v>
      </c>
      <c r="M1553">
        <v>0</v>
      </c>
      <c r="N1553">
        <v>2400</v>
      </c>
    </row>
    <row r="1554" spans="1:14" x14ac:dyDescent="0.25">
      <c r="A1554">
        <v>1096.000004</v>
      </c>
      <c r="B1554" s="1">
        <f>DATE(2013,5,1) + TIME(0,0,0)</f>
        <v>41395</v>
      </c>
      <c r="C1554">
        <v>80</v>
      </c>
      <c r="D1554">
        <v>69.558654785000002</v>
      </c>
      <c r="E1554">
        <v>50</v>
      </c>
      <c r="F1554">
        <v>49.981029509999999</v>
      </c>
      <c r="G1554">
        <v>1328.9898682</v>
      </c>
      <c r="H1554">
        <v>1326.4136963000001</v>
      </c>
      <c r="I1554">
        <v>1335.5213623</v>
      </c>
      <c r="J1554">
        <v>1334.1477050999999</v>
      </c>
      <c r="K1554">
        <v>2400</v>
      </c>
      <c r="L1554">
        <v>0</v>
      </c>
      <c r="M1554">
        <v>0</v>
      </c>
      <c r="N1554">
        <v>2400</v>
      </c>
    </row>
    <row r="1555" spans="1:14" x14ac:dyDescent="0.25">
      <c r="A1555">
        <v>1096.0000130000001</v>
      </c>
      <c r="B1555" s="1">
        <f>DATE(2013,5,1) + TIME(0,0,1)</f>
        <v>41395.000011574077</v>
      </c>
      <c r="C1555">
        <v>80</v>
      </c>
      <c r="D1555">
        <v>69.559188843000001</v>
      </c>
      <c r="E1555">
        <v>50</v>
      </c>
      <c r="F1555">
        <v>49.980895996000001</v>
      </c>
      <c r="G1555">
        <v>1329.0844727000001</v>
      </c>
      <c r="H1555">
        <v>1326.5399170000001</v>
      </c>
      <c r="I1555">
        <v>1335.4379882999999</v>
      </c>
      <c r="J1555">
        <v>1334.0643310999999</v>
      </c>
      <c r="K1555">
        <v>2400</v>
      </c>
      <c r="L1555">
        <v>0</v>
      </c>
      <c r="M1555">
        <v>0</v>
      </c>
      <c r="N1555">
        <v>2400</v>
      </c>
    </row>
    <row r="1556" spans="1:14" x14ac:dyDescent="0.25">
      <c r="A1556">
        <v>1096.0000399999999</v>
      </c>
      <c r="B1556" s="1">
        <f>DATE(2013,5,1) + TIME(0,0,3)</f>
        <v>41395.000034722223</v>
      </c>
      <c r="C1556">
        <v>80</v>
      </c>
      <c r="D1556">
        <v>69.560646057</v>
      </c>
      <c r="E1556">
        <v>50</v>
      </c>
      <c r="F1556">
        <v>49.980541229000004</v>
      </c>
      <c r="G1556">
        <v>1329.3350829999999</v>
      </c>
      <c r="H1556">
        <v>1326.8609618999999</v>
      </c>
      <c r="I1556">
        <v>1335.2147216999999</v>
      </c>
      <c r="J1556">
        <v>1333.8410644999999</v>
      </c>
      <c r="K1556">
        <v>2400</v>
      </c>
      <c r="L1556">
        <v>0</v>
      </c>
      <c r="M1556">
        <v>0</v>
      </c>
      <c r="N1556">
        <v>2400</v>
      </c>
    </row>
    <row r="1557" spans="1:14" x14ac:dyDescent="0.25">
      <c r="A1557">
        <v>1096.000121</v>
      </c>
      <c r="B1557" s="1">
        <f>DATE(2013,5,1) + TIME(0,0,10)</f>
        <v>41395.000115740739</v>
      </c>
      <c r="C1557">
        <v>80</v>
      </c>
      <c r="D1557">
        <v>69.564147949000002</v>
      </c>
      <c r="E1557">
        <v>50</v>
      </c>
      <c r="F1557">
        <v>49.979736328000001</v>
      </c>
      <c r="G1557">
        <v>1329.8945312000001</v>
      </c>
      <c r="H1557">
        <v>1327.5207519999999</v>
      </c>
      <c r="I1557">
        <v>1334.7097168</v>
      </c>
      <c r="J1557">
        <v>1333.3360596</v>
      </c>
      <c r="K1557">
        <v>2400</v>
      </c>
      <c r="L1557">
        <v>0</v>
      </c>
      <c r="M1557">
        <v>0</v>
      </c>
      <c r="N1557">
        <v>2400</v>
      </c>
    </row>
    <row r="1558" spans="1:14" x14ac:dyDescent="0.25">
      <c r="A1558">
        <v>1096.000364</v>
      </c>
      <c r="B1558" s="1">
        <f>DATE(2013,5,1) + TIME(0,0,31)</f>
        <v>41395.000358796293</v>
      </c>
      <c r="C1558">
        <v>80</v>
      </c>
      <c r="D1558">
        <v>69.571975707999997</v>
      </c>
      <c r="E1558">
        <v>50</v>
      </c>
      <c r="F1558">
        <v>49.978370667</v>
      </c>
      <c r="G1558">
        <v>1330.8465576000001</v>
      </c>
      <c r="H1558">
        <v>1328.5235596</v>
      </c>
      <c r="I1558">
        <v>1333.8549805</v>
      </c>
      <c r="J1558">
        <v>1332.4813231999999</v>
      </c>
      <c r="K1558">
        <v>2400</v>
      </c>
      <c r="L1558">
        <v>0</v>
      </c>
      <c r="M1558">
        <v>0</v>
      </c>
      <c r="N1558">
        <v>2400</v>
      </c>
    </row>
    <row r="1559" spans="1:14" x14ac:dyDescent="0.25">
      <c r="A1559">
        <v>1096.0010930000001</v>
      </c>
      <c r="B1559" s="1">
        <f>DATE(2013,5,1) + TIME(0,1,34)</f>
        <v>41395.001087962963</v>
      </c>
      <c r="C1559">
        <v>80</v>
      </c>
      <c r="D1559">
        <v>69.590858459000003</v>
      </c>
      <c r="E1559">
        <v>50</v>
      </c>
      <c r="F1559">
        <v>49.976646422999998</v>
      </c>
      <c r="G1559">
        <v>1332.0596923999999</v>
      </c>
      <c r="H1559">
        <v>1329.7084961</v>
      </c>
      <c r="I1559">
        <v>1332.7987060999999</v>
      </c>
      <c r="J1559">
        <v>1331.425293</v>
      </c>
      <c r="K1559">
        <v>2400</v>
      </c>
      <c r="L1559">
        <v>0</v>
      </c>
      <c r="M1559">
        <v>0</v>
      </c>
      <c r="N1559">
        <v>2400</v>
      </c>
    </row>
    <row r="1560" spans="1:14" x14ac:dyDescent="0.25">
      <c r="A1560">
        <v>1096.0032799999999</v>
      </c>
      <c r="B1560" s="1">
        <f>DATE(2013,5,1) + TIME(0,4,43)</f>
        <v>41395.003275462965</v>
      </c>
      <c r="C1560">
        <v>80</v>
      </c>
      <c r="D1560">
        <v>69.642089843999997</v>
      </c>
      <c r="E1560">
        <v>50</v>
      </c>
      <c r="F1560">
        <v>49.974750518999997</v>
      </c>
      <c r="G1560">
        <v>1333.3468018000001</v>
      </c>
      <c r="H1560">
        <v>1330.9523925999999</v>
      </c>
      <c r="I1560">
        <v>1331.7036132999999</v>
      </c>
      <c r="J1560">
        <v>1330.3305664</v>
      </c>
      <c r="K1560">
        <v>2400</v>
      </c>
      <c r="L1560">
        <v>0</v>
      </c>
      <c r="M1560">
        <v>0</v>
      </c>
      <c r="N1560">
        <v>2400</v>
      </c>
    </row>
    <row r="1561" spans="1:14" x14ac:dyDescent="0.25">
      <c r="A1561">
        <v>1096.0098410000001</v>
      </c>
      <c r="B1561" s="1">
        <f>DATE(2013,5,1) + TIME(0,14,10)</f>
        <v>41395.009837962964</v>
      </c>
      <c r="C1561">
        <v>80</v>
      </c>
      <c r="D1561">
        <v>69.789344787999994</v>
      </c>
      <c r="E1561">
        <v>50</v>
      </c>
      <c r="F1561">
        <v>49.972515106000003</v>
      </c>
      <c r="G1561">
        <v>1334.6435547000001</v>
      </c>
      <c r="H1561">
        <v>1332.2182617000001</v>
      </c>
      <c r="I1561">
        <v>1330.6048584</v>
      </c>
      <c r="J1561">
        <v>1329.2302245999999</v>
      </c>
      <c r="K1561">
        <v>2400</v>
      </c>
      <c r="L1561">
        <v>0</v>
      </c>
      <c r="M1561">
        <v>0</v>
      </c>
      <c r="N1561">
        <v>2400</v>
      </c>
    </row>
    <row r="1562" spans="1:14" x14ac:dyDescent="0.25">
      <c r="A1562">
        <v>1096.029524</v>
      </c>
      <c r="B1562" s="1">
        <f>DATE(2013,5,1) + TIME(0,42,30)</f>
        <v>41395.029513888891</v>
      </c>
      <c r="C1562">
        <v>80</v>
      </c>
      <c r="D1562">
        <v>70.211807250999996</v>
      </c>
      <c r="E1562">
        <v>50</v>
      </c>
      <c r="F1562">
        <v>49.969276428000001</v>
      </c>
      <c r="G1562">
        <v>1335.9379882999999</v>
      </c>
      <c r="H1562">
        <v>1333.4946289</v>
      </c>
      <c r="I1562">
        <v>1329.4952393000001</v>
      </c>
      <c r="J1562">
        <v>1328.1008300999999</v>
      </c>
      <c r="K1562">
        <v>2400</v>
      </c>
      <c r="L1562">
        <v>0</v>
      </c>
      <c r="M1562">
        <v>0</v>
      </c>
      <c r="N1562">
        <v>2400</v>
      </c>
    </row>
    <row r="1563" spans="1:14" x14ac:dyDescent="0.25">
      <c r="A1563">
        <v>1096.05269</v>
      </c>
      <c r="B1563" s="1">
        <f>DATE(2013,5,1) + TIME(1,15,52)</f>
        <v>41395.052685185183</v>
      </c>
      <c r="C1563">
        <v>80</v>
      </c>
      <c r="D1563">
        <v>70.688453674000002</v>
      </c>
      <c r="E1563">
        <v>50</v>
      </c>
      <c r="F1563">
        <v>49.966487884999999</v>
      </c>
      <c r="G1563">
        <v>1336.6962891000001</v>
      </c>
      <c r="H1563">
        <v>1334.2388916</v>
      </c>
      <c r="I1563">
        <v>1328.8532714999999</v>
      </c>
      <c r="J1563">
        <v>1327.4293213000001</v>
      </c>
      <c r="K1563">
        <v>2400</v>
      </c>
      <c r="L1563">
        <v>0</v>
      </c>
      <c r="M1563">
        <v>0</v>
      </c>
      <c r="N1563">
        <v>2400</v>
      </c>
    </row>
    <row r="1564" spans="1:14" x14ac:dyDescent="0.25">
      <c r="A1564">
        <v>1096.076599</v>
      </c>
      <c r="B1564" s="1">
        <f>DATE(2013,5,1) + TIME(1,50,18)</f>
        <v>41395.076597222222</v>
      </c>
      <c r="C1564">
        <v>80</v>
      </c>
      <c r="D1564">
        <v>71.159339904999996</v>
      </c>
      <c r="E1564">
        <v>50</v>
      </c>
      <c r="F1564">
        <v>49.964000702</v>
      </c>
      <c r="G1564">
        <v>1337.1761475000001</v>
      </c>
      <c r="H1564">
        <v>1334.7102050999999</v>
      </c>
      <c r="I1564">
        <v>1328.4495850000001</v>
      </c>
      <c r="J1564">
        <v>1326.9959716999999</v>
      </c>
      <c r="K1564">
        <v>2400</v>
      </c>
      <c r="L1564">
        <v>0</v>
      </c>
      <c r="M1564">
        <v>0</v>
      </c>
      <c r="N1564">
        <v>2400</v>
      </c>
    </row>
    <row r="1565" spans="1:14" x14ac:dyDescent="0.25">
      <c r="A1565">
        <v>1096.1012229999999</v>
      </c>
      <c r="B1565" s="1">
        <f>DATE(2013,5,1) + TIME(2,25,45)</f>
        <v>41395.101215277777</v>
      </c>
      <c r="C1565">
        <v>80</v>
      </c>
      <c r="D1565">
        <v>71.622146606000001</v>
      </c>
      <c r="E1565">
        <v>50</v>
      </c>
      <c r="F1565">
        <v>49.961639404000003</v>
      </c>
      <c r="G1565">
        <v>1337.5123291</v>
      </c>
      <c r="H1565">
        <v>1335.0419922000001</v>
      </c>
      <c r="I1565">
        <v>1328.1671143000001</v>
      </c>
      <c r="J1565">
        <v>1326.6866454999999</v>
      </c>
      <c r="K1565">
        <v>2400</v>
      </c>
      <c r="L1565">
        <v>0</v>
      </c>
      <c r="M1565">
        <v>0</v>
      </c>
      <c r="N1565">
        <v>2400</v>
      </c>
    </row>
    <row r="1566" spans="1:14" x14ac:dyDescent="0.25">
      <c r="A1566">
        <v>1096.12655</v>
      </c>
      <c r="B1566" s="1">
        <f>DATE(2013,5,1) + TIME(3,2,13)</f>
        <v>41395.126539351855</v>
      </c>
      <c r="C1566">
        <v>80</v>
      </c>
      <c r="D1566">
        <v>72.075218200999998</v>
      </c>
      <c r="E1566">
        <v>50</v>
      </c>
      <c r="F1566">
        <v>49.959331511999999</v>
      </c>
      <c r="G1566">
        <v>1337.7641602000001</v>
      </c>
      <c r="H1566">
        <v>1335.2919922000001</v>
      </c>
      <c r="I1566">
        <v>1327.956543</v>
      </c>
      <c r="J1566">
        <v>1326.4528809000001</v>
      </c>
      <c r="K1566">
        <v>2400</v>
      </c>
      <c r="L1566">
        <v>0</v>
      </c>
      <c r="M1566">
        <v>0</v>
      </c>
      <c r="N1566">
        <v>2400</v>
      </c>
    </row>
    <row r="1567" spans="1:14" x14ac:dyDescent="0.25">
      <c r="A1567">
        <v>1096.1525140000001</v>
      </c>
      <c r="B1567" s="1">
        <f>DATE(2013,5,1) + TIME(3,39,37)</f>
        <v>41395.152511574073</v>
      </c>
      <c r="C1567">
        <v>80</v>
      </c>
      <c r="D1567">
        <v>72.516296386999997</v>
      </c>
      <c r="E1567">
        <v>50</v>
      </c>
      <c r="F1567">
        <v>49.957042694000002</v>
      </c>
      <c r="G1567">
        <v>1337.9617920000001</v>
      </c>
      <c r="H1567">
        <v>1335.4891356999999</v>
      </c>
      <c r="I1567">
        <v>1327.7932129000001</v>
      </c>
      <c r="J1567">
        <v>1326.2697754000001</v>
      </c>
      <c r="K1567">
        <v>2400</v>
      </c>
      <c r="L1567">
        <v>0</v>
      </c>
      <c r="M1567">
        <v>0</v>
      </c>
      <c r="N1567">
        <v>2400</v>
      </c>
    </row>
    <row r="1568" spans="1:14" x14ac:dyDescent="0.25">
      <c r="A1568">
        <v>1096.1791250000001</v>
      </c>
      <c r="B1568" s="1">
        <f>DATE(2013,5,1) + TIME(4,17,56)</f>
        <v>41395.179120370369</v>
      </c>
      <c r="C1568">
        <v>80</v>
      </c>
      <c r="D1568">
        <v>72.944717406999999</v>
      </c>
      <c r="E1568">
        <v>50</v>
      </c>
      <c r="F1568">
        <v>49.954753875999998</v>
      </c>
      <c r="G1568">
        <v>1338.1226807</v>
      </c>
      <c r="H1568">
        <v>1335.6502685999999</v>
      </c>
      <c r="I1568">
        <v>1327.6627197</v>
      </c>
      <c r="J1568">
        <v>1326.1223144999999</v>
      </c>
      <c r="K1568">
        <v>2400</v>
      </c>
      <c r="L1568">
        <v>0</v>
      </c>
      <c r="M1568">
        <v>0</v>
      </c>
      <c r="N1568">
        <v>2400</v>
      </c>
    </row>
    <row r="1569" spans="1:14" x14ac:dyDescent="0.25">
      <c r="A1569">
        <v>1096.2064009999999</v>
      </c>
      <c r="B1569" s="1">
        <f>DATE(2013,5,1) + TIME(4,57,13)</f>
        <v>41395.206400462965</v>
      </c>
      <c r="C1569">
        <v>80</v>
      </c>
      <c r="D1569">
        <v>73.360046386999997</v>
      </c>
      <c r="E1569">
        <v>50</v>
      </c>
      <c r="F1569">
        <v>49.952453613000003</v>
      </c>
      <c r="G1569">
        <v>1338.2575684000001</v>
      </c>
      <c r="H1569">
        <v>1335.7855225000001</v>
      </c>
      <c r="I1569">
        <v>1327.5562743999999</v>
      </c>
      <c r="J1569">
        <v>1326.0013428</v>
      </c>
      <c r="K1569">
        <v>2400</v>
      </c>
      <c r="L1569">
        <v>0</v>
      </c>
      <c r="M1569">
        <v>0</v>
      </c>
      <c r="N1569">
        <v>2400</v>
      </c>
    </row>
    <row r="1570" spans="1:14" x14ac:dyDescent="0.25">
      <c r="A1570">
        <v>1096.2343659999999</v>
      </c>
      <c r="B1570" s="1">
        <f>DATE(2013,5,1) + TIME(5,37,29)</f>
        <v>41395.234363425923</v>
      </c>
      <c r="C1570">
        <v>80</v>
      </c>
      <c r="D1570">
        <v>73.762001037999994</v>
      </c>
      <c r="E1570">
        <v>50</v>
      </c>
      <c r="F1570">
        <v>49.950138092000003</v>
      </c>
      <c r="G1570">
        <v>1338.3732910000001</v>
      </c>
      <c r="H1570">
        <v>1335.9018555</v>
      </c>
      <c r="I1570">
        <v>1327.4678954999999</v>
      </c>
      <c r="J1570">
        <v>1325.9005127</v>
      </c>
      <c r="K1570">
        <v>2400</v>
      </c>
      <c r="L1570">
        <v>0</v>
      </c>
      <c r="M1570">
        <v>0</v>
      </c>
      <c r="N1570">
        <v>2400</v>
      </c>
    </row>
    <row r="1571" spans="1:14" x14ac:dyDescent="0.25">
      <c r="A1571">
        <v>1096.263048</v>
      </c>
      <c r="B1571" s="1">
        <f>DATE(2013,5,1) + TIME(6,18,47)</f>
        <v>41395.263043981482</v>
      </c>
      <c r="C1571">
        <v>80</v>
      </c>
      <c r="D1571">
        <v>74.150405883999994</v>
      </c>
      <c r="E1571">
        <v>50</v>
      </c>
      <c r="F1571">
        <v>49.947792053000001</v>
      </c>
      <c r="G1571">
        <v>1338.4748535000001</v>
      </c>
      <c r="H1571">
        <v>1336.0035399999999</v>
      </c>
      <c r="I1571">
        <v>1327.3937988</v>
      </c>
      <c r="J1571">
        <v>1325.8155518000001</v>
      </c>
      <c r="K1571">
        <v>2400</v>
      </c>
      <c r="L1571">
        <v>0</v>
      </c>
      <c r="M1571">
        <v>0</v>
      </c>
      <c r="N1571">
        <v>2400</v>
      </c>
    </row>
    <row r="1572" spans="1:14" x14ac:dyDescent="0.25">
      <c r="A1572">
        <v>1096.292477</v>
      </c>
      <c r="B1572" s="1">
        <f>DATE(2013,5,1) + TIME(7,1,9)</f>
        <v>41395.29246527778</v>
      </c>
      <c r="C1572">
        <v>80</v>
      </c>
      <c r="D1572">
        <v>74.525131225999999</v>
      </c>
      <c r="E1572">
        <v>50</v>
      </c>
      <c r="F1572">
        <v>49.945415496999999</v>
      </c>
      <c r="G1572">
        <v>1338.5654297000001</v>
      </c>
      <c r="H1572">
        <v>1336.0938721</v>
      </c>
      <c r="I1572">
        <v>1327.3311768000001</v>
      </c>
      <c r="J1572">
        <v>1325.7432861</v>
      </c>
      <c r="K1572">
        <v>2400</v>
      </c>
      <c r="L1572">
        <v>0</v>
      </c>
      <c r="M1572">
        <v>0</v>
      </c>
      <c r="N1572">
        <v>2400</v>
      </c>
    </row>
    <row r="1573" spans="1:14" x14ac:dyDescent="0.25">
      <c r="A1573">
        <v>1096.322686</v>
      </c>
      <c r="B1573" s="1">
        <f>DATE(2013,5,1) + TIME(7,44,40)</f>
        <v>41395.322685185187</v>
      </c>
      <c r="C1573">
        <v>80</v>
      </c>
      <c r="D1573">
        <v>74.886077881000006</v>
      </c>
      <c r="E1573">
        <v>50</v>
      </c>
      <c r="F1573">
        <v>49.943000793000003</v>
      </c>
      <c r="G1573">
        <v>1338.6473389</v>
      </c>
      <c r="H1573">
        <v>1336.175293</v>
      </c>
      <c r="I1573">
        <v>1327.277832</v>
      </c>
      <c r="J1573">
        <v>1325.6815185999999</v>
      </c>
      <c r="K1573">
        <v>2400</v>
      </c>
      <c r="L1573">
        <v>0</v>
      </c>
      <c r="M1573">
        <v>0</v>
      </c>
      <c r="N1573">
        <v>2400</v>
      </c>
    </row>
    <row r="1574" spans="1:14" x14ac:dyDescent="0.25">
      <c r="A1574">
        <v>1096.353719</v>
      </c>
      <c r="B1574" s="1">
        <f>DATE(2013,5,1) + TIME(8,29,21)</f>
        <v>41395.353715277779</v>
      </c>
      <c r="C1574">
        <v>80</v>
      </c>
      <c r="D1574">
        <v>75.233116150000001</v>
      </c>
      <c r="E1574">
        <v>50</v>
      </c>
      <c r="F1574">
        <v>49.940551757999998</v>
      </c>
      <c r="G1574">
        <v>1338.7222899999999</v>
      </c>
      <c r="H1574">
        <v>1336.2492675999999</v>
      </c>
      <c r="I1574">
        <v>1327.2324219</v>
      </c>
      <c r="J1574">
        <v>1325.6285399999999</v>
      </c>
      <c r="K1574">
        <v>2400</v>
      </c>
      <c r="L1574">
        <v>0</v>
      </c>
      <c r="M1574">
        <v>0</v>
      </c>
      <c r="N1574">
        <v>2400</v>
      </c>
    </row>
    <row r="1575" spans="1:14" x14ac:dyDescent="0.25">
      <c r="A1575">
        <v>1096.38562</v>
      </c>
      <c r="B1575" s="1">
        <f>DATE(2013,5,1) + TIME(9,15,17)</f>
        <v>41395.385613425926</v>
      </c>
      <c r="C1575">
        <v>80</v>
      </c>
      <c r="D1575">
        <v>75.566314696999996</v>
      </c>
      <c r="E1575">
        <v>50</v>
      </c>
      <c r="F1575">
        <v>49.938053130999997</v>
      </c>
      <c r="G1575">
        <v>1338.7917480000001</v>
      </c>
      <c r="H1575">
        <v>1336.3172606999999</v>
      </c>
      <c r="I1575">
        <v>1327.1937256000001</v>
      </c>
      <c r="J1575">
        <v>1325.5828856999999</v>
      </c>
      <c r="K1575">
        <v>2400</v>
      </c>
      <c r="L1575">
        <v>0</v>
      </c>
      <c r="M1575">
        <v>0</v>
      </c>
      <c r="N1575">
        <v>2400</v>
      </c>
    </row>
    <row r="1576" spans="1:14" x14ac:dyDescent="0.25">
      <c r="A1576">
        <v>1096.418435</v>
      </c>
      <c r="B1576" s="1">
        <f>DATE(2013,5,1) + TIME(10,2,32)</f>
        <v>41395.418425925927</v>
      </c>
      <c r="C1576">
        <v>80</v>
      </c>
      <c r="D1576">
        <v>75.885765075999998</v>
      </c>
      <c r="E1576">
        <v>50</v>
      </c>
      <c r="F1576">
        <v>49.935512543000002</v>
      </c>
      <c r="G1576">
        <v>1338.8566894999999</v>
      </c>
      <c r="H1576">
        <v>1336.3801269999999</v>
      </c>
      <c r="I1576">
        <v>1327.1606445</v>
      </c>
      <c r="J1576">
        <v>1325.5437012</v>
      </c>
      <c r="K1576">
        <v>2400</v>
      </c>
      <c r="L1576">
        <v>0</v>
      </c>
      <c r="M1576">
        <v>0</v>
      </c>
      <c r="N1576">
        <v>2400</v>
      </c>
    </row>
    <row r="1577" spans="1:14" x14ac:dyDescent="0.25">
      <c r="A1577">
        <v>1096.452215</v>
      </c>
      <c r="B1577" s="1">
        <f>DATE(2013,5,1) + TIME(10,51,11)</f>
        <v>41395.452210648145</v>
      </c>
      <c r="C1577">
        <v>80</v>
      </c>
      <c r="D1577">
        <v>76.191490173000005</v>
      </c>
      <c r="E1577">
        <v>50</v>
      </c>
      <c r="F1577">
        <v>49.932918549</v>
      </c>
      <c r="G1577">
        <v>1338.9178466999999</v>
      </c>
      <c r="H1577">
        <v>1336.4387207</v>
      </c>
      <c r="I1577">
        <v>1327.1324463000001</v>
      </c>
      <c r="J1577">
        <v>1325.5101318</v>
      </c>
      <c r="K1577">
        <v>2400</v>
      </c>
      <c r="L1577">
        <v>0</v>
      </c>
      <c r="M1577">
        <v>0</v>
      </c>
      <c r="N1577">
        <v>2400</v>
      </c>
    </row>
    <row r="1578" spans="1:14" x14ac:dyDescent="0.25">
      <c r="A1578">
        <v>1096.487016</v>
      </c>
      <c r="B1578" s="1">
        <f>DATE(2013,5,1) + TIME(11,41,18)</f>
        <v>41395.487013888887</v>
      </c>
      <c r="C1578">
        <v>80</v>
      </c>
      <c r="D1578">
        <v>76.483535767000006</v>
      </c>
      <c r="E1578">
        <v>50</v>
      </c>
      <c r="F1578">
        <v>49.930271148999999</v>
      </c>
      <c r="G1578">
        <v>1338.9757079999999</v>
      </c>
      <c r="H1578">
        <v>1336.4937743999999</v>
      </c>
      <c r="I1578">
        <v>1327.1086425999999</v>
      </c>
      <c r="J1578">
        <v>1325.4813231999999</v>
      </c>
      <c r="K1578">
        <v>2400</v>
      </c>
      <c r="L1578">
        <v>0</v>
      </c>
      <c r="M1578">
        <v>0</v>
      </c>
      <c r="N1578">
        <v>2400</v>
      </c>
    </row>
    <row r="1579" spans="1:14" x14ac:dyDescent="0.25">
      <c r="A1579">
        <v>1096.5228959999999</v>
      </c>
      <c r="B1579" s="1">
        <f>DATE(2013,5,1) + TIME(12,32,58)</f>
        <v>41395.522893518515</v>
      </c>
      <c r="C1579">
        <v>80</v>
      </c>
      <c r="D1579">
        <v>76.761970520000006</v>
      </c>
      <c r="E1579">
        <v>50</v>
      </c>
      <c r="F1579">
        <v>49.927566528</v>
      </c>
      <c r="G1579">
        <v>1339.0308838000001</v>
      </c>
      <c r="H1579">
        <v>1336.5455322</v>
      </c>
      <c r="I1579">
        <v>1327.0887451000001</v>
      </c>
      <c r="J1579">
        <v>1325.4566649999999</v>
      </c>
      <c r="K1579">
        <v>2400</v>
      </c>
      <c r="L1579">
        <v>0</v>
      </c>
      <c r="M1579">
        <v>0</v>
      </c>
      <c r="N1579">
        <v>2400</v>
      </c>
    </row>
    <row r="1580" spans="1:14" x14ac:dyDescent="0.25">
      <c r="A1580">
        <v>1096.559921</v>
      </c>
      <c r="B1580" s="1">
        <f>DATE(2013,5,1) + TIME(13,26,17)</f>
        <v>41395.559918981482</v>
      </c>
      <c r="C1580">
        <v>80</v>
      </c>
      <c r="D1580">
        <v>77.026855468999997</v>
      </c>
      <c r="E1580">
        <v>50</v>
      </c>
      <c r="F1580">
        <v>49.924800873000002</v>
      </c>
      <c r="G1580">
        <v>1339.0836182</v>
      </c>
      <c r="H1580">
        <v>1336.5946045000001</v>
      </c>
      <c r="I1580">
        <v>1327.0720214999999</v>
      </c>
      <c r="J1580">
        <v>1325.4357910000001</v>
      </c>
      <c r="K1580">
        <v>2400</v>
      </c>
      <c r="L1580">
        <v>0</v>
      </c>
      <c r="M1580">
        <v>0</v>
      </c>
      <c r="N1580">
        <v>2400</v>
      </c>
    </row>
    <row r="1581" spans="1:14" x14ac:dyDescent="0.25">
      <c r="A1581">
        <v>1096.5981609999999</v>
      </c>
      <c r="B1581" s="1">
        <f>DATE(2013,5,1) + TIME(14,21,21)</f>
        <v>41395.59815972222</v>
      </c>
      <c r="C1581">
        <v>80</v>
      </c>
      <c r="D1581">
        <v>77.278282165999997</v>
      </c>
      <c r="E1581">
        <v>50</v>
      </c>
      <c r="F1581">
        <v>49.921970367</v>
      </c>
      <c r="G1581">
        <v>1339.1343993999999</v>
      </c>
      <c r="H1581">
        <v>1336.6412353999999</v>
      </c>
      <c r="I1581">
        <v>1327.0582274999999</v>
      </c>
      <c r="J1581">
        <v>1325.4182129000001</v>
      </c>
      <c r="K1581">
        <v>2400</v>
      </c>
      <c r="L1581">
        <v>0</v>
      </c>
      <c r="M1581">
        <v>0</v>
      </c>
      <c r="N1581">
        <v>2400</v>
      </c>
    </row>
    <row r="1582" spans="1:14" x14ac:dyDescent="0.25">
      <c r="A1582">
        <v>1096.6376789999999</v>
      </c>
      <c r="B1582" s="1">
        <f>DATE(2013,5,1) + TIME(15,18,15)</f>
        <v>41395.637673611112</v>
      </c>
      <c r="C1582">
        <v>80</v>
      </c>
      <c r="D1582">
        <v>77.516304016000007</v>
      </c>
      <c r="E1582">
        <v>50</v>
      </c>
      <c r="F1582">
        <v>49.919067382999998</v>
      </c>
      <c r="G1582">
        <v>1339.1834716999999</v>
      </c>
      <c r="H1582">
        <v>1336.6856689000001</v>
      </c>
      <c r="I1582">
        <v>1327.0471190999999</v>
      </c>
      <c r="J1582">
        <v>1325.4035644999999</v>
      </c>
      <c r="K1582">
        <v>2400</v>
      </c>
      <c r="L1582">
        <v>0</v>
      </c>
      <c r="M1582">
        <v>0</v>
      </c>
      <c r="N1582">
        <v>2400</v>
      </c>
    </row>
    <row r="1583" spans="1:14" x14ac:dyDescent="0.25">
      <c r="A1583">
        <v>1096.6784809999999</v>
      </c>
      <c r="B1583" s="1">
        <f>DATE(2013,5,1) + TIME(16,17,0)</f>
        <v>41395.678472222222</v>
      </c>
      <c r="C1583">
        <v>80</v>
      </c>
      <c r="D1583">
        <v>77.740669249999996</v>
      </c>
      <c r="E1583">
        <v>50</v>
      </c>
      <c r="F1583">
        <v>49.916095734000002</v>
      </c>
      <c r="G1583">
        <v>1339.2308350000001</v>
      </c>
      <c r="H1583">
        <v>1336.7281493999999</v>
      </c>
      <c r="I1583">
        <v>1327.0382079999999</v>
      </c>
      <c r="J1583">
        <v>1325.3914795000001</v>
      </c>
      <c r="K1583">
        <v>2400</v>
      </c>
      <c r="L1583">
        <v>0</v>
      </c>
      <c r="M1583">
        <v>0</v>
      </c>
      <c r="N1583">
        <v>2400</v>
      </c>
    </row>
    <row r="1584" spans="1:14" x14ac:dyDescent="0.25">
      <c r="A1584">
        <v>1096.720646</v>
      </c>
      <c r="B1584" s="1">
        <f>DATE(2013,5,1) + TIME(17,17,43)</f>
        <v>41395.720636574071</v>
      </c>
      <c r="C1584">
        <v>80</v>
      </c>
      <c r="D1584">
        <v>77.951606749999996</v>
      </c>
      <c r="E1584">
        <v>50</v>
      </c>
      <c r="F1584">
        <v>49.913051605</v>
      </c>
      <c r="G1584">
        <v>1339.2766113</v>
      </c>
      <c r="H1584">
        <v>1336.7687988</v>
      </c>
      <c r="I1584">
        <v>1327.0313721</v>
      </c>
      <c r="J1584">
        <v>1325.3817139</v>
      </c>
      <c r="K1584">
        <v>2400</v>
      </c>
      <c r="L1584">
        <v>0</v>
      </c>
      <c r="M1584">
        <v>0</v>
      </c>
      <c r="N1584">
        <v>2400</v>
      </c>
    </row>
    <row r="1585" spans="1:14" x14ac:dyDescent="0.25">
      <c r="A1585">
        <v>1096.764257</v>
      </c>
      <c r="B1585" s="1">
        <f>DATE(2013,5,1) + TIME(18,20,31)</f>
        <v>41395.764247685183</v>
      </c>
      <c r="C1585">
        <v>80</v>
      </c>
      <c r="D1585">
        <v>78.149345397999994</v>
      </c>
      <c r="E1585">
        <v>50</v>
      </c>
      <c r="F1585">
        <v>49.909931182999998</v>
      </c>
      <c r="G1585">
        <v>1339.3210449000001</v>
      </c>
      <c r="H1585">
        <v>1336.8078613</v>
      </c>
      <c r="I1585">
        <v>1327.0262451000001</v>
      </c>
      <c r="J1585">
        <v>1325.3739014</v>
      </c>
      <c r="K1585">
        <v>2400</v>
      </c>
      <c r="L1585">
        <v>0</v>
      </c>
      <c r="M1585">
        <v>0</v>
      </c>
      <c r="N1585">
        <v>2400</v>
      </c>
    </row>
    <row r="1586" spans="1:14" x14ac:dyDescent="0.25">
      <c r="A1586">
        <v>1096.8094040000001</v>
      </c>
      <c r="B1586" s="1">
        <f>DATE(2013,5,1) + TIME(19,25,32)</f>
        <v>41395.809398148151</v>
      </c>
      <c r="C1586">
        <v>80</v>
      </c>
      <c r="D1586">
        <v>78.334144592000001</v>
      </c>
      <c r="E1586">
        <v>50</v>
      </c>
      <c r="F1586">
        <v>49.906726837000001</v>
      </c>
      <c r="G1586">
        <v>1339.3641356999999</v>
      </c>
      <c r="H1586">
        <v>1336.8452147999999</v>
      </c>
      <c r="I1586">
        <v>1327.0227050999999</v>
      </c>
      <c r="J1586">
        <v>1325.3676757999999</v>
      </c>
      <c r="K1586">
        <v>2400</v>
      </c>
      <c r="L1586">
        <v>0</v>
      </c>
      <c r="M1586">
        <v>0</v>
      </c>
      <c r="N1586">
        <v>2400</v>
      </c>
    </row>
    <row r="1587" spans="1:14" x14ac:dyDescent="0.25">
      <c r="A1587">
        <v>1096.8561830000001</v>
      </c>
      <c r="B1587" s="1">
        <f>DATE(2013,5,1) + TIME(20,32,54)</f>
        <v>41395.856180555558</v>
      </c>
      <c r="C1587">
        <v>80</v>
      </c>
      <c r="D1587">
        <v>78.506278992000006</v>
      </c>
      <c r="E1587">
        <v>50</v>
      </c>
      <c r="F1587">
        <v>49.903434752999999</v>
      </c>
      <c r="G1587">
        <v>1339.4060059000001</v>
      </c>
      <c r="H1587">
        <v>1336.8813477000001</v>
      </c>
      <c r="I1587">
        <v>1327.0203856999999</v>
      </c>
      <c r="J1587">
        <v>1325.3630370999999</v>
      </c>
      <c r="K1587">
        <v>2400</v>
      </c>
      <c r="L1587">
        <v>0</v>
      </c>
      <c r="M1587">
        <v>0</v>
      </c>
      <c r="N1587">
        <v>2400</v>
      </c>
    </row>
    <row r="1588" spans="1:14" x14ac:dyDescent="0.25">
      <c r="A1588">
        <v>1096.9047009999999</v>
      </c>
      <c r="B1588" s="1">
        <f>DATE(2013,5,1) + TIME(21,42,46)</f>
        <v>41395.904699074075</v>
      </c>
      <c r="C1588">
        <v>80</v>
      </c>
      <c r="D1588">
        <v>78.666061400999993</v>
      </c>
      <c r="E1588">
        <v>50</v>
      </c>
      <c r="F1588">
        <v>49.900051116999997</v>
      </c>
      <c r="G1588">
        <v>1339.4467772999999</v>
      </c>
      <c r="H1588">
        <v>1336.9160156</v>
      </c>
      <c r="I1588">
        <v>1327.0191649999999</v>
      </c>
      <c r="J1588">
        <v>1325.3596190999999</v>
      </c>
      <c r="K1588">
        <v>2400</v>
      </c>
      <c r="L1588">
        <v>0</v>
      </c>
      <c r="M1588">
        <v>0</v>
      </c>
      <c r="N1588">
        <v>2400</v>
      </c>
    </row>
    <row r="1589" spans="1:14" x14ac:dyDescent="0.25">
      <c r="A1589">
        <v>1096.9550710000001</v>
      </c>
      <c r="B1589" s="1">
        <f>DATE(2013,5,1) + TIME(22,55,18)</f>
        <v>41395.955069444448</v>
      </c>
      <c r="C1589">
        <v>80</v>
      </c>
      <c r="D1589">
        <v>78.813827515</v>
      </c>
      <c r="E1589">
        <v>50</v>
      </c>
      <c r="F1589">
        <v>49.896564484000002</v>
      </c>
      <c r="G1589">
        <v>1339.4864502</v>
      </c>
      <c r="H1589">
        <v>1336.9494629000001</v>
      </c>
      <c r="I1589">
        <v>1327.019043</v>
      </c>
      <c r="J1589">
        <v>1325.3574219</v>
      </c>
      <c r="K1589">
        <v>2400</v>
      </c>
      <c r="L1589">
        <v>0</v>
      </c>
      <c r="M1589">
        <v>0</v>
      </c>
      <c r="N1589">
        <v>2400</v>
      </c>
    </row>
    <row r="1590" spans="1:14" x14ac:dyDescent="0.25">
      <c r="A1590">
        <v>1097.007439</v>
      </c>
      <c r="B1590" s="1">
        <f>DATE(2013,5,2) + TIME(0,10,42)</f>
        <v>41396.007430555554</v>
      </c>
      <c r="C1590">
        <v>80</v>
      </c>
      <c r="D1590">
        <v>78.949989318999997</v>
      </c>
      <c r="E1590">
        <v>50</v>
      </c>
      <c r="F1590">
        <v>49.892974854000002</v>
      </c>
      <c r="G1590">
        <v>1339.5250243999999</v>
      </c>
      <c r="H1590">
        <v>1336.9816894999999</v>
      </c>
      <c r="I1590">
        <v>1327.0195312000001</v>
      </c>
      <c r="J1590">
        <v>1325.355957</v>
      </c>
      <c r="K1590">
        <v>2400</v>
      </c>
      <c r="L1590">
        <v>0</v>
      </c>
      <c r="M1590">
        <v>0</v>
      </c>
      <c r="N1590">
        <v>2400</v>
      </c>
    </row>
    <row r="1591" spans="1:14" x14ac:dyDescent="0.25">
      <c r="A1591">
        <v>1097.061929</v>
      </c>
      <c r="B1591" s="1">
        <f>DATE(2013,5,2) + TIME(1,29,10)</f>
        <v>41396.061921296299</v>
      </c>
      <c r="C1591">
        <v>80</v>
      </c>
      <c r="D1591">
        <v>79.074890136999997</v>
      </c>
      <c r="E1591">
        <v>50</v>
      </c>
      <c r="F1591">
        <v>49.889266968000001</v>
      </c>
      <c r="G1591">
        <v>1339.5626221</v>
      </c>
      <c r="H1591">
        <v>1337.0128173999999</v>
      </c>
      <c r="I1591">
        <v>1327.0207519999999</v>
      </c>
      <c r="J1591">
        <v>1325.3553466999999</v>
      </c>
      <c r="K1591">
        <v>2400</v>
      </c>
      <c r="L1591">
        <v>0</v>
      </c>
      <c r="M1591">
        <v>0</v>
      </c>
      <c r="N1591">
        <v>2400</v>
      </c>
    </row>
    <row r="1592" spans="1:14" x14ac:dyDescent="0.25">
      <c r="A1592">
        <v>1097.1186849999999</v>
      </c>
      <c r="B1592" s="1">
        <f>DATE(2013,5,2) + TIME(2,50,54)</f>
        <v>41396.118680555555</v>
      </c>
      <c r="C1592">
        <v>80</v>
      </c>
      <c r="D1592">
        <v>79.188941955999994</v>
      </c>
      <c r="E1592">
        <v>50</v>
      </c>
      <c r="F1592">
        <v>49.885440826</v>
      </c>
      <c r="G1592">
        <v>1339.5991211</v>
      </c>
      <c r="H1592">
        <v>1337.0428466999999</v>
      </c>
      <c r="I1592">
        <v>1327.0225829999999</v>
      </c>
      <c r="J1592">
        <v>1325.3553466999999</v>
      </c>
      <c r="K1592">
        <v>2400</v>
      </c>
      <c r="L1592">
        <v>0</v>
      </c>
      <c r="M1592">
        <v>0</v>
      </c>
      <c r="N1592">
        <v>2400</v>
      </c>
    </row>
    <row r="1593" spans="1:14" x14ac:dyDescent="0.25">
      <c r="A1593">
        <v>1097.177874</v>
      </c>
      <c r="B1593" s="1">
        <f>DATE(2013,5,2) + TIME(4,16,8)</f>
        <v>41396.177870370368</v>
      </c>
      <c r="C1593">
        <v>80</v>
      </c>
      <c r="D1593">
        <v>79.292587280000006</v>
      </c>
      <c r="E1593">
        <v>50</v>
      </c>
      <c r="F1593">
        <v>49.881481170999997</v>
      </c>
      <c r="G1593">
        <v>1339.6347656</v>
      </c>
      <c r="H1593">
        <v>1337.0717772999999</v>
      </c>
      <c r="I1593">
        <v>1327.0247803</v>
      </c>
      <c r="J1593">
        <v>1325.3557129000001</v>
      </c>
      <c r="K1593">
        <v>2400</v>
      </c>
      <c r="L1593">
        <v>0</v>
      </c>
      <c r="M1593">
        <v>0</v>
      </c>
      <c r="N1593">
        <v>2400</v>
      </c>
    </row>
    <row r="1594" spans="1:14" x14ac:dyDescent="0.25">
      <c r="A1594">
        <v>1097.2396759999999</v>
      </c>
      <c r="B1594" s="1">
        <f>DATE(2013,5,2) + TIME(5,45,7)</f>
        <v>41396.239664351851</v>
      </c>
      <c r="C1594">
        <v>80</v>
      </c>
      <c r="D1594">
        <v>79.386291503999999</v>
      </c>
      <c r="E1594">
        <v>50</v>
      </c>
      <c r="F1594">
        <v>49.877388000000003</v>
      </c>
      <c r="G1594">
        <v>1339.6693115</v>
      </c>
      <c r="H1594">
        <v>1337.0997314000001</v>
      </c>
      <c r="I1594">
        <v>1327.0272216999999</v>
      </c>
      <c r="J1594">
        <v>1325.3565673999999</v>
      </c>
      <c r="K1594">
        <v>2400</v>
      </c>
      <c r="L1594">
        <v>0</v>
      </c>
      <c r="M1594">
        <v>0</v>
      </c>
      <c r="N1594">
        <v>2400</v>
      </c>
    </row>
    <row r="1595" spans="1:14" x14ac:dyDescent="0.25">
      <c r="A1595">
        <v>1097.3042929999999</v>
      </c>
      <c r="B1595" s="1">
        <f>DATE(2013,5,2) + TIME(7,18,10)</f>
        <v>41396.304282407407</v>
      </c>
      <c r="C1595">
        <v>80</v>
      </c>
      <c r="D1595">
        <v>79.470542907999999</v>
      </c>
      <c r="E1595">
        <v>50</v>
      </c>
      <c r="F1595">
        <v>49.873138427999997</v>
      </c>
      <c r="G1595">
        <v>1339.7028809000001</v>
      </c>
      <c r="H1595">
        <v>1337.1267089999999</v>
      </c>
      <c r="I1595">
        <v>1327.0299072</v>
      </c>
      <c r="J1595">
        <v>1325.3576660000001</v>
      </c>
      <c r="K1595">
        <v>2400</v>
      </c>
      <c r="L1595">
        <v>0</v>
      </c>
      <c r="M1595">
        <v>0</v>
      </c>
      <c r="N1595">
        <v>2400</v>
      </c>
    </row>
    <row r="1596" spans="1:14" x14ac:dyDescent="0.25">
      <c r="A1596">
        <v>1097.37195</v>
      </c>
      <c r="B1596" s="1">
        <f>DATE(2013,5,2) + TIME(8,55,36)</f>
        <v>41396.371944444443</v>
      </c>
      <c r="C1596">
        <v>80</v>
      </c>
      <c r="D1596">
        <v>79.545852660999998</v>
      </c>
      <c r="E1596">
        <v>50</v>
      </c>
      <c r="F1596">
        <v>49.868732452000003</v>
      </c>
      <c r="G1596">
        <v>1339.7355957</v>
      </c>
      <c r="H1596">
        <v>1337.1525879000001</v>
      </c>
      <c r="I1596">
        <v>1327.0328368999999</v>
      </c>
      <c r="J1596">
        <v>1325.3588867000001</v>
      </c>
      <c r="K1596">
        <v>2400</v>
      </c>
      <c r="L1596">
        <v>0</v>
      </c>
      <c r="M1596">
        <v>0</v>
      </c>
      <c r="N1596">
        <v>2400</v>
      </c>
    </row>
    <row r="1597" spans="1:14" x14ac:dyDescent="0.25">
      <c r="A1597">
        <v>1097.4428969999999</v>
      </c>
      <c r="B1597" s="1">
        <f>DATE(2013,5,2) + TIME(10,37,46)</f>
        <v>41396.442893518521</v>
      </c>
      <c r="C1597">
        <v>80</v>
      </c>
      <c r="D1597">
        <v>79.612754821999999</v>
      </c>
      <c r="E1597">
        <v>50</v>
      </c>
      <c r="F1597">
        <v>49.864151001000003</v>
      </c>
      <c r="G1597">
        <v>1339.7672118999999</v>
      </c>
      <c r="H1597">
        <v>1337.1776123</v>
      </c>
      <c r="I1597">
        <v>1327.0357666</v>
      </c>
      <c r="J1597">
        <v>1325.3603516000001</v>
      </c>
      <c r="K1597">
        <v>2400</v>
      </c>
      <c r="L1597">
        <v>0</v>
      </c>
      <c r="M1597">
        <v>0</v>
      </c>
      <c r="N1597">
        <v>2400</v>
      </c>
    </row>
    <row r="1598" spans="1:14" x14ac:dyDescent="0.25">
      <c r="A1598">
        <v>1097.517415</v>
      </c>
      <c r="B1598" s="1">
        <f>DATE(2013,5,2) + TIME(12,25,4)</f>
        <v>41396.517407407409</v>
      </c>
      <c r="C1598">
        <v>80</v>
      </c>
      <c r="D1598">
        <v>79.671783446999996</v>
      </c>
      <c r="E1598">
        <v>50</v>
      </c>
      <c r="F1598">
        <v>49.859382629000002</v>
      </c>
      <c r="G1598">
        <v>1339.7977295000001</v>
      </c>
      <c r="H1598">
        <v>1337.2015381000001</v>
      </c>
      <c r="I1598">
        <v>1327.0386963000001</v>
      </c>
      <c r="J1598">
        <v>1325.3616943</v>
      </c>
      <c r="K1598">
        <v>2400</v>
      </c>
      <c r="L1598">
        <v>0</v>
      </c>
      <c r="M1598">
        <v>0</v>
      </c>
      <c r="N1598">
        <v>2400</v>
      </c>
    </row>
    <row r="1599" spans="1:14" x14ac:dyDescent="0.25">
      <c r="A1599">
        <v>1097.595822</v>
      </c>
      <c r="B1599" s="1">
        <f>DATE(2013,5,2) + TIME(14,17,59)</f>
        <v>41396.595821759256</v>
      </c>
      <c r="C1599">
        <v>80</v>
      </c>
      <c r="D1599">
        <v>79.723487853999998</v>
      </c>
      <c r="E1599">
        <v>50</v>
      </c>
      <c r="F1599">
        <v>49.854408264</v>
      </c>
      <c r="G1599">
        <v>1339.8273925999999</v>
      </c>
      <c r="H1599">
        <v>1337.2246094</v>
      </c>
      <c r="I1599">
        <v>1327.0415039</v>
      </c>
      <c r="J1599">
        <v>1325.3631591999999</v>
      </c>
      <c r="K1599">
        <v>2400</v>
      </c>
      <c r="L1599">
        <v>0</v>
      </c>
      <c r="M1599">
        <v>0</v>
      </c>
      <c r="N1599">
        <v>2400</v>
      </c>
    </row>
    <row r="1600" spans="1:14" x14ac:dyDescent="0.25">
      <c r="A1600">
        <v>1097.6784970000001</v>
      </c>
      <c r="B1600" s="1">
        <f>DATE(2013,5,2) + TIME(16,17,2)</f>
        <v>41396.678495370368</v>
      </c>
      <c r="C1600">
        <v>80</v>
      </c>
      <c r="D1600">
        <v>79.768440247000001</v>
      </c>
      <c r="E1600">
        <v>50</v>
      </c>
      <c r="F1600">
        <v>49.849212645999998</v>
      </c>
      <c r="G1600">
        <v>1339.855957</v>
      </c>
      <c r="H1600">
        <v>1337.2467041</v>
      </c>
      <c r="I1600">
        <v>1327.0443115</v>
      </c>
      <c r="J1600">
        <v>1325.3645019999999</v>
      </c>
      <c r="K1600">
        <v>2400</v>
      </c>
      <c r="L1600">
        <v>0</v>
      </c>
      <c r="M1600">
        <v>0</v>
      </c>
      <c r="N1600">
        <v>2400</v>
      </c>
    </row>
    <row r="1601" spans="1:14" x14ac:dyDescent="0.25">
      <c r="A1601">
        <v>1097.7658799999999</v>
      </c>
      <c r="B1601" s="1">
        <f>DATE(2013,5,2) + TIME(18,22,52)</f>
        <v>41396.765879629631</v>
      </c>
      <c r="C1601">
        <v>80</v>
      </c>
      <c r="D1601">
        <v>79.807205199999999</v>
      </c>
      <c r="E1601">
        <v>50</v>
      </c>
      <c r="F1601">
        <v>49.843769072999997</v>
      </c>
      <c r="G1601">
        <v>1339.8834228999999</v>
      </c>
      <c r="H1601">
        <v>1337.2678223</v>
      </c>
      <c r="I1601">
        <v>1327.0471190999999</v>
      </c>
      <c r="J1601">
        <v>1325.3657227000001</v>
      </c>
      <c r="K1601">
        <v>2400</v>
      </c>
      <c r="L1601">
        <v>0</v>
      </c>
      <c r="M1601">
        <v>0</v>
      </c>
      <c r="N1601">
        <v>2400</v>
      </c>
    </row>
    <row r="1602" spans="1:14" x14ac:dyDescent="0.25">
      <c r="A1602">
        <v>1097.8584060000001</v>
      </c>
      <c r="B1602" s="1">
        <f>DATE(2013,5,2) + TIME(20,36,6)</f>
        <v>41396.858402777776</v>
      </c>
      <c r="C1602">
        <v>80</v>
      </c>
      <c r="D1602">
        <v>79.840316771999994</v>
      </c>
      <c r="E1602">
        <v>50</v>
      </c>
      <c r="F1602">
        <v>49.838062286000003</v>
      </c>
      <c r="G1602">
        <v>1339.9099120999999</v>
      </c>
      <c r="H1602">
        <v>1337.2880858999999</v>
      </c>
      <c r="I1602">
        <v>1327.0496826000001</v>
      </c>
      <c r="J1602">
        <v>1325.3669434000001</v>
      </c>
      <c r="K1602">
        <v>2400</v>
      </c>
      <c r="L1602">
        <v>0</v>
      </c>
      <c r="M1602">
        <v>0</v>
      </c>
      <c r="N1602">
        <v>2400</v>
      </c>
    </row>
    <row r="1603" spans="1:14" x14ac:dyDescent="0.25">
      <c r="A1603">
        <v>1097.956623</v>
      </c>
      <c r="B1603" s="1">
        <f>DATE(2013,5,2) + TIME(22,57,32)</f>
        <v>41396.956620370373</v>
      </c>
      <c r="C1603">
        <v>80</v>
      </c>
      <c r="D1603">
        <v>79.868324279999996</v>
      </c>
      <c r="E1603">
        <v>50</v>
      </c>
      <c r="F1603">
        <v>49.832057953000003</v>
      </c>
      <c r="G1603">
        <v>1339.9353027</v>
      </c>
      <c r="H1603">
        <v>1337.3073730000001</v>
      </c>
      <c r="I1603">
        <v>1327.0520019999999</v>
      </c>
      <c r="J1603">
        <v>1325.3679199000001</v>
      </c>
      <c r="K1603">
        <v>2400</v>
      </c>
      <c r="L1603">
        <v>0</v>
      </c>
      <c r="M1603">
        <v>0</v>
      </c>
      <c r="N1603">
        <v>2400</v>
      </c>
    </row>
    <row r="1604" spans="1:14" x14ac:dyDescent="0.25">
      <c r="A1604">
        <v>1098.057986</v>
      </c>
      <c r="B1604" s="1">
        <f>DATE(2013,5,3) + TIME(1,23,29)</f>
        <v>41397.057974537034</v>
      </c>
      <c r="C1604">
        <v>80</v>
      </c>
      <c r="D1604">
        <v>79.891197204999997</v>
      </c>
      <c r="E1604">
        <v>50</v>
      </c>
      <c r="F1604">
        <v>49.825904846</v>
      </c>
      <c r="G1604">
        <v>1339.9598389</v>
      </c>
      <c r="H1604">
        <v>1337.3258057</v>
      </c>
      <c r="I1604">
        <v>1327.0541992000001</v>
      </c>
      <c r="J1604">
        <v>1325.3687743999999</v>
      </c>
      <c r="K1604">
        <v>2400</v>
      </c>
      <c r="L1604">
        <v>0</v>
      </c>
      <c r="M1604">
        <v>0</v>
      </c>
      <c r="N1604">
        <v>2400</v>
      </c>
    </row>
    <row r="1605" spans="1:14" x14ac:dyDescent="0.25">
      <c r="A1605">
        <v>1098.160813</v>
      </c>
      <c r="B1605" s="1">
        <f>DATE(2013,5,3) + TIME(3,51,34)</f>
        <v>41397.160810185182</v>
      </c>
      <c r="C1605">
        <v>80</v>
      </c>
      <c r="D1605">
        <v>79.909500121999997</v>
      </c>
      <c r="E1605">
        <v>50</v>
      </c>
      <c r="F1605">
        <v>49.819690704000003</v>
      </c>
      <c r="G1605">
        <v>1339.9826660000001</v>
      </c>
      <c r="H1605">
        <v>1337.3427733999999</v>
      </c>
      <c r="I1605">
        <v>1327.0561522999999</v>
      </c>
      <c r="J1605">
        <v>1325.3692627</v>
      </c>
      <c r="K1605">
        <v>2400</v>
      </c>
      <c r="L1605">
        <v>0</v>
      </c>
      <c r="M1605">
        <v>0</v>
      </c>
      <c r="N1605">
        <v>2400</v>
      </c>
    </row>
    <row r="1606" spans="1:14" x14ac:dyDescent="0.25">
      <c r="A1606">
        <v>1098.2654889999999</v>
      </c>
      <c r="B1606" s="1">
        <f>DATE(2013,5,3) + TIME(6,22,18)</f>
        <v>41397.265486111108</v>
      </c>
      <c r="C1606">
        <v>80</v>
      </c>
      <c r="D1606">
        <v>79.924140929999993</v>
      </c>
      <c r="E1606">
        <v>50</v>
      </c>
      <c r="F1606">
        <v>49.813392639</v>
      </c>
      <c r="G1606">
        <v>1340.0035399999999</v>
      </c>
      <c r="H1606">
        <v>1337.3582764</v>
      </c>
      <c r="I1606">
        <v>1327.0578613</v>
      </c>
      <c r="J1606">
        <v>1325.369751</v>
      </c>
      <c r="K1606">
        <v>2400</v>
      </c>
      <c r="L1606">
        <v>0</v>
      </c>
      <c r="M1606">
        <v>0</v>
      </c>
      <c r="N1606">
        <v>2400</v>
      </c>
    </row>
    <row r="1607" spans="1:14" x14ac:dyDescent="0.25">
      <c r="A1607">
        <v>1098.372327</v>
      </c>
      <c r="B1607" s="1">
        <f>DATE(2013,5,3) + TIME(8,56,9)</f>
        <v>41397.37232638889</v>
      </c>
      <c r="C1607">
        <v>80</v>
      </c>
      <c r="D1607">
        <v>79.935829162999994</v>
      </c>
      <c r="E1607">
        <v>50</v>
      </c>
      <c r="F1607">
        <v>49.806999206999997</v>
      </c>
      <c r="G1607">
        <v>1340.0224608999999</v>
      </c>
      <c r="H1607">
        <v>1337.3723144999999</v>
      </c>
      <c r="I1607">
        <v>1327.0593262</v>
      </c>
      <c r="J1607">
        <v>1325.3699951000001</v>
      </c>
      <c r="K1607">
        <v>2400</v>
      </c>
      <c r="L1607">
        <v>0</v>
      </c>
      <c r="M1607">
        <v>0</v>
      </c>
      <c r="N1607">
        <v>2400</v>
      </c>
    </row>
    <row r="1608" spans="1:14" x14ac:dyDescent="0.25">
      <c r="A1608">
        <v>1098.481661</v>
      </c>
      <c r="B1608" s="1">
        <f>DATE(2013,5,3) + TIME(11,33,35)</f>
        <v>41397.48165509259</v>
      </c>
      <c r="C1608">
        <v>80</v>
      </c>
      <c r="D1608">
        <v>79.945137024000005</v>
      </c>
      <c r="E1608">
        <v>50</v>
      </c>
      <c r="F1608">
        <v>49.800491332999997</v>
      </c>
      <c r="G1608">
        <v>1340.0397949000001</v>
      </c>
      <c r="H1608">
        <v>1337.3850098</v>
      </c>
      <c r="I1608">
        <v>1327.0605469</v>
      </c>
      <c r="J1608">
        <v>1325.3701172000001</v>
      </c>
      <c r="K1608">
        <v>2400</v>
      </c>
      <c r="L1608">
        <v>0</v>
      </c>
      <c r="M1608">
        <v>0</v>
      </c>
      <c r="N1608">
        <v>2400</v>
      </c>
    </row>
    <row r="1609" spans="1:14" x14ac:dyDescent="0.25">
      <c r="A1609">
        <v>1098.5938470000001</v>
      </c>
      <c r="B1609" s="1">
        <f>DATE(2013,5,3) + TIME(14,15,8)</f>
        <v>41397.593842592592</v>
      </c>
      <c r="C1609">
        <v>80</v>
      </c>
      <c r="D1609">
        <v>79.952529906999999</v>
      </c>
      <c r="E1609">
        <v>50</v>
      </c>
      <c r="F1609">
        <v>49.793846129999999</v>
      </c>
      <c r="G1609">
        <v>1340.0556641000001</v>
      </c>
      <c r="H1609">
        <v>1337.3967285000001</v>
      </c>
      <c r="I1609">
        <v>1327.0617675999999</v>
      </c>
      <c r="J1609">
        <v>1325.3701172000001</v>
      </c>
      <c r="K1609">
        <v>2400</v>
      </c>
      <c r="L1609">
        <v>0</v>
      </c>
      <c r="M1609">
        <v>0</v>
      </c>
      <c r="N1609">
        <v>2400</v>
      </c>
    </row>
    <row r="1610" spans="1:14" x14ac:dyDescent="0.25">
      <c r="A1610">
        <v>1098.7092720000001</v>
      </c>
      <c r="B1610" s="1">
        <f>DATE(2013,5,3) + TIME(17,1,21)</f>
        <v>41397.709270833337</v>
      </c>
      <c r="C1610">
        <v>80</v>
      </c>
      <c r="D1610">
        <v>79.958389281999999</v>
      </c>
      <c r="E1610">
        <v>50</v>
      </c>
      <c r="F1610">
        <v>49.787052154999998</v>
      </c>
      <c r="G1610">
        <v>1340.0701904</v>
      </c>
      <c r="H1610">
        <v>1337.4073486</v>
      </c>
      <c r="I1610">
        <v>1327.0626221</v>
      </c>
      <c r="J1610">
        <v>1325.3699951000001</v>
      </c>
      <c r="K1610">
        <v>2400</v>
      </c>
      <c r="L1610">
        <v>0</v>
      </c>
      <c r="M1610">
        <v>0</v>
      </c>
      <c r="N1610">
        <v>2400</v>
      </c>
    </row>
    <row r="1611" spans="1:14" x14ac:dyDescent="0.25">
      <c r="A1611">
        <v>1098.8261729999999</v>
      </c>
      <c r="B1611" s="1">
        <f>DATE(2013,5,3) + TIME(19,49,41)</f>
        <v>41397.826168981483</v>
      </c>
      <c r="C1611">
        <v>80</v>
      </c>
      <c r="D1611">
        <v>79.962944031000006</v>
      </c>
      <c r="E1611">
        <v>50</v>
      </c>
      <c r="F1611">
        <v>49.780189514</v>
      </c>
      <c r="G1611">
        <v>1340.0834961</v>
      </c>
      <c r="H1611">
        <v>1337.4169922000001</v>
      </c>
      <c r="I1611">
        <v>1327.0634766000001</v>
      </c>
      <c r="J1611">
        <v>1325.369751</v>
      </c>
      <c r="K1611">
        <v>2400</v>
      </c>
      <c r="L1611">
        <v>0</v>
      </c>
      <c r="M1611">
        <v>0</v>
      </c>
      <c r="N1611">
        <v>2400</v>
      </c>
    </row>
    <row r="1612" spans="1:14" x14ac:dyDescent="0.25">
      <c r="A1612">
        <v>1098.944788</v>
      </c>
      <c r="B1612" s="1">
        <f>DATE(2013,5,3) + TIME(22,40,29)</f>
        <v>41397.944780092592</v>
      </c>
      <c r="C1612">
        <v>80</v>
      </c>
      <c r="D1612">
        <v>79.966484070000007</v>
      </c>
      <c r="E1612">
        <v>50</v>
      </c>
      <c r="F1612">
        <v>49.773258208999998</v>
      </c>
      <c r="G1612">
        <v>1340.0955810999999</v>
      </c>
      <c r="H1612">
        <v>1337.4256591999999</v>
      </c>
      <c r="I1612">
        <v>1327.0640868999999</v>
      </c>
      <c r="J1612">
        <v>1325.3695068</v>
      </c>
      <c r="K1612">
        <v>2400</v>
      </c>
      <c r="L1612">
        <v>0</v>
      </c>
      <c r="M1612">
        <v>0</v>
      </c>
      <c r="N1612">
        <v>2400</v>
      </c>
    </row>
    <row r="1613" spans="1:14" x14ac:dyDescent="0.25">
      <c r="A1613">
        <v>1099.0653600000001</v>
      </c>
      <c r="B1613" s="1">
        <f>DATE(2013,5,4) + TIME(1,34,7)</f>
        <v>41398.065358796295</v>
      </c>
      <c r="C1613">
        <v>80</v>
      </c>
      <c r="D1613">
        <v>79.969230651999993</v>
      </c>
      <c r="E1613">
        <v>50</v>
      </c>
      <c r="F1613">
        <v>49.766239165999998</v>
      </c>
      <c r="G1613">
        <v>1340.1063231999999</v>
      </c>
      <c r="H1613">
        <v>1337.4333495999999</v>
      </c>
      <c r="I1613">
        <v>1327.0646973</v>
      </c>
      <c r="J1613">
        <v>1325.3691406</v>
      </c>
      <c r="K1613">
        <v>2400</v>
      </c>
      <c r="L1613">
        <v>0</v>
      </c>
      <c r="M1613">
        <v>0</v>
      </c>
      <c r="N1613">
        <v>2400</v>
      </c>
    </row>
    <row r="1614" spans="1:14" x14ac:dyDescent="0.25">
      <c r="A1614">
        <v>1099.1881579999999</v>
      </c>
      <c r="B1614" s="1">
        <f>DATE(2013,5,4) + TIME(4,30,56)</f>
        <v>41398.188148148147</v>
      </c>
      <c r="C1614">
        <v>80</v>
      </c>
      <c r="D1614">
        <v>79.971374511999997</v>
      </c>
      <c r="E1614">
        <v>50</v>
      </c>
      <c r="F1614">
        <v>49.759117126</v>
      </c>
      <c r="G1614">
        <v>1340.1159668</v>
      </c>
      <c r="H1614">
        <v>1337.4403076000001</v>
      </c>
      <c r="I1614">
        <v>1327.0651855000001</v>
      </c>
      <c r="J1614">
        <v>1325.3686522999999</v>
      </c>
      <c r="K1614">
        <v>2400</v>
      </c>
      <c r="L1614">
        <v>0</v>
      </c>
      <c r="M1614">
        <v>0</v>
      </c>
      <c r="N1614">
        <v>2400</v>
      </c>
    </row>
    <row r="1615" spans="1:14" x14ac:dyDescent="0.25">
      <c r="A1615">
        <v>1099.3133780000001</v>
      </c>
      <c r="B1615" s="1">
        <f>DATE(2013,5,4) + TIME(7,31,15)</f>
        <v>41398.313368055555</v>
      </c>
      <c r="C1615">
        <v>80</v>
      </c>
      <c r="D1615">
        <v>79.973030089999995</v>
      </c>
      <c r="E1615">
        <v>50</v>
      </c>
      <c r="F1615">
        <v>49.751888274999999</v>
      </c>
      <c r="G1615">
        <v>1340.1245117000001</v>
      </c>
      <c r="H1615">
        <v>1337.4465332</v>
      </c>
      <c r="I1615">
        <v>1327.0655518000001</v>
      </c>
      <c r="J1615">
        <v>1325.3681641000001</v>
      </c>
      <c r="K1615">
        <v>2400</v>
      </c>
      <c r="L1615">
        <v>0</v>
      </c>
      <c r="M1615">
        <v>0</v>
      </c>
      <c r="N1615">
        <v>2400</v>
      </c>
    </row>
    <row r="1616" spans="1:14" x14ac:dyDescent="0.25">
      <c r="A1616">
        <v>1099.441296</v>
      </c>
      <c r="B1616" s="1">
        <f>DATE(2013,5,4) + TIME(10,35,27)</f>
        <v>41398.441284722219</v>
      </c>
      <c r="C1616">
        <v>80</v>
      </c>
      <c r="D1616">
        <v>79.974311829000001</v>
      </c>
      <c r="E1616">
        <v>50</v>
      </c>
      <c r="F1616">
        <v>49.744537354000002</v>
      </c>
      <c r="G1616">
        <v>1340.1323242000001</v>
      </c>
      <c r="H1616">
        <v>1337.4520264</v>
      </c>
      <c r="I1616">
        <v>1327.0657959</v>
      </c>
      <c r="J1616">
        <v>1325.3676757999999</v>
      </c>
      <c r="K1616">
        <v>2400</v>
      </c>
      <c r="L1616">
        <v>0</v>
      </c>
      <c r="M1616">
        <v>0</v>
      </c>
      <c r="N1616">
        <v>2400</v>
      </c>
    </row>
    <row r="1617" spans="1:14" x14ac:dyDescent="0.25">
      <c r="A1617">
        <v>1099.5722049999999</v>
      </c>
      <c r="B1617" s="1">
        <f>DATE(2013,5,4) + TIME(13,43,58)</f>
        <v>41398.572199074071</v>
      </c>
      <c r="C1617">
        <v>80</v>
      </c>
      <c r="D1617">
        <v>79.975311278999996</v>
      </c>
      <c r="E1617">
        <v>50</v>
      </c>
      <c r="F1617">
        <v>49.737045287999997</v>
      </c>
      <c r="G1617">
        <v>1340.1391602000001</v>
      </c>
      <c r="H1617">
        <v>1337.4569091999999</v>
      </c>
      <c r="I1617">
        <v>1327.0660399999999</v>
      </c>
      <c r="J1617">
        <v>1325.3670654</v>
      </c>
      <c r="K1617">
        <v>2400</v>
      </c>
      <c r="L1617">
        <v>0</v>
      </c>
      <c r="M1617">
        <v>0</v>
      </c>
      <c r="N1617">
        <v>2400</v>
      </c>
    </row>
    <row r="1618" spans="1:14" x14ac:dyDescent="0.25">
      <c r="A1618">
        <v>1099.706422</v>
      </c>
      <c r="B1618" s="1">
        <f>DATE(2013,5,4) + TIME(16,57,14)</f>
        <v>41398.706412037034</v>
      </c>
      <c r="C1618">
        <v>80</v>
      </c>
      <c r="D1618">
        <v>79.976081848000007</v>
      </c>
      <c r="E1618">
        <v>50</v>
      </c>
      <c r="F1618">
        <v>49.729404449</v>
      </c>
      <c r="G1618">
        <v>1340.1452637</v>
      </c>
      <c r="H1618">
        <v>1337.4611815999999</v>
      </c>
      <c r="I1618">
        <v>1327.0661620999999</v>
      </c>
      <c r="J1618">
        <v>1325.3664550999999</v>
      </c>
      <c r="K1618">
        <v>2400</v>
      </c>
      <c r="L1618">
        <v>0</v>
      </c>
      <c r="M1618">
        <v>0</v>
      </c>
      <c r="N1618">
        <v>2400</v>
      </c>
    </row>
    <row r="1619" spans="1:14" x14ac:dyDescent="0.25">
      <c r="A1619">
        <v>1099.844294</v>
      </c>
      <c r="B1619" s="1">
        <f>DATE(2013,5,4) + TIME(20,15,47)</f>
        <v>41398.844293981485</v>
      </c>
      <c r="C1619">
        <v>80</v>
      </c>
      <c r="D1619">
        <v>79.976684570000003</v>
      </c>
      <c r="E1619">
        <v>50</v>
      </c>
      <c r="F1619">
        <v>49.721588134999998</v>
      </c>
      <c r="G1619">
        <v>1340.1506348</v>
      </c>
      <c r="H1619">
        <v>1337.4649658000001</v>
      </c>
      <c r="I1619">
        <v>1327.0662841999999</v>
      </c>
      <c r="J1619">
        <v>1325.3658447</v>
      </c>
      <c r="K1619">
        <v>2400</v>
      </c>
      <c r="L1619">
        <v>0</v>
      </c>
      <c r="M1619">
        <v>0</v>
      </c>
      <c r="N1619">
        <v>2400</v>
      </c>
    </row>
    <row r="1620" spans="1:14" x14ac:dyDescent="0.25">
      <c r="A1620">
        <v>1099.986202</v>
      </c>
      <c r="B1620" s="1">
        <f>DATE(2013,5,4) + TIME(23,40,7)</f>
        <v>41398.986192129632</v>
      </c>
      <c r="C1620">
        <v>80</v>
      </c>
      <c r="D1620">
        <v>79.977149963000002</v>
      </c>
      <c r="E1620">
        <v>50</v>
      </c>
      <c r="F1620">
        <v>49.713588715</v>
      </c>
      <c r="G1620">
        <v>1340.1552733999999</v>
      </c>
      <c r="H1620">
        <v>1337.4682617000001</v>
      </c>
      <c r="I1620">
        <v>1327.0662841999999</v>
      </c>
      <c r="J1620">
        <v>1325.3651123</v>
      </c>
      <c r="K1620">
        <v>2400</v>
      </c>
      <c r="L1620">
        <v>0</v>
      </c>
      <c r="M1620">
        <v>0</v>
      </c>
      <c r="N1620">
        <v>2400</v>
      </c>
    </row>
    <row r="1621" spans="1:14" x14ac:dyDescent="0.25">
      <c r="A1621">
        <v>1100.1325670000001</v>
      </c>
      <c r="B1621" s="1">
        <f>DATE(2013,5,5) + TIME(3,10,53)</f>
        <v>41399.132557870369</v>
      </c>
      <c r="C1621">
        <v>80</v>
      </c>
      <c r="D1621">
        <v>79.977508545000006</v>
      </c>
      <c r="E1621">
        <v>50</v>
      </c>
      <c r="F1621">
        <v>49.705375670999999</v>
      </c>
      <c r="G1621">
        <v>1340.1591797000001</v>
      </c>
      <c r="H1621">
        <v>1337.4710693</v>
      </c>
      <c r="I1621">
        <v>1327.0662841999999</v>
      </c>
      <c r="J1621">
        <v>1325.3645019999999</v>
      </c>
      <c r="K1621">
        <v>2400</v>
      </c>
      <c r="L1621">
        <v>0</v>
      </c>
      <c r="M1621">
        <v>0</v>
      </c>
      <c r="N1621">
        <v>2400</v>
      </c>
    </row>
    <row r="1622" spans="1:14" x14ac:dyDescent="0.25">
      <c r="A1622">
        <v>1100.28386</v>
      </c>
      <c r="B1622" s="1">
        <f>DATE(2013,5,5) + TIME(6,48,45)</f>
        <v>41399.283854166664</v>
      </c>
      <c r="C1622">
        <v>80</v>
      </c>
      <c r="D1622">
        <v>79.977790833</v>
      </c>
      <c r="E1622">
        <v>50</v>
      </c>
      <c r="F1622">
        <v>49.696937560999999</v>
      </c>
      <c r="G1622">
        <v>1340.1625977000001</v>
      </c>
      <c r="H1622">
        <v>1337.4733887</v>
      </c>
      <c r="I1622">
        <v>1327.0662841999999</v>
      </c>
      <c r="J1622">
        <v>1325.3637695</v>
      </c>
      <c r="K1622">
        <v>2400</v>
      </c>
      <c r="L1622">
        <v>0</v>
      </c>
      <c r="M1622">
        <v>0</v>
      </c>
      <c r="N1622">
        <v>2400</v>
      </c>
    </row>
    <row r="1623" spans="1:14" x14ac:dyDescent="0.25">
      <c r="A1623">
        <v>1100.440603</v>
      </c>
      <c r="B1623" s="1">
        <f>DATE(2013,5,5) + TIME(10,34,28)</f>
        <v>41399.440601851849</v>
      </c>
      <c r="C1623">
        <v>80</v>
      </c>
      <c r="D1623">
        <v>79.978012085000003</v>
      </c>
      <c r="E1623">
        <v>50</v>
      </c>
      <c r="F1623">
        <v>49.688240051000001</v>
      </c>
      <c r="G1623">
        <v>1340.1655272999999</v>
      </c>
      <c r="H1623">
        <v>1337.4753418</v>
      </c>
      <c r="I1623">
        <v>1327.0661620999999</v>
      </c>
      <c r="J1623">
        <v>1325.3630370999999</v>
      </c>
      <c r="K1623">
        <v>2400</v>
      </c>
      <c r="L1623">
        <v>0</v>
      </c>
      <c r="M1623">
        <v>0</v>
      </c>
      <c r="N1623">
        <v>2400</v>
      </c>
    </row>
    <row r="1624" spans="1:14" x14ac:dyDescent="0.25">
      <c r="A1624">
        <v>1100.603488</v>
      </c>
      <c r="B1624" s="1">
        <f>DATE(2013,5,5) + TIME(14,29,1)</f>
        <v>41399.603483796294</v>
      </c>
      <c r="C1624">
        <v>80</v>
      </c>
      <c r="D1624">
        <v>79.978179932000003</v>
      </c>
      <c r="E1624">
        <v>50</v>
      </c>
      <c r="F1624">
        <v>49.679256439</v>
      </c>
      <c r="G1624">
        <v>1340.1678466999999</v>
      </c>
      <c r="H1624">
        <v>1337.4769286999999</v>
      </c>
      <c r="I1624">
        <v>1327.0660399999999</v>
      </c>
      <c r="J1624">
        <v>1325.3621826000001</v>
      </c>
      <c r="K1624">
        <v>2400</v>
      </c>
      <c r="L1624">
        <v>0</v>
      </c>
      <c r="M1624">
        <v>0</v>
      </c>
      <c r="N1624">
        <v>2400</v>
      </c>
    </row>
    <row r="1625" spans="1:14" x14ac:dyDescent="0.25">
      <c r="A1625">
        <v>1100.773119</v>
      </c>
      <c r="B1625" s="1">
        <f>DATE(2013,5,5) + TIME(18,33,17)</f>
        <v>41399.773113425923</v>
      </c>
      <c r="C1625">
        <v>80</v>
      </c>
      <c r="D1625">
        <v>79.978317261000001</v>
      </c>
      <c r="E1625">
        <v>50</v>
      </c>
      <c r="F1625">
        <v>49.669956206999998</v>
      </c>
      <c r="G1625">
        <v>1340.1695557</v>
      </c>
      <c r="H1625">
        <v>1337.4780272999999</v>
      </c>
      <c r="I1625">
        <v>1327.065918</v>
      </c>
      <c r="J1625">
        <v>1325.3613281</v>
      </c>
      <c r="K1625">
        <v>2400</v>
      </c>
      <c r="L1625">
        <v>0</v>
      </c>
      <c r="M1625">
        <v>0</v>
      </c>
      <c r="N1625">
        <v>2400</v>
      </c>
    </row>
    <row r="1626" spans="1:14" x14ac:dyDescent="0.25">
      <c r="A1626">
        <v>1100.946668</v>
      </c>
      <c r="B1626" s="1">
        <f>DATE(2013,5,5) + TIME(22,43,12)</f>
        <v>41399.946666666663</v>
      </c>
      <c r="C1626">
        <v>80</v>
      </c>
      <c r="D1626">
        <v>79.978424071999996</v>
      </c>
      <c r="E1626">
        <v>50</v>
      </c>
      <c r="F1626">
        <v>49.660469055</v>
      </c>
      <c r="G1626">
        <v>1340.1708983999999</v>
      </c>
      <c r="H1626">
        <v>1337.4788818</v>
      </c>
      <c r="I1626">
        <v>1327.0656738</v>
      </c>
      <c r="J1626">
        <v>1325.3605957</v>
      </c>
      <c r="K1626">
        <v>2400</v>
      </c>
      <c r="L1626">
        <v>0</v>
      </c>
      <c r="M1626">
        <v>0</v>
      </c>
      <c r="N1626">
        <v>2400</v>
      </c>
    </row>
    <row r="1627" spans="1:14" x14ac:dyDescent="0.25">
      <c r="A1627">
        <v>1101.124497</v>
      </c>
      <c r="B1627" s="1">
        <f>DATE(2013,5,6) + TIME(2,59,16)</f>
        <v>41400.124490740738</v>
      </c>
      <c r="C1627">
        <v>80</v>
      </c>
      <c r="D1627">
        <v>79.978507996000005</v>
      </c>
      <c r="E1627">
        <v>50</v>
      </c>
      <c r="F1627">
        <v>49.650783539000003</v>
      </c>
      <c r="G1627">
        <v>1340.1717529</v>
      </c>
      <c r="H1627">
        <v>1337.4793701000001</v>
      </c>
      <c r="I1627">
        <v>1327.0654297000001</v>
      </c>
      <c r="J1627">
        <v>1325.3597411999999</v>
      </c>
      <c r="K1627">
        <v>2400</v>
      </c>
      <c r="L1627">
        <v>0</v>
      </c>
      <c r="M1627">
        <v>0</v>
      </c>
      <c r="N1627">
        <v>2400</v>
      </c>
    </row>
    <row r="1628" spans="1:14" x14ac:dyDescent="0.25">
      <c r="A1628">
        <v>1101.3069640000001</v>
      </c>
      <c r="B1628" s="1">
        <f>DATE(2013,5,6) + TIME(7,22,1)</f>
        <v>41400.306956018518</v>
      </c>
      <c r="C1628">
        <v>80</v>
      </c>
      <c r="D1628">
        <v>79.978569031000006</v>
      </c>
      <c r="E1628">
        <v>50</v>
      </c>
      <c r="F1628">
        <v>49.640880584999998</v>
      </c>
      <c r="G1628">
        <v>1340.1721190999999</v>
      </c>
      <c r="H1628">
        <v>1337.4796143000001</v>
      </c>
      <c r="I1628">
        <v>1327.0651855000001</v>
      </c>
      <c r="J1628">
        <v>1325.3587646000001</v>
      </c>
      <c r="K1628">
        <v>2400</v>
      </c>
      <c r="L1628">
        <v>0</v>
      </c>
      <c r="M1628">
        <v>0</v>
      </c>
      <c r="N1628">
        <v>2400</v>
      </c>
    </row>
    <row r="1629" spans="1:14" x14ac:dyDescent="0.25">
      <c r="A1629">
        <v>1101.494475</v>
      </c>
      <c r="B1629" s="1">
        <f>DATE(2013,5,6) + TIME(11,52,2)</f>
        <v>41400.494467592594</v>
      </c>
      <c r="C1629">
        <v>80</v>
      </c>
      <c r="D1629">
        <v>79.978622436999999</v>
      </c>
      <c r="E1629">
        <v>50</v>
      </c>
      <c r="F1629">
        <v>49.630741119</v>
      </c>
      <c r="G1629">
        <v>1340.1721190999999</v>
      </c>
      <c r="H1629">
        <v>1337.4794922000001</v>
      </c>
      <c r="I1629">
        <v>1327.0649414</v>
      </c>
      <c r="J1629">
        <v>1325.3579102000001</v>
      </c>
      <c r="K1629">
        <v>2400</v>
      </c>
      <c r="L1629">
        <v>0</v>
      </c>
      <c r="M1629">
        <v>0</v>
      </c>
      <c r="N1629">
        <v>2400</v>
      </c>
    </row>
    <row r="1630" spans="1:14" x14ac:dyDescent="0.25">
      <c r="A1630">
        <v>1101.6874800000001</v>
      </c>
      <c r="B1630" s="1">
        <f>DATE(2013,5,6) + TIME(16,29,58)</f>
        <v>41400.687476851854</v>
      </c>
      <c r="C1630">
        <v>80</v>
      </c>
      <c r="D1630">
        <v>79.978660583000007</v>
      </c>
      <c r="E1630">
        <v>50</v>
      </c>
      <c r="F1630">
        <v>49.620353698999999</v>
      </c>
      <c r="G1630">
        <v>1340.1715088000001</v>
      </c>
      <c r="H1630">
        <v>1337.4790039</v>
      </c>
      <c r="I1630">
        <v>1327.0645752</v>
      </c>
      <c r="J1630">
        <v>1325.3570557</v>
      </c>
      <c r="K1630">
        <v>2400</v>
      </c>
      <c r="L1630">
        <v>0</v>
      </c>
      <c r="M1630">
        <v>0</v>
      </c>
      <c r="N1630">
        <v>2400</v>
      </c>
    </row>
    <row r="1631" spans="1:14" x14ac:dyDescent="0.25">
      <c r="A1631">
        <v>1101.886428</v>
      </c>
      <c r="B1631" s="1">
        <f>DATE(2013,5,6) + TIME(21,16,27)</f>
        <v>41400.886423611111</v>
      </c>
      <c r="C1631">
        <v>80</v>
      </c>
      <c r="D1631">
        <v>79.978698730000005</v>
      </c>
      <c r="E1631">
        <v>50</v>
      </c>
      <c r="F1631">
        <v>49.609695434999999</v>
      </c>
      <c r="G1631">
        <v>1340.1705322</v>
      </c>
      <c r="H1631">
        <v>1337.4782714999999</v>
      </c>
      <c r="I1631">
        <v>1327.0642089999999</v>
      </c>
      <c r="J1631">
        <v>1325.3560791</v>
      </c>
      <c r="K1631">
        <v>2400</v>
      </c>
      <c r="L1631">
        <v>0</v>
      </c>
      <c r="M1631">
        <v>0</v>
      </c>
      <c r="N1631">
        <v>2400</v>
      </c>
    </row>
    <row r="1632" spans="1:14" x14ac:dyDescent="0.25">
      <c r="A1632">
        <v>1102.0918039999999</v>
      </c>
      <c r="B1632" s="1">
        <f>DATE(2013,5,7) + TIME(2,12,11)</f>
        <v>41401.091793981483</v>
      </c>
      <c r="C1632">
        <v>80</v>
      </c>
      <c r="D1632">
        <v>79.978721618999998</v>
      </c>
      <c r="E1632">
        <v>50</v>
      </c>
      <c r="F1632">
        <v>49.598747252999999</v>
      </c>
      <c r="G1632">
        <v>1340.1687012</v>
      </c>
      <c r="H1632">
        <v>1337.4769286999999</v>
      </c>
      <c r="I1632">
        <v>1327.0638428</v>
      </c>
      <c r="J1632">
        <v>1325.3551024999999</v>
      </c>
      <c r="K1632">
        <v>2400</v>
      </c>
      <c r="L1632">
        <v>0</v>
      </c>
      <c r="M1632">
        <v>0</v>
      </c>
      <c r="N1632">
        <v>2400</v>
      </c>
    </row>
    <row r="1633" spans="1:14" x14ac:dyDescent="0.25">
      <c r="A1633">
        <v>1102.3042579999999</v>
      </c>
      <c r="B1633" s="1">
        <f>DATE(2013,5,7) + TIME(7,18,7)</f>
        <v>41401.304247685184</v>
      </c>
      <c r="C1633">
        <v>80</v>
      </c>
      <c r="D1633">
        <v>79.978736877000003</v>
      </c>
      <c r="E1633">
        <v>50</v>
      </c>
      <c r="F1633">
        <v>49.587478638</v>
      </c>
      <c r="G1633">
        <v>1340.1657714999999</v>
      </c>
      <c r="H1633">
        <v>1337.4747314000001</v>
      </c>
      <c r="I1633">
        <v>1327.0633545000001</v>
      </c>
      <c r="J1633">
        <v>1325.354126</v>
      </c>
      <c r="K1633">
        <v>2400</v>
      </c>
      <c r="L1633">
        <v>0</v>
      </c>
      <c r="M1633">
        <v>0</v>
      </c>
      <c r="N1633">
        <v>2400</v>
      </c>
    </row>
    <row r="1634" spans="1:14" x14ac:dyDescent="0.25">
      <c r="A1634">
        <v>1102.5226439999999</v>
      </c>
      <c r="B1634" s="1">
        <f>DATE(2013,5,7) + TIME(12,32,36)</f>
        <v>41401.522638888891</v>
      </c>
      <c r="C1634">
        <v>80</v>
      </c>
      <c r="D1634">
        <v>79.978752135999997</v>
      </c>
      <c r="E1634">
        <v>50</v>
      </c>
      <c r="F1634">
        <v>49.575942992999998</v>
      </c>
      <c r="G1634">
        <v>1340.1625977000001</v>
      </c>
      <c r="H1634">
        <v>1337.4724120999999</v>
      </c>
      <c r="I1634">
        <v>1327.0628661999999</v>
      </c>
      <c r="J1634">
        <v>1325.3531493999999</v>
      </c>
      <c r="K1634">
        <v>2400</v>
      </c>
      <c r="L1634">
        <v>0</v>
      </c>
      <c r="M1634">
        <v>0</v>
      </c>
      <c r="N1634">
        <v>2400</v>
      </c>
    </row>
    <row r="1635" spans="1:14" x14ac:dyDescent="0.25">
      <c r="A1635">
        <v>1102.7426909999999</v>
      </c>
      <c r="B1635" s="1">
        <f>DATE(2013,5,7) + TIME(17,49,28)</f>
        <v>41401.742685185185</v>
      </c>
      <c r="C1635">
        <v>80</v>
      </c>
      <c r="D1635">
        <v>79.978759765999996</v>
      </c>
      <c r="E1635">
        <v>50</v>
      </c>
      <c r="F1635">
        <v>49.564315796000002</v>
      </c>
      <c r="G1635">
        <v>1340.1591797000001</v>
      </c>
      <c r="H1635">
        <v>1337.4698486</v>
      </c>
      <c r="I1635">
        <v>1327.0623779</v>
      </c>
      <c r="J1635">
        <v>1325.3520507999999</v>
      </c>
      <c r="K1635">
        <v>2400</v>
      </c>
      <c r="L1635">
        <v>0</v>
      </c>
      <c r="M1635">
        <v>0</v>
      </c>
      <c r="N1635">
        <v>2400</v>
      </c>
    </row>
    <row r="1636" spans="1:14" x14ac:dyDescent="0.25">
      <c r="A1636">
        <v>1102.9649549999999</v>
      </c>
      <c r="B1636" s="1">
        <f>DATE(2013,5,7) + TIME(23,9,32)</f>
        <v>41401.964953703704</v>
      </c>
      <c r="C1636">
        <v>80</v>
      </c>
      <c r="D1636">
        <v>79.978767395000006</v>
      </c>
      <c r="E1636">
        <v>50</v>
      </c>
      <c r="F1636">
        <v>49.552585602000001</v>
      </c>
      <c r="G1636">
        <v>1340.1556396000001</v>
      </c>
      <c r="H1636">
        <v>1337.4672852000001</v>
      </c>
      <c r="I1636">
        <v>1327.0618896000001</v>
      </c>
      <c r="J1636">
        <v>1325.3510742000001</v>
      </c>
      <c r="K1636">
        <v>2400</v>
      </c>
      <c r="L1636">
        <v>0</v>
      </c>
      <c r="M1636">
        <v>0</v>
      </c>
      <c r="N1636">
        <v>2400</v>
      </c>
    </row>
    <row r="1637" spans="1:14" x14ac:dyDescent="0.25">
      <c r="A1637">
        <v>1103.1899370000001</v>
      </c>
      <c r="B1637" s="1">
        <f>DATE(2013,5,8) + TIME(4,33,30)</f>
        <v>41402.189930555556</v>
      </c>
      <c r="C1637">
        <v>80</v>
      </c>
      <c r="D1637">
        <v>79.978775024000001</v>
      </c>
      <c r="E1637">
        <v>50</v>
      </c>
      <c r="F1637">
        <v>49.540740966999998</v>
      </c>
      <c r="G1637">
        <v>1340.1519774999999</v>
      </c>
      <c r="H1637">
        <v>1337.4645995999999</v>
      </c>
      <c r="I1637">
        <v>1327.0612793</v>
      </c>
      <c r="J1637">
        <v>1325.3499756000001</v>
      </c>
      <c r="K1637">
        <v>2400</v>
      </c>
      <c r="L1637">
        <v>0</v>
      </c>
      <c r="M1637">
        <v>0</v>
      </c>
      <c r="N1637">
        <v>2400</v>
      </c>
    </row>
    <row r="1638" spans="1:14" x14ac:dyDescent="0.25">
      <c r="A1638">
        <v>1103.4181840000001</v>
      </c>
      <c r="B1638" s="1">
        <f>DATE(2013,5,8) + TIME(10,2,11)</f>
        <v>41402.418182870373</v>
      </c>
      <c r="C1638">
        <v>80</v>
      </c>
      <c r="D1638">
        <v>79.978775024000001</v>
      </c>
      <c r="E1638">
        <v>50</v>
      </c>
      <c r="F1638">
        <v>49.528759002999998</v>
      </c>
      <c r="G1638">
        <v>1340.1481934000001</v>
      </c>
      <c r="H1638">
        <v>1337.4619141000001</v>
      </c>
      <c r="I1638">
        <v>1327.0607910000001</v>
      </c>
      <c r="J1638">
        <v>1325.3488769999999</v>
      </c>
      <c r="K1638">
        <v>2400</v>
      </c>
      <c r="L1638">
        <v>0</v>
      </c>
      <c r="M1638">
        <v>0</v>
      </c>
      <c r="N1638">
        <v>2400</v>
      </c>
    </row>
    <row r="1639" spans="1:14" x14ac:dyDescent="0.25">
      <c r="A1639">
        <v>1103.6502579999999</v>
      </c>
      <c r="B1639" s="1">
        <f>DATE(2013,5,8) + TIME(15,36,22)</f>
        <v>41402.650254629632</v>
      </c>
      <c r="C1639">
        <v>80</v>
      </c>
      <c r="D1639">
        <v>79.978775024000001</v>
      </c>
      <c r="E1639">
        <v>50</v>
      </c>
      <c r="F1639">
        <v>49.516620635999999</v>
      </c>
      <c r="G1639">
        <v>1340.1444091999999</v>
      </c>
      <c r="H1639">
        <v>1337.4591064000001</v>
      </c>
      <c r="I1639">
        <v>1327.0601807</v>
      </c>
      <c r="J1639">
        <v>1325.3479004000001</v>
      </c>
      <c r="K1639">
        <v>2400</v>
      </c>
      <c r="L1639">
        <v>0</v>
      </c>
      <c r="M1639">
        <v>0</v>
      </c>
      <c r="N1639">
        <v>2400</v>
      </c>
    </row>
    <row r="1640" spans="1:14" x14ac:dyDescent="0.25">
      <c r="A1640">
        <v>1103.886747</v>
      </c>
      <c r="B1640" s="1">
        <f>DATE(2013,5,8) + TIME(21,16,54)</f>
        <v>41402.886736111112</v>
      </c>
      <c r="C1640">
        <v>80</v>
      </c>
      <c r="D1640">
        <v>79.978775024000001</v>
      </c>
      <c r="E1640">
        <v>50</v>
      </c>
      <c r="F1640">
        <v>49.504306792999998</v>
      </c>
      <c r="G1640">
        <v>1340.1403809000001</v>
      </c>
      <c r="H1640">
        <v>1337.4561768000001</v>
      </c>
      <c r="I1640">
        <v>1327.0595702999999</v>
      </c>
      <c r="J1640">
        <v>1325.3468018000001</v>
      </c>
      <c r="K1640">
        <v>2400</v>
      </c>
      <c r="L1640">
        <v>0</v>
      </c>
      <c r="M1640">
        <v>0</v>
      </c>
      <c r="N1640">
        <v>2400</v>
      </c>
    </row>
    <row r="1641" spans="1:14" x14ac:dyDescent="0.25">
      <c r="A1641">
        <v>1104.128271</v>
      </c>
      <c r="B1641" s="1">
        <f>DATE(2013,5,9) + TIME(3,4,42)</f>
        <v>41403.128263888888</v>
      </c>
      <c r="C1641">
        <v>80</v>
      </c>
      <c r="D1641">
        <v>79.978775024000001</v>
      </c>
      <c r="E1641">
        <v>50</v>
      </c>
      <c r="F1641">
        <v>49.491790770999998</v>
      </c>
      <c r="G1641">
        <v>1340.1362305</v>
      </c>
      <c r="H1641">
        <v>1337.4532471</v>
      </c>
      <c r="I1641">
        <v>1327.0589600000001</v>
      </c>
      <c r="J1641">
        <v>1325.3455810999999</v>
      </c>
      <c r="K1641">
        <v>2400</v>
      </c>
      <c r="L1641">
        <v>0</v>
      </c>
      <c r="M1641">
        <v>0</v>
      </c>
      <c r="N1641">
        <v>2400</v>
      </c>
    </row>
    <row r="1642" spans="1:14" x14ac:dyDescent="0.25">
      <c r="A1642">
        <v>1104.375491</v>
      </c>
      <c r="B1642" s="1">
        <f>DATE(2013,5,9) + TIME(9,0,42)</f>
        <v>41403.375486111108</v>
      </c>
      <c r="C1642">
        <v>80</v>
      </c>
      <c r="D1642">
        <v>79.978767395000006</v>
      </c>
      <c r="E1642">
        <v>50</v>
      </c>
      <c r="F1642">
        <v>49.479042053000001</v>
      </c>
      <c r="G1642">
        <v>1340.1320800999999</v>
      </c>
      <c r="H1642">
        <v>1337.4503173999999</v>
      </c>
      <c r="I1642">
        <v>1327.0583495999999</v>
      </c>
      <c r="J1642">
        <v>1325.3444824000001</v>
      </c>
      <c r="K1642">
        <v>2400</v>
      </c>
      <c r="L1642">
        <v>0</v>
      </c>
      <c r="M1642">
        <v>0</v>
      </c>
      <c r="N1642">
        <v>2400</v>
      </c>
    </row>
    <row r="1643" spans="1:14" x14ac:dyDescent="0.25">
      <c r="A1643">
        <v>1104.6291309999999</v>
      </c>
      <c r="B1643" s="1">
        <f>DATE(2013,5,9) + TIME(15,5,56)</f>
        <v>41403.629120370373</v>
      </c>
      <c r="C1643">
        <v>80</v>
      </c>
      <c r="D1643">
        <v>79.978767395000006</v>
      </c>
      <c r="E1643">
        <v>50</v>
      </c>
      <c r="F1643">
        <v>49.466033936000002</v>
      </c>
      <c r="G1643">
        <v>1340.1278076000001</v>
      </c>
      <c r="H1643">
        <v>1337.4472656</v>
      </c>
      <c r="I1643">
        <v>1327.0577393000001</v>
      </c>
      <c r="J1643">
        <v>1325.3432617000001</v>
      </c>
      <c r="K1643">
        <v>2400</v>
      </c>
      <c r="L1643">
        <v>0</v>
      </c>
      <c r="M1643">
        <v>0</v>
      </c>
      <c r="N1643">
        <v>2400</v>
      </c>
    </row>
    <row r="1644" spans="1:14" x14ac:dyDescent="0.25">
      <c r="A1644">
        <v>1104.889981</v>
      </c>
      <c r="B1644" s="1">
        <f>DATE(2013,5,9) + TIME(21,21,34)</f>
        <v>41403.889976851853</v>
      </c>
      <c r="C1644">
        <v>80</v>
      </c>
      <c r="D1644">
        <v>79.978759765999996</v>
      </c>
      <c r="E1644">
        <v>50</v>
      </c>
      <c r="F1644">
        <v>49.452735900999997</v>
      </c>
      <c r="G1644">
        <v>1340.1234131000001</v>
      </c>
      <c r="H1644">
        <v>1337.4440918</v>
      </c>
      <c r="I1644">
        <v>1327.0570068</v>
      </c>
      <c r="J1644">
        <v>1325.3420410000001</v>
      </c>
      <c r="K1644">
        <v>2400</v>
      </c>
      <c r="L1644">
        <v>0</v>
      </c>
      <c r="M1644">
        <v>0</v>
      </c>
      <c r="N1644">
        <v>2400</v>
      </c>
    </row>
    <row r="1645" spans="1:14" x14ac:dyDescent="0.25">
      <c r="A1645">
        <v>1105.1589839999999</v>
      </c>
      <c r="B1645" s="1">
        <f>DATE(2013,5,10) + TIME(3,48,56)</f>
        <v>41404.15898148148</v>
      </c>
      <c r="C1645">
        <v>80</v>
      </c>
      <c r="D1645">
        <v>79.978759765999996</v>
      </c>
      <c r="E1645">
        <v>50</v>
      </c>
      <c r="F1645">
        <v>49.439102173000002</v>
      </c>
      <c r="G1645">
        <v>1340.1188964999999</v>
      </c>
      <c r="H1645">
        <v>1337.440918</v>
      </c>
      <c r="I1645">
        <v>1327.0562743999999</v>
      </c>
      <c r="J1645">
        <v>1325.3408202999999</v>
      </c>
      <c r="K1645">
        <v>2400</v>
      </c>
      <c r="L1645">
        <v>0</v>
      </c>
      <c r="M1645">
        <v>0</v>
      </c>
      <c r="N1645">
        <v>2400</v>
      </c>
    </row>
    <row r="1646" spans="1:14" x14ac:dyDescent="0.25">
      <c r="A1646">
        <v>1105.4334859999999</v>
      </c>
      <c r="B1646" s="1">
        <f>DATE(2013,5,10) + TIME(10,24,13)</f>
        <v>41404.433483796296</v>
      </c>
      <c r="C1646">
        <v>80</v>
      </c>
      <c r="D1646">
        <v>79.978752135999997</v>
      </c>
      <c r="E1646">
        <v>50</v>
      </c>
      <c r="F1646">
        <v>49.425239562999998</v>
      </c>
      <c r="G1646">
        <v>1340.1142577999999</v>
      </c>
      <c r="H1646">
        <v>1337.4376221</v>
      </c>
      <c r="I1646">
        <v>1327.0555420000001</v>
      </c>
      <c r="J1646">
        <v>1325.3394774999999</v>
      </c>
      <c r="K1646">
        <v>2400</v>
      </c>
      <c r="L1646">
        <v>0</v>
      </c>
      <c r="M1646">
        <v>0</v>
      </c>
      <c r="N1646">
        <v>2400</v>
      </c>
    </row>
    <row r="1647" spans="1:14" x14ac:dyDescent="0.25">
      <c r="A1647">
        <v>1105.7129299999999</v>
      </c>
      <c r="B1647" s="1">
        <f>DATE(2013,5,10) + TIME(17,6,37)</f>
        <v>41404.71292824074</v>
      </c>
      <c r="C1647">
        <v>80</v>
      </c>
      <c r="D1647">
        <v>79.978744507000002</v>
      </c>
      <c r="E1647">
        <v>50</v>
      </c>
      <c r="F1647">
        <v>49.411170959000003</v>
      </c>
      <c r="G1647">
        <v>1340.1094971</v>
      </c>
      <c r="H1647">
        <v>1337.4343262</v>
      </c>
      <c r="I1647">
        <v>1327.0548096</v>
      </c>
      <c r="J1647">
        <v>1325.3381348</v>
      </c>
      <c r="K1647">
        <v>2400</v>
      </c>
      <c r="L1647">
        <v>0</v>
      </c>
      <c r="M1647">
        <v>0</v>
      </c>
      <c r="N1647">
        <v>2400</v>
      </c>
    </row>
    <row r="1648" spans="1:14" x14ac:dyDescent="0.25">
      <c r="A1648">
        <v>1105.997946</v>
      </c>
      <c r="B1648" s="1">
        <f>DATE(2013,5,10) + TIME(23,57,2)</f>
        <v>41404.997939814813</v>
      </c>
      <c r="C1648">
        <v>80</v>
      </c>
      <c r="D1648">
        <v>79.978736877000003</v>
      </c>
      <c r="E1648">
        <v>50</v>
      </c>
      <c r="F1648">
        <v>49.396877289000003</v>
      </c>
      <c r="G1648">
        <v>1340.1047363</v>
      </c>
      <c r="H1648">
        <v>1337.4310303</v>
      </c>
      <c r="I1648">
        <v>1327.0539550999999</v>
      </c>
      <c r="J1648">
        <v>1325.3367920000001</v>
      </c>
      <c r="K1648">
        <v>2400</v>
      </c>
      <c r="L1648">
        <v>0</v>
      </c>
      <c r="M1648">
        <v>0</v>
      </c>
      <c r="N1648">
        <v>2400</v>
      </c>
    </row>
    <row r="1649" spans="1:14" x14ac:dyDescent="0.25">
      <c r="A1649">
        <v>1106.2891810000001</v>
      </c>
      <c r="B1649" s="1">
        <f>DATE(2013,5,11) + TIME(6,56,25)</f>
        <v>41405.289178240739</v>
      </c>
      <c r="C1649">
        <v>80</v>
      </c>
      <c r="D1649">
        <v>79.978736877000003</v>
      </c>
      <c r="E1649">
        <v>50</v>
      </c>
      <c r="F1649">
        <v>49.382331848</v>
      </c>
      <c r="G1649">
        <v>1340.0999756000001</v>
      </c>
      <c r="H1649">
        <v>1337.4277344</v>
      </c>
      <c r="I1649">
        <v>1327.0532227000001</v>
      </c>
      <c r="J1649">
        <v>1325.3354492000001</v>
      </c>
      <c r="K1649">
        <v>2400</v>
      </c>
      <c r="L1649">
        <v>0</v>
      </c>
      <c r="M1649">
        <v>0</v>
      </c>
      <c r="N1649">
        <v>2400</v>
      </c>
    </row>
    <row r="1650" spans="1:14" x14ac:dyDescent="0.25">
      <c r="A1650">
        <v>1106.5873389999999</v>
      </c>
      <c r="B1650" s="1">
        <f>DATE(2013,5,11) + TIME(14,5,46)</f>
        <v>41405.587337962963</v>
      </c>
      <c r="C1650">
        <v>80</v>
      </c>
      <c r="D1650">
        <v>79.978729247999993</v>
      </c>
      <c r="E1650">
        <v>50</v>
      </c>
      <c r="F1650">
        <v>49.367519379000001</v>
      </c>
      <c r="G1650">
        <v>1340.0950928</v>
      </c>
      <c r="H1650">
        <v>1337.4243164</v>
      </c>
      <c r="I1650">
        <v>1327.0523682</v>
      </c>
      <c r="J1650">
        <v>1325.3339844</v>
      </c>
      <c r="K1650">
        <v>2400</v>
      </c>
      <c r="L1650">
        <v>0</v>
      </c>
      <c r="M1650">
        <v>0</v>
      </c>
      <c r="N1650">
        <v>2400</v>
      </c>
    </row>
    <row r="1651" spans="1:14" x14ac:dyDescent="0.25">
      <c r="A1651">
        <v>1106.891425</v>
      </c>
      <c r="B1651" s="1">
        <f>DATE(2013,5,11) + TIME(21,23,39)</f>
        <v>41405.891423611109</v>
      </c>
      <c r="C1651">
        <v>80</v>
      </c>
      <c r="D1651">
        <v>79.978721618999998</v>
      </c>
      <c r="E1651">
        <v>50</v>
      </c>
      <c r="F1651">
        <v>49.352470398000001</v>
      </c>
      <c r="G1651">
        <v>1340.0902100000001</v>
      </c>
      <c r="H1651">
        <v>1337.4210204999999</v>
      </c>
      <c r="I1651">
        <v>1327.0515137</v>
      </c>
      <c r="J1651">
        <v>1325.3325195</v>
      </c>
      <c r="K1651">
        <v>2400</v>
      </c>
      <c r="L1651">
        <v>0</v>
      </c>
      <c r="M1651">
        <v>0</v>
      </c>
      <c r="N1651">
        <v>2400</v>
      </c>
    </row>
    <row r="1652" spans="1:14" x14ac:dyDescent="0.25">
      <c r="A1652">
        <v>1107.200701</v>
      </c>
      <c r="B1652" s="1">
        <f>DATE(2013,5,12) + TIME(4,49,0)</f>
        <v>41406.200694444444</v>
      </c>
      <c r="C1652">
        <v>80</v>
      </c>
      <c r="D1652">
        <v>79.978713988999999</v>
      </c>
      <c r="E1652">
        <v>50</v>
      </c>
      <c r="F1652">
        <v>49.337215424</v>
      </c>
      <c r="G1652">
        <v>1340.0852050999999</v>
      </c>
      <c r="H1652">
        <v>1337.4176024999999</v>
      </c>
      <c r="I1652">
        <v>1327.0506591999999</v>
      </c>
      <c r="J1652">
        <v>1325.3310547000001</v>
      </c>
      <c r="K1652">
        <v>2400</v>
      </c>
      <c r="L1652">
        <v>0</v>
      </c>
      <c r="M1652">
        <v>0</v>
      </c>
      <c r="N1652">
        <v>2400</v>
      </c>
    </row>
    <row r="1653" spans="1:14" x14ac:dyDescent="0.25">
      <c r="A1653">
        <v>1107.5157220000001</v>
      </c>
      <c r="B1653" s="1">
        <f>DATE(2013,5,12) + TIME(12,22,38)</f>
        <v>41406.515717592592</v>
      </c>
      <c r="C1653">
        <v>80</v>
      </c>
      <c r="D1653">
        <v>79.978706360000004</v>
      </c>
      <c r="E1653">
        <v>50</v>
      </c>
      <c r="F1653">
        <v>49.321739196999999</v>
      </c>
      <c r="G1653">
        <v>1340.0803223</v>
      </c>
      <c r="H1653">
        <v>1337.4141846</v>
      </c>
      <c r="I1653">
        <v>1327.0496826000001</v>
      </c>
      <c r="J1653">
        <v>1325.3294678</v>
      </c>
      <c r="K1653">
        <v>2400</v>
      </c>
      <c r="L1653">
        <v>0</v>
      </c>
      <c r="M1653">
        <v>0</v>
      </c>
      <c r="N1653">
        <v>2400</v>
      </c>
    </row>
    <row r="1654" spans="1:14" x14ac:dyDescent="0.25">
      <c r="A1654">
        <v>1107.837174</v>
      </c>
      <c r="B1654" s="1">
        <f>DATE(2013,5,12) + TIME(20,5,31)</f>
        <v>41406.837164351855</v>
      </c>
      <c r="C1654">
        <v>80</v>
      </c>
      <c r="D1654">
        <v>79.978698730000005</v>
      </c>
      <c r="E1654">
        <v>50</v>
      </c>
      <c r="F1654">
        <v>49.306022644000002</v>
      </c>
      <c r="G1654">
        <v>1340.0753173999999</v>
      </c>
      <c r="H1654">
        <v>1337.4107666</v>
      </c>
      <c r="I1654">
        <v>1327.0487060999999</v>
      </c>
      <c r="J1654">
        <v>1325.3278809000001</v>
      </c>
      <c r="K1654">
        <v>2400</v>
      </c>
      <c r="L1654">
        <v>0</v>
      </c>
      <c r="M1654">
        <v>0</v>
      </c>
      <c r="N1654">
        <v>2400</v>
      </c>
    </row>
    <row r="1655" spans="1:14" x14ac:dyDescent="0.25">
      <c r="A1655">
        <v>1108.165794</v>
      </c>
      <c r="B1655" s="1">
        <f>DATE(2013,5,13) + TIME(3,58,44)</f>
        <v>41407.16578703704</v>
      </c>
      <c r="C1655">
        <v>80</v>
      </c>
      <c r="D1655">
        <v>79.978691100999995</v>
      </c>
      <c r="E1655">
        <v>50</v>
      </c>
      <c r="F1655">
        <v>49.290039061999998</v>
      </c>
      <c r="G1655">
        <v>1340.0701904</v>
      </c>
      <c r="H1655">
        <v>1337.4072266000001</v>
      </c>
      <c r="I1655">
        <v>1327.0477295000001</v>
      </c>
      <c r="J1655">
        <v>1325.3261719</v>
      </c>
      <c r="K1655">
        <v>2400</v>
      </c>
      <c r="L1655">
        <v>0</v>
      </c>
      <c r="M1655">
        <v>0</v>
      </c>
      <c r="N1655">
        <v>2400</v>
      </c>
    </row>
    <row r="1656" spans="1:14" x14ac:dyDescent="0.25">
      <c r="A1656">
        <v>1108.5023799999999</v>
      </c>
      <c r="B1656" s="1">
        <f>DATE(2013,5,13) + TIME(12,3,25)</f>
        <v>41407.502372685187</v>
      </c>
      <c r="C1656">
        <v>80</v>
      </c>
      <c r="D1656">
        <v>79.978683472</v>
      </c>
      <c r="E1656">
        <v>50</v>
      </c>
      <c r="F1656">
        <v>49.273757934999999</v>
      </c>
      <c r="G1656">
        <v>1340.0650635</v>
      </c>
      <c r="H1656">
        <v>1337.4038086</v>
      </c>
      <c r="I1656">
        <v>1327.0467529</v>
      </c>
      <c r="J1656">
        <v>1325.3244629000001</v>
      </c>
      <c r="K1656">
        <v>2400</v>
      </c>
      <c r="L1656">
        <v>0</v>
      </c>
      <c r="M1656">
        <v>0</v>
      </c>
      <c r="N1656">
        <v>2400</v>
      </c>
    </row>
    <row r="1657" spans="1:14" x14ac:dyDescent="0.25">
      <c r="A1657">
        <v>1108.844216</v>
      </c>
      <c r="B1657" s="1">
        <f>DATE(2013,5,13) + TIME(20,15,40)</f>
        <v>41407.844212962962</v>
      </c>
      <c r="C1657">
        <v>80</v>
      </c>
      <c r="D1657">
        <v>79.978675842000001</v>
      </c>
      <c r="E1657">
        <v>50</v>
      </c>
      <c r="F1657">
        <v>49.257278442</v>
      </c>
      <c r="G1657">
        <v>1340.0599365</v>
      </c>
      <c r="H1657">
        <v>1337.4002685999999</v>
      </c>
      <c r="I1657">
        <v>1327.0456543</v>
      </c>
      <c r="J1657">
        <v>1325.3227539</v>
      </c>
      <c r="K1657">
        <v>2400</v>
      </c>
      <c r="L1657">
        <v>0</v>
      </c>
      <c r="M1657">
        <v>0</v>
      </c>
      <c r="N1657">
        <v>2400</v>
      </c>
    </row>
    <row r="1658" spans="1:14" x14ac:dyDescent="0.25">
      <c r="A1658">
        <v>1109.189607</v>
      </c>
      <c r="B1658" s="1">
        <f>DATE(2013,5,14) + TIME(4,33,2)</f>
        <v>41408.189606481479</v>
      </c>
      <c r="C1658">
        <v>80</v>
      </c>
      <c r="D1658">
        <v>79.978668213000006</v>
      </c>
      <c r="E1658">
        <v>50</v>
      </c>
      <c r="F1658">
        <v>49.240657806000002</v>
      </c>
      <c r="G1658">
        <v>1340.0546875</v>
      </c>
      <c r="H1658">
        <v>1337.3967285000001</v>
      </c>
      <c r="I1658">
        <v>1327.0446777</v>
      </c>
      <c r="J1658">
        <v>1325.3209228999999</v>
      </c>
      <c r="K1658">
        <v>2400</v>
      </c>
      <c r="L1658">
        <v>0</v>
      </c>
      <c r="M1658">
        <v>0</v>
      </c>
      <c r="N1658">
        <v>2400</v>
      </c>
    </row>
    <row r="1659" spans="1:14" x14ac:dyDescent="0.25">
      <c r="A1659">
        <v>1109.539383</v>
      </c>
      <c r="B1659" s="1">
        <f>DATE(2013,5,14) + TIME(12,56,42)</f>
        <v>41408.539375</v>
      </c>
      <c r="C1659">
        <v>80</v>
      </c>
      <c r="D1659">
        <v>79.978660583000007</v>
      </c>
      <c r="E1659">
        <v>50</v>
      </c>
      <c r="F1659">
        <v>49.223888397000003</v>
      </c>
      <c r="G1659">
        <v>1340.0495605000001</v>
      </c>
      <c r="H1659">
        <v>1337.3933105000001</v>
      </c>
      <c r="I1659">
        <v>1327.0435791</v>
      </c>
      <c r="J1659">
        <v>1325.3190918</v>
      </c>
      <c r="K1659">
        <v>2400</v>
      </c>
      <c r="L1659">
        <v>0</v>
      </c>
      <c r="M1659">
        <v>0</v>
      </c>
      <c r="N1659">
        <v>2400</v>
      </c>
    </row>
    <row r="1660" spans="1:14" x14ac:dyDescent="0.25">
      <c r="A1660">
        <v>1109.894376</v>
      </c>
      <c r="B1660" s="1">
        <f>DATE(2013,5,14) + TIME(21,27,54)</f>
        <v>41408.894375000003</v>
      </c>
      <c r="C1660">
        <v>80</v>
      </c>
      <c r="D1660">
        <v>79.978652953999998</v>
      </c>
      <c r="E1660">
        <v>50</v>
      </c>
      <c r="F1660">
        <v>49.206943512000002</v>
      </c>
      <c r="G1660">
        <v>1340.0444336</v>
      </c>
      <c r="H1660">
        <v>1337.3898925999999</v>
      </c>
      <c r="I1660">
        <v>1327.0423584</v>
      </c>
      <c r="J1660">
        <v>1325.3172606999999</v>
      </c>
      <c r="K1660">
        <v>2400</v>
      </c>
      <c r="L1660">
        <v>0</v>
      </c>
      <c r="M1660">
        <v>0</v>
      </c>
      <c r="N1660">
        <v>2400</v>
      </c>
    </row>
    <row r="1661" spans="1:14" x14ac:dyDescent="0.25">
      <c r="A1661">
        <v>1110.255451</v>
      </c>
      <c r="B1661" s="1">
        <f>DATE(2013,5,15) + TIME(6,7,50)</f>
        <v>41409.255439814813</v>
      </c>
      <c r="C1661">
        <v>80</v>
      </c>
      <c r="D1661">
        <v>79.978645325000002</v>
      </c>
      <c r="E1661">
        <v>50</v>
      </c>
      <c r="F1661">
        <v>49.189800261999999</v>
      </c>
      <c r="G1661">
        <v>1340.0393065999999</v>
      </c>
      <c r="H1661">
        <v>1337.3864745999999</v>
      </c>
      <c r="I1661">
        <v>1327.0412598</v>
      </c>
      <c r="J1661">
        <v>1325.3153076000001</v>
      </c>
      <c r="K1661">
        <v>2400</v>
      </c>
      <c r="L1661">
        <v>0</v>
      </c>
      <c r="M1661">
        <v>0</v>
      </c>
      <c r="N1661">
        <v>2400</v>
      </c>
    </row>
    <row r="1662" spans="1:14" x14ac:dyDescent="0.25">
      <c r="A1662">
        <v>1110.623517</v>
      </c>
      <c r="B1662" s="1">
        <f>DATE(2013,5,15) + TIME(14,57,51)</f>
        <v>41409.623506944445</v>
      </c>
      <c r="C1662">
        <v>80</v>
      </c>
      <c r="D1662">
        <v>79.978637695000003</v>
      </c>
      <c r="E1662">
        <v>50</v>
      </c>
      <c r="F1662">
        <v>49.172424315999997</v>
      </c>
      <c r="G1662">
        <v>1340.0341797000001</v>
      </c>
      <c r="H1662">
        <v>1337.3829346</v>
      </c>
      <c r="I1662">
        <v>1327.0400391000001</v>
      </c>
      <c r="J1662">
        <v>1325.3133545000001</v>
      </c>
      <c r="K1662">
        <v>2400</v>
      </c>
      <c r="L1662">
        <v>0</v>
      </c>
      <c r="M1662">
        <v>0</v>
      </c>
      <c r="N1662">
        <v>2400</v>
      </c>
    </row>
    <row r="1663" spans="1:14" x14ac:dyDescent="0.25">
      <c r="A1663">
        <v>1110.999556</v>
      </c>
      <c r="B1663" s="1">
        <f>DATE(2013,5,15) + TIME(23,59,21)</f>
        <v>41409.999548611115</v>
      </c>
      <c r="C1663">
        <v>80</v>
      </c>
      <c r="D1663">
        <v>79.978622436999999</v>
      </c>
      <c r="E1663">
        <v>50</v>
      </c>
      <c r="F1663">
        <v>49.154781342</v>
      </c>
      <c r="G1663">
        <v>1340.0289307</v>
      </c>
      <c r="H1663">
        <v>1337.3795166</v>
      </c>
      <c r="I1663">
        <v>1327.0388184000001</v>
      </c>
      <c r="J1663">
        <v>1325.3114014</v>
      </c>
      <c r="K1663">
        <v>2400</v>
      </c>
      <c r="L1663">
        <v>0</v>
      </c>
      <c r="M1663">
        <v>0</v>
      </c>
      <c r="N1663">
        <v>2400</v>
      </c>
    </row>
    <row r="1664" spans="1:14" x14ac:dyDescent="0.25">
      <c r="A1664">
        <v>1111.384632</v>
      </c>
      <c r="B1664" s="1">
        <f>DATE(2013,5,16) + TIME(9,13,52)</f>
        <v>41410.384629629632</v>
      </c>
      <c r="C1664">
        <v>80</v>
      </c>
      <c r="D1664">
        <v>79.978614807</v>
      </c>
      <c r="E1664">
        <v>50</v>
      </c>
      <c r="F1664">
        <v>49.136833191000001</v>
      </c>
      <c r="G1664">
        <v>1340.0238036999999</v>
      </c>
      <c r="H1664">
        <v>1337.3760986</v>
      </c>
      <c r="I1664">
        <v>1327.0375977000001</v>
      </c>
      <c r="J1664">
        <v>1325.3093262</v>
      </c>
      <c r="K1664">
        <v>2400</v>
      </c>
      <c r="L1664">
        <v>0</v>
      </c>
      <c r="M1664">
        <v>0</v>
      </c>
      <c r="N1664">
        <v>2400</v>
      </c>
    </row>
    <row r="1665" spans="1:14" x14ac:dyDescent="0.25">
      <c r="A1665">
        <v>1111.779912</v>
      </c>
      <c r="B1665" s="1">
        <f>DATE(2013,5,16) + TIME(18,43,4)</f>
        <v>41410.779907407406</v>
      </c>
      <c r="C1665">
        <v>80</v>
      </c>
      <c r="D1665">
        <v>79.978607178000004</v>
      </c>
      <c r="E1665">
        <v>50</v>
      </c>
      <c r="F1665">
        <v>49.118534087999997</v>
      </c>
      <c r="G1665">
        <v>1340.0185547000001</v>
      </c>
      <c r="H1665">
        <v>1337.3725586</v>
      </c>
      <c r="I1665">
        <v>1327.0362548999999</v>
      </c>
      <c r="J1665">
        <v>1325.3071289</v>
      </c>
      <c r="K1665">
        <v>2400</v>
      </c>
      <c r="L1665">
        <v>0</v>
      </c>
      <c r="M1665">
        <v>0</v>
      </c>
      <c r="N1665">
        <v>2400</v>
      </c>
    </row>
    <row r="1666" spans="1:14" x14ac:dyDescent="0.25">
      <c r="A1666">
        <v>1112.1866680000001</v>
      </c>
      <c r="B1666" s="1">
        <f>DATE(2013,5,17) + TIME(4,28,48)</f>
        <v>41411.186666666668</v>
      </c>
      <c r="C1666">
        <v>80</v>
      </c>
      <c r="D1666">
        <v>79.978599548000005</v>
      </c>
      <c r="E1666">
        <v>50</v>
      </c>
      <c r="F1666">
        <v>49.099842072000001</v>
      </c>
      <c r="G1666">
        <v>1340.0131836</v>
      </c>
      <c r="H1666">
        <v>1337.3690185999999</v>
      </c>
      <c r="I1666">
        <v>1327.0349120999999</v>
      </c>
      <c r="J1666">
        <v>1325.3049315999999</v>
      </c>
      <c r="K1666">
        <v>2400</v>
      </c>
      <c r="L1666">
        <v>0</v>
      </c>
      <c r="M1666">
        <v>0</v>
      </c>
      <c r="N1666">
        <v>2400</v>
      </c>
    </row>
    <row r="1667" spans="1:14" x14ac:dyDescent="0.25">
      <c r="A1667">
        <v>1112.6065470000001</v>
      </c>
      <c r="B1667" s="1">
        <f>DATE(2013,5,17) + TIME(14,33,25)</f>
        <v>41411.606539351851</v>
      </c>
      <c r="C1667">
        <v>80</v>
      </c>
      <c r="D1667">
        <v>79.978591918999996</v>
      </c>
      <c r="E1667">
        <v>50</v>
      </c>
      <c r="F1667">
        <v>49.080696105999998</v>
      </c>
      <c r="G1667">
        <v>1340.0078125</v>
      </c>
      <c r="H1667">
        <v>1337.3654785000001</v>
      </c>
      <c r="I1667">
        <v>1327.0334473</v>
      </c>
      <c r="J1667">
        <v>1325.3026123</v>
      </c>
      <c r="K1667">
        <v>2400</v>
      </c>
      <c r="L1667">
        <v>0</v>
      </c>
      <c r="M1667">
        <v>0</v>
      </c>
      <c r="N1667">
        <v>2400</v>
      </c>
    </row>
    <row r="1668" spans="1:14" x14ac:dyDescent="0.25">
      <c r="A1668">
        <v>1113.034678</v>
      </c>
      <c r="B1668" s="1">
        <f>DATE(2013,5,18) + TIME(0,49,56)</f>
        <v>41412.034675925926</v>
      </c>
      <c r="C1668">
        <v>80</v>
      </c>
      <c r="D1668">
        <v>79.978584290000001</v>
      </c>
      <c r="E1668">
        <v>50</v>
      </c>
      <c r="F1668">
        <v>49.061229705999999</v>
      </c>
      <c r="G1668">
        <v>1340.0023193</v>
      </c>
      <c r="H1668">
        <v>1337.3619385</v>
      </c>
      <c r="I1668">
        <v>1327.0319824000001</v>
      </c>
      <c r="J1668">
        <v>1325.3001709</v>
      </c>
      <c r="K1668">
        <v>2400</v>
      </c>
      <c r="L1668">
        <v>0</v>
      </c>
      <c r="M1668">
        <v>0</v>
      </c>
      <c r="N1668">
        <v>2400</v>
      </c>
    </row>
    <row r="1669" spans="1:14" x14ac:dyDescent="0.25">
      <c r="A1669">
        <v>1113.4678839999999</v>
      </c>
      <c r="B1669" s="1">
        <f>DATE(2013,5,18) + TIME(11,13,45)</f>
        <v>41412.467881944445</v>
      </c>
      <c r="C1669">
        <v>80</v>
      </c>
      <c r="D1669">
        <v>79.978576660000002</v>
      </c>
      <c r="E1669">
        <v>50</v>
      </c>
      <c r="F1669">
        <v>49.041561127000001</v>
      </c>
      <c r="G1669">
        <v>1339.9969481999999</v>
      </c>
      <c r="H1669">
        <v>1337.3583983999999</v>
      </c>
      <c r="I1669">
        <v>1327.0305175999999</v>
      </c>
      <c r="J1669">
        <v>1325.2976074000001</v>
      </c>
      <c r="K1669">
        <v>2400</v>
      </c>
      <c r="L1669">
        <v>0</v>
      </c>
      <c r="M1669">
        <v>0</v>
      </c>
      <c r="N1669">
        <v>2400</v>
      </c>
    </row>
    <row r="1670" spans="1:14" x14ac:dyDescent="0.25">
      <c r="A1670">
        <v>1113.9069669999999</v>
      </c>
      <c r="B1670" s="1">
        <f>DATE(2013,5,18) + TIME(21,46,1)</f>
        <v>41412.906956018516</v>
      </c>
      <c r="C1670">
        <v>80</v>
      </c>
      <c r="D1670">
        <v>79.978569031000006</v>
      </c>
      <c r="E1670">
        <v>50</v>
      </c>
      <c r="F1670">
        <v>49.021690368999998</v>
      </c>
      <c r="G1670">
        <v>1339.9914550999999</v>
      </c>
      <c r="H1670">
        <v>1337.3548584</v>
      </c>
      <c r="I1670">
        <v>1327.0289307</v>
      </c>
      <c r="J1670">
        <v>1325.2950439000001</v>
      </c>
      <c r="K1670">
        <v>2400</v>
      </c>
      <c r="L1670">
        <v>0</v>
      </c>
      <c r="M1670">
        <v>0</v>
      </c>
      <c r="N1670">
        <v>2400</v>
      </c>
    </row>
    <row r="1671" spans="1:14" x14ac:dyDescent="0.25">
      <c r="A1671">
        <v>1114.352703</v>
      </c>
      <c r="B1671" s="1">
        <f>DATE(2013,5,19) + TIME(8,27,53)</f>
        <v>41413.352696759262</v>
      </c>
      <c r="C1671">
        <v>80</v>
      </c>
      <c r="D1671">
        <v>79.978561400999993</v>
      </c>
      <c r="E1671">
        <v>50</v>
      </c>
      <c r="F1671">
        <v>49.001605988000001</v>
      </c>
      <c r="G1671">
        <v>1339.9859618999999</v>
      </c>
      <c r="H1671">
        <v>1337.3513184000001</v>
      </c>
      <c r="I1671">
        <v>1327.0272216999999</v>
      </c>
      <c r="J1671">
        <v>1325.2924805</v>
      </c>
      <c r="K1671">
        <v>2400</v>
      </c>
      <c r="L1671">
        <v>0</v>
      </c>
      <c r="M1671">
        <v>0</v>
      </c>
      <c r="N1671">
        <v>2400</v>
      </c>
    </row>
    <row r="1672" spans="1:14" x14ac:dyDescent="0.25">
      <c r="A1672">
        <v>1114.8031759999999</v>
      </c>
      <c r="B1672" s="1">
        <f>DATE(2013,5,19) + TIME(19,16,34)</f>
        <v>41413.803171296298</v>
      </c>
      <c r="C1672">
        <v>80</v>
      </c>
      <c r="D1672">
        <v>79.978546143000003</v>
      </c>
      <c r="E1672">
        <v>50</v>
      </c>
      <c r="F1672">
        <v>48.981376648000001</v>
      </c>
      <c r="G1672">
        <v>1339.9805908000001</v>
      </c>
      <c r="H1672">
        <v>1337.3477783000001</v>
      </c>
      <c r="I1672">
        <v>1327.0256348</v>
      </c>
      <c r="J1672">
        <v>1325.2897949000001</v>
      </c>
      <c r="K1672">
        <v>2400</v>
      </c>
      <c r="L1672">
        <v>0</v>
      </c>
      <c r="M1672">
        <v>0</v>
      </c>
      <c r="N1672">
        <v>2400</v>
      </c>
    </row>
    <row r="1673" spans="1:14" x14ac:dyDescent="0.25">
      <c r="A1673">
        <v>1115.256619</v>
      </c>
      <c r="B1673" s="1">
        <f>DATE(2013,5,20) + TIME(6,9,31)</f>
        <v>41414.256608796299</v>
      </c>
      <c r="C1673">
        <v>80</v>
      </c>
      <c r="D1673">
        <v>79.978538513000004</v>
      </c>
      <c r="E1673">
        <v>50</v>
      </c>
      <c r="F1673">
        <v>48.961071013999998</v>
      </c>
      <c r="G1673">
        <v>1339.9752197</v>
      </c>
      <c r="H1673">
        <v>1337.3442382999999</v>
      </c>
      <c r="I1673">
        <v>1327.0239257999999</v>
      </c>
      <c r="J1673">
        <v>1325.2869873</v>
      </c>
      <c r="K1673">
        <v>2400</v>
      </c>
      <c r="L1673">
        <v>0</v>
      </c>
      <c r="M1673">
        <v>0</v>
      </c>
      <c r="N1673">
        <v>2400</v>
      </c>
    </row>
    <row r="1674" spans="1:14" x14ac:dyDescent="0.25">
      <c r="A1674">
        <v>1115.7141999999999</v>
      </c>
      <c r="B1674" s="1">
        <f>DATE(2013,5,20) + TIME(17,8,26)</f>
        <v>41414.714189814818</v>
      </c>
      <c r="C1674">
        <v>80</v>
      </c>
      <c r="D1674">
        <v>79.978530883999994</v>
      </c>
      <c r="E1674">
        <v>50</v>
      </c>
      <c r="F1674">
        <v>48.940670013000002</v>
      </c>
      <c r="G1674">
        <v>1339.9698486</v>
      </c>
      <c r="H1674">
        <v>1337.3408202999999</v>
      </c>
      <c r="I1674">
        <v>1327.0222168</v>
      </c>
      <c r="J1674">
        <v>1325.2841797000001</v>
      </c>
      <c r="K1674">
        <v>2400</v>
      </c>
      <c r="L1674">
        <v>0</v>
      </c>
      <c r="M1674">
        <v>0</v>
      </c>
      <c r="N1674">
        <v>2400</v>
      </c>
    </row>
    <row r="1675" spans="1:14" x14ac:dyDescent="0.25">
      <c r="A1675">
        <v>1116.1770799999999</v>
      </c>
      <c r="B1675" s="1">
        <f>DATE(2013,5,21) + TIME(4,14,59)</f>
        <v>41415.177071759259</v>
      </c>
      <c r="C1675">
        <v>80</v>
      </c>
      <c r="D1675">
        <v>79.978523253999995</v>
      </c>
      <c r="E1675">
        <v>50</v>
      </c>
      <c r="F1675">
        <v>48.920146942000002</v>
      </c>
      <c r="G1675">
        <v>1339.9645995999999</v>
      </c>
      <c r="H1675">
        <v>1337.3374022999999</v>
      </c>
      <c r="I1675">
        <v>1327.0203856999999</v>
      </c>
      <c r="J1675">
        <v>1325.28125</v>
      </c>
      <c r="K1675">
        <v>2400</v>
      </c>
      <c r="L1675">
        <v>0</v>
      </c>
      <c r="M1675">
        <v>0</v>
      </c>
      <c r="N1675">
        <v>2400</v>
      </c>
    </row>
    <row r="1676" spans="1:14" x14ac:dyDescent="0.25">
      <c r="A1676">
        <v>1116.6464450000001</v>
      </c>
      <c r="B1676" s="1">
        <f>DATE(2013,5,21) + TIME(15,30,52)</f>
        <v>41415.646435185183</v>
      </c>
      <c r="C1676">
        <v>80</v>
      </c>
      <c r="D1676">
        <v>79.978515625</v>
      </c>
      <c r="E1676">
        <v>50</v>
      </c>
      <c r="F1676">
        <v>48.899475098000003</v>
      </c>
      <c r="G1676">
        <v>1339.9593506000001</v>
      </c>
      <c r="H1676">
        <v>1337.3339844</v>
      </c>
      <c r="I1676">
        <v>1327.0185547000001</v>
      </c>
      <c r="J1676">
        <v>1325.2783202999999</v>
      </c>
      <c r="K1676">
        <v>2400</v>
      </c>
      <c r="L1676">
        <v>0</v>
      </c>
      <c r="M1676">
        <v>0</v>
      </c>
      <c r="N1676">
        <v>2400</v>
      </c>
    </row>
    <row r="1677" spans="1:14" x14ac:dyDescent="0.25">
      <c r="A1677">
        <v>1117.1235569999999</v>
      </c>
      <c r="B1677" s="1">
        <f>DATE(2013,5,22) + TIME(2,57,55)</f>
        <v>41416.123553240737</v>
      </c>
      <c r="C1677">
        <v>80</v>
      </c>
      <c r="D1677">
        <v>79.978507996000005</v>
      </c>
      <c r="E1677">
        <v>50</v>
      </c>
      <c r="F1677">
        <v>48.878604889000002</v>
      </c>
      <c r="G1677">
        <v>1339.9541016000001</v>
      </c>
      <c r="H1677">
        <v>1337.3306885</v>
      </c>
      <c r="I1677">
        <v>1327.0167236</v>
      </c>
      <c r="J1677">
        <v>1325.2752685999999</v>
      </c>
      <c r="K1677">
        <v>2400</v>
      </c>
      <c r="L1677">
        <v>0</v>
      </c>
      <c r="M1677">
        <v>0</v>
      </c>
      <c r="N1677">
        <v>2400</v>
      </c>
    </row>
    <row r="1678" spans="1:14" x14ac:dyDescent="0.25">
      <c r="A1678">
        <v>1117.6097219999999</v>
      </c>
      <c r="B1678" s="1">
        <f>DATE(2013,5,22) + TIME(14,38,0)</f>
        <v>41416.609722222223</v>
      </c>
      <c r="C1678">
        <v>80</v>
      </c>
      <c r="D1678">
        <v>79.978500366000006</v>
      </c>
      <c r="E1678">
        <v>50</v>
      </c>
      <c r="F1678">
        <v>48.857501984000002</v>
      </c>
      <c r="G1678">
        <v>1339.9487305</v>
      </c>
      <c r="H1678">
        <v>1337.3272704999999</v>
      </c>
      <c r="I1678">
        <v>1327.0147704999999</v>
      </c>
      <c r="J1678">
        <v>1325.2722168</v>
      </c>
      <c r="K1678">
        <v>2400</v>
      </c>
      <c r="L1678">
        <v>0</v>
      </c>
      <c r="M1678">
        <v>0</v>
      </c>
      <c r="N1678">
        <v>2400</v>
      </c>
    </row>
    <row r="1679" spans="1:14" x14ac:dyDescent="0.25">
      <c r="A1679">
        <v>1118.1063409999999</v>
      </c>
      <c r="B1679" s="1">
        <f>DATE(2013,5,23) + TIME(2,33,7)</f>
        <v>41417.10633101852</v>
      </c>
      <c r="C1679">
        <v>80</v>
      </c>
      <c r="D1679">
        <v>79.978492736999996</v>
      </c>
      <c r="E1679">
        <v>50</v>
      </c>
      <c r="F1679">
        <v>48.836109161000003</v>
      </c>
      <c r="G1679">
        <v>1339.9434814000001</v>
      </c>
      <c r="H1679">
        <v>1337.3238524999999</v>
      </c>
      <c r="I1679">
        <v>1327.0128173999999</v>
      </c>
      <c r="J1679">
        <v>1325.2689209</v>
      </c>
      <c r="K1679">
        <v>2400</v>
      </c>
      <c r="L1679">
        <v>0</v>
      </c>
      <c r="M1679">
        <v>0</v>
      </c>
      <c r="N1679">
        <v>2400</v>
      </c>
    </row>
    <row r="1680" spans="1:14" x14ac:dyDescent="0.25">
      <c r="A1680">
        <v>1118.614967</v>
      </c>
      <c r="B1680" s="1">
        <f>DATE(2013,5,23) + TIME(14,45,33)</f>
        <v>41417.614965277775</v>
      </c>
      <c r="C1680">
        <v>80</v>
      </c>
      <c r="D1680">
        <v>79.978485106999997</v>
      </c>
      <c r="E1680">
        <v>50</v>
      </c>
      <c r="F1680">
        <v>48.814376830999997</v>
      </c>
      <c r="G1680">
        <v>1339.9382324000001</v>
      </c>
      <c r="H1680">
        <v>1337.3205565999999</v>
      </c>
      <c r="I1680">
        <v>1327.0107422000001</v>
      </c>
      <c r="J1680">
        <v>1325.265625</v>
      </c>
      <c r="K1680">
        <v>2400</v>
      </c>
      <c r="L1680">
        <v>0</v>
      </c>
      <c r="M1680">
        <v>0</v>
      </c>
      <c r="N1680">
        <v>2400</v>
      </c>
    </row>
    <row r="1681" spans="1:14" x14ac:dyDescent="0.25">
      <c r="A1681">
        <v>1119.1373000000001</v>
      </c>
      <c r="B1681" s="1">
        <f>DATE(2013,5,24) + TIME(3,17,42)</f>
        <v>41418.137291666666</v>
      </c>
      <c r="C1681">
        <v>80</v>
      </c>
      <c r="D1681">
        <v>79.978477478000002</v>
      </c>
      <c r="E1681">
        <v>50</v>
      </c>
      <c r="F1681">
        <v>48.792243958</v>
      </c>
      <c r="G1681">
        <v>1339.9328613</v>
      </c>
      <c r="H1681">
        <v>1337.3171387</v>
      </c>
      <c r="I1681">
        <v>1327.0085449000001</v>
      </c>
      <c r="J1681">
        <v>1325.262207</v>
      </c>
      <c r="K1681">
        <v>2400</v>
      </c>
      <c r="L1681">
        <v>0</v>
      </c>
      <c r="M1681">
        <v>0</v>
      </c>
      <c r="N1681">
        <v>2400</v>
      </c>
    </row>
    <row r="1682" spans="1:14" x14ac:dyDescent="0.25">
      <c r="A1682">
        <v>1119.6755230000001</v>
      </c>
      <c r="B1682" s="1">
        <f>DATE(2013,5,24) + TIME(16,12,45)</f>
        <v>41418.675520833334</v>
      </c>
      <c r="C1682">
        <v>80</v>
      </c>
      <c r="D1682">
        <v>79.978469849000007</v>
      </c>
      <c r="E1682">
        <v>50</v>
      </c>
      <c r="F1682">
        <v>48.769641876000001</v>
      </c>
      <c r="G1682">
        <v>1339.9274902</v>
      </c>
      <c r="H1682">
        <v>1337.3137207</v>
      </c>
      <c r="I1682">
        <v>1327.0063477000001</v>
      </c>
      <c r="J1682">
        <v>1325.2585449000001</v>
      </c>
      <c r="K1682">
        <v>2400</v>
      </c>
      <c r="L1682">
        <v>0</v>
      </c>
      <c r="M1682">
        <v>0</v>
      </c>
      <c r="N1682">
        <v>2400</v>
      </c>
    </row>
    <row r="1683" spans="1:14" x14ac:dyDescent="0.25">
      <c r="A1683">
        <v>1120.2286369999999</v>
      </c>
      <c r="B1683" s="1">
        <f>DATE(2013,5,25) + TIME(5,29,14)</f>
        <v>41419.228634259256</v>
      </c>
      <c r="C1683">
        <v>80</v>
      </c>
      <c r="D1683">
        <v>79.978462218999994</v>
      </c>
      <c r="E1683">
        <v>50</v>
      </c>
      <c r="F1683">
        <v>48.746574402</v>
      </c>
      <c r="G1683">
        <v>1339.9219971</v>
      </c>
      <c r="H1683">
        <v>1337.3103027</v>
      </c>
      <c r="I1683">
        <v>1327.0040283000001</v>
      </c>
      <c r="J1683">
        <v>1325.2548827999999</v>
      </c>
      <c r="K1683">
        <v>2400</v>
      </c>
      <c r="L1683">
        <v>0</v>
      </c>
      <c r="M1683">
        <v>0</v>
      </c>
      <c r="N1683">
        <v>2400</v>
      </c>
    </row>
    <row r="1684" spans="1:14" x14ac:dyDescent="0.25">
      <c r="A1684">
        <v>1120.7948289999999</v>
      </c>
      <c r="B1684" s="1">
        <f>DATE(2013,5,25) + TIME(19,4,33)</f>
        <v>41419.79482638889</v>
      </c>
      <c r="C1684">
        <v>80</v>
      </c>
      <c r="D1684">
        <v>79.978446959999999</v>
      </c>
      <c r="E1684">
        <v>50</v>
      </c>
      <c r="F1684">
        <v>48.723087311</v>
      </c>
      <c r="G1684">
        <v>1339.9165039</v>
      </c>
      <c r="H1684">
        <v>1337.3067627</v>
      </c>
      <c r="I1684">
        <v>1327.0015868999999</v>
      </c>
      <c r="J1684">
        <v>1325.2509766000001</v>
      </c>
      <c r="K1684">
        <v>2400</v>
      </c>
      <c r="L1684">
        <v>0</v>
      </c>
      <c r="M1684">
        <v>0</v>
      </c>
      <c r="N1684">
        <v>2400</v>
      </c>
    </row>
    <row r="1685" spans="1:14" x14ac:dyDescent="0.25">
      <c r="A1685">
        <v>1121.37123</v>
      </c>
      <c r="B1685" s="1">
        <f>DATE(2013,5,26) + TIME(8,54,34)</f>
        <v>41420.37122685185</v>
      </c>
      <c r="C1685">
        <v>80</v>
      </c>
      <c r="D1685">
        <v>79.978439331000004</v>
      </c>
      <c r="E1685">
        <v>50</v>
      </c>
      <c r="F1685">
        <v>48.699260711999997</v>
      </c>
      <c r="G1685">
        <v>1339.9110106999999</v>
      </c>
      <c r="H1685">
        <v>1337.3032227000001</v>
      </c>
      <c r="I1685">
        <v>1326.9990233999999</v>
      </c>
      <c r="J1685">
        <v>1325.2468262</v>
      </c>
      <c r="K1685">
        <v>2400</v>
      </c>
      <c r="L1685">
        <v>0</v>
      </c>
      <c r="M1685">
        <v>0</v>
      </c>
      <c r="N1685">
        <v>2400</v>
      </c>
    </row>
    <row r="1686" spans="1:14" x14ac:dyDescent="0.25">
      <c r="A1686">
        <v>1121.9484890000001</v>
      </c>
      <c r="B1686" s="1">
        <f>DATE(2013,5,26) + TIME(22,45,49)</f>
        <v>41420.948483796295</v>
      </c>
      <c r="C1686">
        <v>80</v>
      </c>
      <c r="D1686">
        <v>79.978431701999995</v>
      </c>
      <c r="E1686">
        <v>50</v>
      </c>
      <c r="F1686">
        <v>48.675361633000001</v>
      </c>
      <c r="G1686">
        <v>1339.9053954999999</v>
      </c>
      <c r="H1686">
        <v>1337.2998047000001</v>
      </c>
      <c r="I1686">
        <v>1326.9964600000001</v>
      </c>
      <c r="J1686">
        <v>1325.2426757999999</v>
      </c>
      <c r="K1686">
        <v>2400</v>
      </c>
      <c r="L1686">
        <v>0</v>
      </c>
      <c r="M1686">
        <v>0</v>
      </c>
      <c r="N1686">
        <v>2400</v>
      </c>
    </row>
    <row r="1687" spans="1:14" x14ac:dyDescent="0.25">
      <c r="A1687">
        <v>1122.528102</v>
      </c>
      <c r="B1687" s="1">
        <f>DATE(2013,5,27) + TIME(12,40,28)</f>
        <v>41421.528101851851</v>
      </c>
      <c r="C1687">
        <v>80</v>
      </c>
      <c r="D1687">
        <v>79.978424071999996</v>
      </c>
      <c r="E1687">
        <v>50</v>
      </c>
      <c r="F1687">
        <v>48.651424407999997</v>
      </c>
      <c r="G1687">
        <v>1339.8999022999999</v>
      </c>
      <c r="H1687">
        <v>1337.2963867000001</v>
      </c>
      <c r="I1687">
        <v>1326.9937743999999</v>
      </c>
      <c r="J1687">
        <v>1325.2384033000001</v>
      </c>
      <c r="K1687">
        <v>2400</v>
      </c>
      <c r="L1687">
        <v>0</v>
      </c>
      <c r="M1687">
        <v>0</v>
      </c>
      <c r="N1687">
        <v>2400</v>
      </c>
    </row>
    <row r="1688" spans="1:14" x14ac:dyDescent="0.25">
      <c r="A1688">
        <v>1123.1117180000001</v>
      </c>
      <c r="B1688" s="1">
        <f>DATE(2013,5,28) + TIME(2,40,52)</f>
        <v>41422.111712962964</v>
      </c>
      <c r="C1688">
        <v>80</v>
      </c>
      <c r="D1688">
        <v>79.978416443</v>
      </c>
      <c r="E1688">
        <v>50</v>
      </c>
      <c r="F1688">
        <v>48.627445221000002</v>
      </c>
      <c r="G1688">
        <v>1339.8945312000001</v>
      </c>
      <c r="H1688">
        <v>1337.2929687999999</v>
      </c>
      <c r="I1688">
        <v>1326.9910889</v>
      </c>
      <c r="J1688">
        <v>1325.2341309000001</v>
      </c>
      <c r="K1688">
        <v>2400</v>
      </c>
      <c r="L1688">
        <v>0</v>
      </c>
      <c r="M1688">
        <v>0</v>
      </c>
      <c r="N1688">
        <v>2400</v>
      </c>
    </row>
    <row r="1689" spans="1:14" x14ac:dyDescent="0.25">
      <c r="A1689">
        <v>1123.700973</v>
      </c>
      <c r="B1689" s="1">
        <f>DATE(2013,5,28) + TIME(16,49,24)</f>
        <v>41422.700972222221</v>
      </c>
      <c r="C1689">
        <v>80</v>
      </c>
      <c r="D1689">
        <v>79.978408813000001</v>
      </c>
      <c r="E1689">
        <v>50</v>
      </c>
      <c r="F1689">
        <v>48.603401183999999</v>
      </c>
      <c r="G1689">
        <v>1339.8891602000001</v>
      </c>
      <c r="H1689">
        <v>1337.2895507999999</v>
      </c>
      <c r="I1689">
        <v>1326.9882812000001</v>
      </c>
      <c r="J1689">
        <v>1325.2296143000001</v>
      </c>
      <c r="K1689">
        <v>2400</v>
      </c>
      <c r="L1689">
        <v>0</v>
      </c>
      <c r="M1689">
        <v>0</v>
      </c>
      <c r="N1689">
        <v>2400</v>
      </c>
    </row>
    <row r="1690" spans="1:14" x14ac:dyDescent="0.25">
      <c r="A1690">
        <v>1124.2974979999999</v>
      </c>
      <c r="B1690" s="1">
        <f>DATE(2013,5,29) + TIME(7,8,23)</f>
        <v>41423.297488425924</v>
      </c>
      <c r="C1690">
        <v>80</v>
      </c>
      <c r="D1690">
        <v>79.978401184000006</v>
      </c>
      <c r="E1690">
        <v>50</v>
      </c>
      <c r="F1690">
        <v>48.579250336000001</v>
      </c>
      <c r="G1690">
        <v>1339.8839111</v>
      </c>
      <c r="H1690">
        <v>1337.2862548999999</v>
      </c>
      <c r="I1690">
        <v>1326.9854736</v>
      </c>
      <c r="J1690">
        <v>1325.2250977000001</v>
      </c>
      <c r="K1690">
        <v>2400</v>
      </c>
      <c r="L1690">
        <v>0</v>
      </c>
      <c r="M1690">
        <v>0</v>
      </c>
      <c r="N1690">
        <v>2400</v>
      </c>
    </row>
    <row r="1691" spans="1:14" x14ac:dyDescent="0.25">
      <c r="A1691">
        <v>1124.9026309999999</v>
      </c>
      <c r="B1691" s="1">
        <f>DATE(2013,5,29) + TIME(21,39,47)</f>
        <v>41423.902627314812</v>
      </c>
      <c r="C1691">
        <v>80</v>
      </c>
      <c r="D1691">
        <v>79.978393554999997</v>
      </c>
      <c r="E1691">
        <v>50</v>
      </c>
      <c r="F1691">
        <v>48.554954529</v>
      </c>
      <c r="G1691">
        <v>1339.8785399999999</v>
      </c>
      <c r="H1691">
        <v>1337.2829589999999</v>
      </c>
      <c r="I1691">
        <v>1326.9825439000001</v>
      </c>
      <c r="J1691">
        <v>1325.2204589999999</v>
      </c>
      <c r="K1691">
        <v>2400</v>
      </c>
      <c r="L1691">
        <v>0</v>
      </c>
      <c r="M1691">
        <v>0</v>
      </c>
      <c r="N1691">
        <v>2400</v>
      </c>
    </row>
    <row r="1692" spans="1:14" x14ac:dyDescent="0.25">
      <c r="A1692">
        <v>1125.514635</v>
      </c>
      <c r="B1692" s="1">
        <f>DATE(2013,5,30) + TIME(12,21,4)</f>
        <v>41424.51462962963</v>
      </c>
      <c r="C1692">
        <v>80</v>
      </c>
      <c r="D1692">
        <v>79.978385924999998</v>
      </c>
      <c r="E1692">
        <v>50</v>
      </c>
      <c r="F1692">
        <v>48.530536652000002</v>
      </c>
      <c r="G1692">
        <v>1339.8732910000001</v>
      </c>
      <c r="H1692">
        <v>1337.2796631000001</v>
      </c>
      <c r="I1692">
        <v>1326.9794922000001</v>
      </c>
      <c r="J1692">
        <v>1325.2156981999999</v>
      </c>
      <c r="K1692">
        <v>2400</v>
      </c>
      <c r="L1692">
        <v>0</v>
      </c>
      <c r="M1692">
        <v>0</v>
      </c>
      <c r="N1692">
        <v>2400</v>
      </c>
    </row>
    <row r="1693" spans="1:14" x14ac:dyDescent="0.25">
      <c r="A1693">
        <v>1126.134681</v>
      </c>
      <c r="B1693" s="1">
        <f>DATE(2013,5,31) + TIME(3,13,56)</f>
        <v>41425.134675925925</v>
      </c>
      <c r="C1693">
        <v>80</v>
      </c>
      <c r="D1693">
        <v>79.978378296000002</v>
      </c>
      <c r="E1693">
        <v>50</v>
      </c>
      <c r="F1693">
        <v>48.505981445000003</v>
      </c>
      <c r="G1693">
        <v>1339.8680420000001</v>
      </c>
      <c r="H1693">
        <v>1337.2763672000001</v>
      </c>
      <c r="I1693">
        <v>1326.9764404</v>
      </c>
      <c r="J1693">
        <v>1325.2106934000001</v>
      </c>
      <c r="K1693">
        <v>2400</v>
      </c>
      <c r="L1693">
        <v>0</v>
      </c>
      <c r="M1693">
        <v>0</v>
      </c>
      <c r="N1693">
        <v>2400</v>
      </c>
    </row>
    <row r="1694" spans="1:14" x14ac:dyDescent="0.25">
      <c r="A1694">
        <v>1126.764142</v>
      </c>
      <c r="B1694" s="1">
        <f>DATE(2013,5,31) + TIME(18,20,21)</f>
        <v>41425.764131944445</v>
      </c>
      <c r="C1694">
        <v>80</v>
      </c>
      <c r="D1694">
        <v>79.978370666999993</v>
      </c>
      <c r="E1694">
        <v>50</v>
      </c>
      <c r="F1694">
        <v>48.481254577999998</v>
      </c>
      <c r="G1694">
        <v>1339.862793</v>
      </c>
      <c r="H1694">
        <v>1337.2731934000001</v>
      </c>
      <c r="I1694">
        <v>1326.9732666</v>
      </c>
      <c r="J1694">
        <v>1325.2056885</v>
      </c>
      <c r="K1694">
        <v>2400</v>
      </c>
      <c r="L1694">
        <v>0</v>
      </c>
      <c r="M1694">
        <v>0</v>
      </c>
      <c r="N1694">
        <v>2400</v>
      </c>
    </row>
    <row r="1695" spans="1:14" x14ac:dyDescent="0.25">
      <c r="A1695">
        <v>1127</v>
      </c>
      <c r="B1695" s="1">
        <f>DATE(2013,6,1) + TIME(0,0,0)</f>
        <v>41426</v>
      </c>
      <c r="C1695">
        <v>80</v>
      </c>
      <c r="D1695">
        <v>79.978363036999994</v>
      </c>
      <c r="E1695">
        <v>50</v>
      </c>
      <c r="F1695">
        <v>48.468753814999999</v>
      </c>
      <c r="G1695">
        <v>1339.8580322</v>
      </c>
      <c r="H1695">
        <v>1337.2702637</v>
      </c>
      <c r="I1695">
        <v>1326.9703368999999</v>
      </c>
      <c r="J1695">
        <v>1325.2011719</v>
      </c>
      <c r="K1695">
        <v>2400</v>
      </c>
      <c r="L1695">
        <v>0</v>
      </c>
      <c r="M1695">
        <v>0</v>
      </c>
      <c r="N1695">
        <v>2400</v>
      </c>
    </row>
    <row r="1696" spans="1:14" x14ac:dyDescent="0.25">
      <c r="A1696">
        <v>1127.6403789999999</v>
      </c>
      <c r="B1696" s="1">
        <f>DATE(2013,6,1) + TIME(15,22,8)</f>
        <v>41426.640370370369</v>
      </c>
      <c r="C1696">
        <v>80</v>
      </c>
      <c r="D1696">
        <v>79.978363036999994</v>
      </c>
      <c r="E1696">
        <v>50</v>
      </c>
      <c r="F1696">
        <v>48.445205688000001</v>
      </c>
      <c r="G1696">
        <v>1339.8554687999999</v>
      </c>
      <c r="H1696">
        <v>1337.2685547000001</v>
      </c>
      <c r="I1696">
        <v>1326.9686279</v>
      </c>
      <c r="J1696">
        <v>1325.1982422000001</v>
      </c>
      <c r="K1696">
        <v>2400</v>
      </c>
      <c r="L1696">
        <v>0</v>
      </c>
      <c r="M1696">
        <v>0</v>
      </c>
      <c r="N1696">
        <v>2400</v>
      </c>
    </row>
    <row r="1697" spans="1:14" x14ac:dyDescent="0.25">
      <c r="A1697">
        <v>1128.2984650000001</v>
      </c>
      <c r="B1697" s="1">
        <f>DATE(2013,6,2) + TIME(7,9,47)</f>
        <v>41427.298460648148</v>
      </c>
      <c r="C1697">
        <v>80</v>
      </c>
      <c r="D1697">
        <v>79.978355407999999</v>
      </c>
      <c r="E1697">
        <v>50</v>
      </c>
      <c r="F1697">
        <v>48.420730591000002</v>
      </c>
      <c r="G1697">
        <v>1339.8503418</v>
      </c>
      <c r="H1697">
        <v>1337.2653809000001</v>
      </c>
      <c r="I1697">
        <v>1326.965332</v>
      </c>
      <c r="J1697">
        <v>1325.1929932</v>
      </c>
      <c r="K1697">
        <v>2400</v>
      </c>
      <c r="L1697">
        <v>0</v>
      </c>
      <c r="M1697">
        <v>0</v>
      </c>
      <c r="N1697">
        <v>2400</v>
      </c>
    </row>
    <row r="1698" spans="1:14" x14ac:dyDescent="0.25">
      <c r="A1698">
        <v>1128.9714309999999</v>
      </c>
      <c r="B1698" s="1">
        <f>DATE(2013,6,2) + TIME(23,18,51)</f>
        <v>41427.97142361111</v>
      </c>
      <c r="C1698">
        <v>80</v>
      </c>
      <c r="D1698">
        <v>79.978347778</v>
      </c>
      <c r="E1698">
        <v>50</v>
      </c>
      <c r="F1698">
        <v>48.395572661999999</v>
      </c>
      <c r="G1698">
        <v>1339.8450928</v>
      </c>
      <c r="H1698">
        <v>1337.262207</v>
      </c>
      <c r="I1698">
        <v>1326.9617920000001</v>
      </c>
      <c r="J1698">
        <v>1325.1873779</v>
      </c>
      <c r="K1698">
        <v>2400</v>
      </c>
      <c r="L1698">
        <v>0</v>
      </c>
      <c r="M1698">
        <v>0</v>
      </c>
      <c r="N1698">
        <v>2400</v>
      </c>
    </row>
    <row r="1699" spans="1:14" x14ac:dyDescent="0.25">
      <c r="A1699">
        <v>1129.6613910000001</v>
      </c>
      <c r="B1699" s="1">
        <f>DATE(2013,6,3) + TIME(15,52,24)</f>
        <v>41428.66138888889</v>
      </c>
      <c r="C1699">
        <v>80</v>
      </c>
      <c r="D1699">
        <v>79.978340149000005</v>
      </c>
      <c r="E1699">
        <v>50</v>
      </c>
      <c r="F1699">
        <v>48.369815826</v>
      </c>
      <c r="G1699">
        <v>1339.8397216999999</v>
      </c>
      <c r="H1699">
        <v>1337.2589111</v>
      </c>
      <c r="I1699">
        <v>1326.9582519999999</v>
      </c>
      <c r="J1699">
        <v>1325.1816406</v>
      </c>
      <c r="K1699">
        <v>2400</v>
      </c>
      <c r="L1699">
        <v>0</v>
      </c>
      <c r="M1699">
        <v>0</v>
      </c>
      <c r="N1699">
        <v>2400</v>
      </c>
    </row>
    <row r="1700" spans="1:14" x14ac:dyDescent="0.25">
      <c r="A1700">
        <v>1130.3705070000001</v>
      </c>
      <c r="B1700" s="1">
        <f>DATE(2013,6,4) + TIME(8,53,31)</f>
        <v>41429.370497685188</v>
      </c>
      <c r="C1700">
        <v>80</v>
      </c>
      <c r="D1700">
        <v>79.978332519999995</v>
      </c>
      <c r="E1700">
        <v>50</v>
      </c>
      <c r="F1700">
        <v>48.343479156000001</v>
      </c>
      <c r="G1700">
        <v>1339.8343506000001</v>
      </c>
      <c r="H1700">
        <v>1337.2556152</v>
      </c>
      <c r="I1700">
        <v>1326.9544678</v>
      </c>
      <c r="J1700">
        <v>1325.1756591999999</v>
      </c>
      <c r="K1700">
        <v>2400</v>
      </c>
      <c r="L1700">
        <v>0</v>
      </c>
      <c r="M1700">
        <v>0</v>
      </c>
      <c r="N1700">
        <v>2400</v>
      </c>
    </row>
    <row r="1701" spans="1:14" x14ac:dyDescent="0.25">
      <c r="A1701">
        <v>1131.089551</v>
      </c>
      <c r="B1701" s="1">
        <f>DATE(2013,6,5) + TIME(2,8,57)</f>
        <v>41430.089548611111</v>
      </c>
      <c r="C1701">
        <v>80</v>
      </c>
      <c r="D1701">
        <v>79.978324889999996</v>
      </c>
      <c r="E1701">
        <v>50</v>
      </c>
      <c r="F1701">
        <v>48.316791533999996</v>
      </c>
      <c r="G1701">
        <v>1339.8289795000001</v>
      </c>
      <c r="H1701">
        <v>1337.2523193</v>
      </c>
      <c r="I1701">
        <v>1326.9504394999999</v>
      </c>
      <c r="J1701">
        <v>1325.1693115</v>
      </c>
      <c r="K1701">
        <v>2400</v>
      </c>
      <c r="L1701">
        <v>0</v>
      </c>
      <c r="M1701">
        <v>0</v>
      </c>
      <c r="N1701">
        <v>2400</v>
      </c>
    </row>
    <row r="1702" spans="1:14" x14ac:dyDescent="0.25">
      <c r="A1702">
        <v>1131.8089729999999</v>
      </c>
      <c r="B1702" s="1">
        <f>DATE(2013,6,5) + TIME(19,24,55)</f>
        <v>41430.808969907404</v>
      </c>
      <c r="C1702">
        <v>80</v>
      </c>
      <c r="D1702">
        <v>79.978317261000001</v>
      </c>
      <c r="E1702">
        <v>50</v>
      </c>
      <c r="F1702">
        <v>48.290031433000003</v>
      </c>
      <c r="G1702">
        <v>1339.8234863</v>
      </c>
      <c r="H1702">
        <v>1337.2489014</v>
      </c>
      <c r="I1702">
        <v>1326.9464111</v>
      </c>
      <c r="J1702">
        <v>1325.1628418</v>
      </c>
      <c r="K1702">
        <v>2400</v>
      </c>
      <c r="L1702">
        <v>0</v>
      </c>
      <c r="M1702">
        <v>0</v>
      </c>
      <c r="N1702">
        <v>2400</v>
      </c>
    </row>
    <row r="1703" spans="1:14" x14ac:dyDescent="0.25">
      <c r="A1703">
        <v>1132.530941</v>
      </c>
      <c r="B1703" s="1">
        <f>DATE(2013,6,6) + TIME(12,44,33)</f>
        <v>41431.5309375</v>
      </c>
      <c r="C1703">
        <v>80</v>
      </c>
      <c r="D1703">
        <v>79.978309631000002</v>
      </c>
      <c r="E1703">
        <v>50</v>
      </c>
      <c r="F1703">
        <v>48.263278960999997</v>
      </c>
      <c r="G1703">
        <v>1339.8181152</v>
      </c>
      <c r="H1703">
        <v>1337.2456055</v>
      </c>
      <c r="I1703">
        <v>1326.9422606999999</v>
      </c>
      <c r="J1703">
        <v>1325.15625</v>
      </c>
      <c r="K1703">
        <v>2400</v>
      </c>
      <c r="L1703">
        <v>0</v>
      </c>
      <c r="M1703">
        <v>0</v>
      </c>
      <c r="N1703">
        <v>2400</v>
      </c>
    </row>
    <row r="1704" spans="1:14" x14ac:dyDescent="0.25">
      <c r="A1704">
        <v>1133.257204</v>
      </c>
      <c r="B1704" s="1">
        <f>DATE(2013,6,7) + TIME(6,10,22)</f>
        <v>41432.257199074076</v>
      </c>
      <c r="C1704">
        <v>80</v>
      </c>
      <c r="D1704">
        <v>79.978309631000002</v>
      </c>
      <c r="E1704">
        <v>50</v>
      </c>
      <c r="F1704">
        <v>48.236557007000002</v>
      </c>
      <c r="G1704">
        <v>1339.8128661999999</v>
      </c>
      <c r="H1704">
        <v>1337.2424315999999</v>
      </c>
      <c r="I1704">
        <v>1326.9381103999999</v>
      </c>
      <c r="J1704">
        <v>1325.1496582</v>
      </c>
      <c r="K1704">
        <v>2400</v>
      </c>
      <c r="L1704">
        <v>0</v>
      </c>
      <c r="M1704">
        <v>0</v>
      </c>
      <c r="N1704">
        <v>2400</v>
      </c>
    </row>
    <row r="1705" spans="1:14" x14ac:dyDescent="0.25">
      <c r="A1705">
        <v>1133.9897530000001</v>
      </c>
      <c r="B1705" s="1">
        <f>DATE(2013,6,7) + TIME(23,45,14)</f>
        <v>41432.989745370367</v>
      </c>
      <c r="C1705">
        <v>80</v>
      </c>
      <c r="D1705">
        <v>79.978302002000007</v>
      </c>
      <c r="E1705">
        <v>50</v>
      </c>
      <c r="F1705">
        <v>48.209842682000001</v>
      </c>
      <c r="G1705">
        <v>1339.8076172000001</v>
      </c>
      <c r="H1705">
        <v>1337.2391356999999</v>
      </c>
      <c r="I1705">
        <v>1326.9337158000001</v>
      </c>
      <c r="J1705">
        <v>1325.1428223</v>
      </c>
      <c r="K1705">
        <v>2400</v>
      </c>
      <c r="L1705">
        <v>0</v>
      </c>
      <c r="M1705">
        <v>0</v>
      </c>
      <c r="N1705">
        <v>2400</v>
      </c>
    </row>
    <row r="1706" spans="1:14" x14ac:dyDescent="0.25">
      <c r="A1706">
        <v>1134.7306209999999</v>
      </c>
      <c r="B1706" s="1">
        <f>DATE(2013,6,8) + TIME(17,32,5)</f>
        <v>41433.730613425927</v>
      </c>
      <c r="C1706">
        <v>80</v>
      </c>
      <c r="D1706">
        <v>79.978294372999997</v>
      </c>
      <c r="E1706">
        <v>50</v>
      </c>
      <c r="F1706">
        <v>48.183094025000003</v>
      </c>
      <c r="G1706">
        <v>1339.8023682</v>
      </c>
      <c r="H1706">
        <v>1337.2359618999999</v>
      </c>
      <c r="I1706">
        <v>1326.9293213000001</v>
      </c>
      <c r="J1706">
        <v>1325.1357422000001</v>
      </c>
      <c r="K1706">
        <v>2400</v>
      </c>
      <c r="L1706">
        <v>0</v>
      </c>
      <c r="M1706">
        <v>0</v>
      </c>
      <c r="N1706">
        <v>2400</v>
      </c>
    </row>
    <row r="1707" spans="1:14" x14ac:dyDescent="0.25">
      <c r="A1707">
        <v>1135.4818330000001</v>
      </c>
      <c r="B1707" s="1">
        <f>DATE(2013,6,9) + TIME(11,33,50)</f>
        <v>41434.481828703705</v>
      </c>
      <c r="C1707">
        <v>80</v>
      </c>
      <c r="D1707">
        <v>79.978286742999998</v>
      </c>
      <c r="E1707">
        <v>50</v>
      </c>
      <c r="F1707">
        <v>48.156261444000002</v>
      </c>
      <c r="G1707">
        <v>1339.7972411999999</v>
      </c>
      <c r="H1707">
        <v>1337.2327881000001</v>
      </c>
      <c r="I1707">
        <v>1326.9249268000001</v>
      </c>
      <c r="J1707">
        <v>1325.1286620999999</v>
      </c>
      <c r="K1707">
        <v>2400</v>
      </c>
      <c r="L1707">
        <v>0</v>
      </c>
      <c r="M1707">
        <v>0</v>
      </c>
      <c r="N1707">
        <v>2400</v>
      </c>
    </row>
    <row r="1708" spans="1:14" x14ac:dyDescent="0.25">
      <c r="A1708">
        <v>1136.245512</v>
      </c>
      <c r="B1708" s="1">
        <f>DATE(2013,6,10) + TIME(5,53,32)</f>
        <v>41435.245509259257</v>
      </c>
      <c r="C1708">
        <v>80</v>
      </c>
      <c r="D1708">
        <v>79.978279114000003</v>
      </c>
      <c r="E1708">
        <v>50</v>
      </c>
      <c r="F1708">
        <v>48.129291533999996</v>
      </c>
      <c r="G1708">
        <v>1339.7921143000001</v>
      </c>
      <c r="H1708">
        <v>1337.2296143000001</v>
      </c>
      <c r="I1708">
        <v>1326.9202881000001</v>
      </c>
      <c r="J1708">
        <v>1325.1213379000001</v>
      </c>
      <c r="K1708">
        <v>2400</v>
      </c>
      <c r="L1708">
        <v>0</v>
      </c>
      <c r="M1708">
        <v>0</v>
      </c>
      <c r="N1708">
        <v>2400</v>
      </c>
    </row>
    <row r="1709" spans="1:14" x14ac:dyDescent="0.25">
      <c r="A1709">
        <v>1137.022516</v>
      </c>
      <c r="B1709" s="1">
        <f>DATE(2013,6,11) + TIME(0,32,25)</f>
        <v>41436.022511574076</v>
      </c>
      <c r="C1709">
        <v>80</v>
      </c>
      <c r="D1709">
        <v>79.978279114000003</v>
      </c>
      <c r="E1709">
        <v>50</v>
      </c>
      <c r="F1709">
        <v>48.102142334</v>
      </c>
      <c r="G1709">
        <v>1339.7868652</v>
      </c>
      <c r="H1709">
        <v>1337.2264404</v>
      </c>
      <c r="I1709">
        <v>1326.9155272999999</v>
      </c>
      <c r="J1709">
        <v>1325.1137695</v>
      </c>
      <c r="K1709">
        <v>2400</v>
      </c>
      <c r="L1709">
        <v>0</v>
      </c>
      <c r="M1709">
        <v>0</v>
      </c>
      <c r="N1709">
        <v>2400</v>
      </c>
    </row>
    <row r="1710" spans="1:14" x14ac:dyDescent="0.25">
      <c r="A1710">
        <v>1137.8102739999999</v>
      </c>
      <c r="B1710" s="1">
        <f>DATE(2013,6,11) + TIME(19,26,47)</f>
        <v>41436.810266203705</v>
      </c>
      <c r="C1710">
        <v>80</v>
      </c>
      <c r="D1710">
        <v>79.978271484000004</v>
      </c>
      <c r="E1710">
        <v>50</v>
      </c>
      <c r="F1710">
        <v>48.074859619000001</v>
      </c>
      <c r="G1710">
        <v>1339.7816161999999</v>
      </c>
      <c r="H1710">
        <v>1337.2232666</v>
      </c>
      <c r="I1710">
        <v>1326.9106445</v>
      </c>
      <c r="J1710">
        <v>1325.105957</v>
      </c>
      <c r="K1710">
        <v>2400</v>
      </c>
      <c r="L1710">
        <v>0</v>
      </c>
      <c r="M1710">
        <v>0</v>
      </c>
      <c r="N1710">
        <v>2400</v>
      </c>
    </row>
    <row r="1711" spans="1:14" x14ac:dyDescent="0.25">
      <c r="A1711">
        <v>1138.6109389999999</v>
      </c>
      <c r="B1711" s="1">
        <f>DATE(2013,6,12) + TIME(14,39,45)</f>
        <v>41437.610937500001</v>
      </c>
      <c r="C1711">
        <v>80</v>
      </c>
      <c r="D1711">
        <v>79.978263854999994</v>
      </c>
      <c r="E1711">
        <v>50</v>
      </c>
      <c r="F1711">
        <v>48.047420502000001</v>
      </c>
      <c r="G1711">
        <v>1339.7764893000001</v>
      </c>
      <c r="H1711">
        <v>1337.2200928</v>
      </c>
      <c r="I1711">
        <v>1326.9056396000001</v>
      </c>
      <c r="J1711">
        <v>1325.0980225000001</v>
      </c>
      <c r="K1711">
        <v>2400</v>
      </c>
      <c r="L1711">
        <v>0</v>
      </c>
      <c r="M1711">
        <v>0</v>
      </c>
      <c r="N1711">
        <v>2400</v>
      </c>
    </row>
    <row r="1712" spans="1:14" x14ac:dyDescent="0.25">
      <c r="A1712">
        <v>1139.4266700000001</v>
      </c>
      <c r="B1712" s="1">
        <f>DATE(2013,6,13) + TIME(10,14,24)</f>
        <v>41438.426666666666</v>
      </c>
      <c r="C1712">
        <v>80</v>
      </c>
      <c r="D1712">
        <v>79.978256225999999</v>
      </c>
      <c r="E1712">
        <v>50</v>
      </c>
      <c r="F1712">
        <v>48.019790649000001</v>
      </c>
      <c r="G1712">
        <v>1339.7712402</v>
      </c>
      <c r="H1712">
        <v>1337.2169189000001</v>
      </c>
      <c r="I1712">
        <v>1326.9003906</v>
      </c>
      <c r="J1712">
        <v>1325.0897216999999</v>
      </c>
      <c r="K1712">
        <v>2400</v>
      </c>
      <c r="L1712">
        <v>0</v>
      </c>
      <c r="M1712">
        <v>0</v>
      </c>
      <c r="N1712">
        <v>2400</v>
      </c>
    </row>
    <row r="1713" spans="1:14" x14ac:dyDescent="0.25">
      <c r="A1713">
        <v>1140.2597860000001</v>
      </c>
      <c r="B1713" s="1">
        <f>DATE(2013,6,14) + TIME(6,14,5)</f>
        <v>41439.259780092594</v>
      </c>
      <c r="C1713">
        <v>80</v>
      </c>
      <c r="D1713">
        <v>79.978256225999999</v>
      </c>
      <c r="E1713">
        <v>50</v>
      </c>
      <c r="F1713">
        <v>47.991920471</v>
      </c>
      <c r="G1713">
        <v>1339.7659911999999</v>
      </c>
      <c r="H1713">
        <v>1337.2137451000001</v>
      </c>
      <c r="I1713">
        <v>1326.8951416</v>
      </c>
      <c r="J1713">
        <v>1325.0812988</v>
      </c>
      <c r="K1713">
        <v>2400</v>
      </c>
      <c r="L1713">
        <v>0</v>
      </c>
      <c r="M1713">
        <v>0</v>
      </c>
      <c r="N1713">
        <v>2400</v>
      </c>
    </row>
    <row r="1714" spans="1:14" x14ac:dyDescent="0.25">
      <c r="A1714">
        <v>1141.112938</v>
      </c>
      <c r="B1714" s="1">
        <f>DATE(2013,6,15) + TIME(2,42,37)</f>
        <v>41440.112928240742</v>
      </c>
      <c r="C1714">
        <v>80</v>
      </c>
      <c r="D1714">
        <v>79.978248596</v>
      </c>
      <c r="E1714">
        <v>50</v>
      </c>
      <c r="F1714">
        <v>47.963764191000003</v>
      </c>
      <c r="G1714">
        <v>1339.7607422000001</v>
      </c>
      <c r="H1714">
        <v>1337.2104492000001</v>
      </c>
      <c r="I1714">
        <v>1326.8896483999999</v>
      </c>
      <c r="J1714">
        <v>1325.0725098</v>
      </c>
      <c r="K1714">
        <v>2400</v>
      </c>
      <c r="L1714">
        <v>0</v>
      </c>
      <c r="M1714">
        <v>0</v>
      </c>
      <c r="N1714">
        <v>2400</v>
      </c>
    </row>
    <row r="1715" spans="1:14" x14ac:dyDescent="0.25">
      <c r="A1715">
        <v>1141.9722730000001</v>
      </c>
      <c r="B1715" s="1">
        <f>DATE(2013,6,15) + TIME(23,20,4)</f>
        <v>41440.972268518519</v>
      </c>
      <c r="C1715">
        <v>80</v>
      </c>
      <c r="D1715">
        <v>79.978240967000005</v>
      </c>
      <c r="E1715">
        <v>50</v>
      </c>
      <c r="F1715">
        <v>47.935527802000003</v>
      </c>
      <c r="G1715">
        <v>1339.7554932</v>
      </c>
      <c r="H1715">
        <v>1337.2072754000001</v>
      </c>
      <c r="I1715">
        <v>1326.8839111</v>
      </c>
      <c r="J1715">
        <v>1325.0634766000001</v>
      </c>
      <c r="K1715">
        <v>2400</v>
      </c>
      <c r="L1715">
        <v>0</v>
      </c>
      <c r="M1715">
        <v>0</v>
      </c>
      <c r="N1715">
        <v>2400</v>
      </c>
    </row>
    <row r="1716" spans="1:14" x14ac:dyDescent="0.25">
      <c r="A1716">
        <v>1142.835763</v>
      </c>
      <c r="B1716" s="1">
        <f>DATE(2013,6,16) + TIME(20,3,29)</f>
        <v>41441.835752314815</v>
      </c>
      <c r="C1716">
        <v>80</v>
      </c>
      <c r="D1716">
        <v>79.978240967000005</v>
      </c>
      <c r="E1716">
        <v>50</v>
      </c>
      <c r="F1716">
        <v>47.907360077</v>
      </c>
      <c r="G1716">
        <v>1339.7501221</v>
      </c>
      <c r="H1716">
        <v>1337.2039795000001</v>
      </c>
      <c r="I1716">
        <v>1326.8781738</v>
      </c>
      <c r="J1716">
        <v>1325.0543213000001</v>
      </c>
      <c r="K1716">
        <v>2400</v>
      </c>
      <c r="L1716">
        <v>0</v>
      </c>
      <c r="M1716">
        <v>0</v>
      </c>
      <c r="N1716">
        <v>2400</v>
      </c>
    </row>
    <row r="1717" spans="1:14" x14ac:dyDescent="0.25">
      <c r="A1717">
        <v>1143.7059039999999</v>
      </c>
      <c r="B1717" s="1">
        <f>DATE(2013,6,17) + TIME(16,56,30)</f>
        <v>41442.70590277778</v>
      </c>
      <c r="C1717">
        <v>80</v>
      </c>
      <c r="D1717">
        <v>79.978233337000006</v>
      </c>
      <c r="E1717">
        <v>50</v>
      </c>
      <c r="F1717">
        <v>47.879295349000003</v>
      </c>
      <c r="G1717">
        <v>1339.7448730000001</v>
      </c>
      <c r="H1717">
        <v>1337.2008057</v>
      </c>
      <c r="I1717">
        <v>1326.8721923999999</v>
      </c>
      <c r="J1717">
        <v>1325.0449219</v>
      </c>
      <c r="K1717">
        <v>2400</v>
      </c>
      <c r="L1717">
        <v>0</v>
      </c>
      <c r="M1717">
        <v>0</v>
      </c>
      <c r="N1717">
        <v>2400</v>
      </c>
    </row>
    <row r="1718" spans="1:14" x14ac:dyDescent="0.25">
      <c r="A1718">
        <v>1144.5851909999999</v>
      </c>
      <c r="B1718" s="1">
        <f>DATE(2013,6,18) + TIME(14,2,40)</f>
        <v>41443.585185185184</v>
      </c>
      <c r="C1718">
        <v>80</v>
      </c>
      <c r="D1718">
        <v>79.978225707999997</v>
      </c>
      <c r="E1718">
        <v>50</v>
      </c>
      <c r="F1718">
        <v>47.851329802999999</v>
      </c>
      <c r="G1718">
        <v>1339.7397461</v>
      </c>
      <c r="H1718">
        <v>1337.1976318</v>
      </c>
      <c r="I1718">
        <v>1326.8662108999999</v>
      </c>
      <c r="J1718">
        <v>1325.0352783000001</v>
      </c>
      <c r="K1718">
        <v>2400</v>
      </c>
      <c r="L1718">
        <v>0</v>
      </c>
      <c r="M1718">
        <v>0</v>
      </c>
      <c r="N1718">
        <v>2400</v>
      </c>
    </row>
    <row r="1719" spans="1:14" x14ac:dyDescent="0.25">
      <c r="A1719">
        <v>1145.4761880000001</v>
      </c>
      <c r="B1719" s="1">
        <f>DATE(2013,6,19) + TIME(11,25,42)</f>
        <v>41444.476180555554</v>
      </c>
      <c r="C1719">
        <v>80</v>
      </c>
      <c r="D1719">
        <v>79.978225707999997</v>
      </c>
      <c r="E1719">
        <v>50</v>
      </c>
      <c r="F1719">
        <v>47.823425293</v>
      </c>
      <c r="G1719">
        <v>1339.7344971</v>
      </c>
      <c r="H1719">
        <v>1337.1944579999999</v>
      </c>
      <c r="I1719">
        <v>1326.8601074000001</v>
      </c>
      <c r="J1719">
        <v>1325.0255127</v>
      </c>
      <c r="K1719">
        <v>2400</v>
      </c>
      <c r="L1719">
        <v>0</v>
      </c>
      <c r="M1719">
        <v>0</v>
      </c>
      <c r="N1719">
        <v>2400</v>
      </c>
    </row>
    <row r="1720" spans="1:14" x14ac:dyDescent="0.25">
      <c r="A1720">
        <v>1146.38158</v>
      </c>
      <c r="B1720" s="1">
        <f>DATE(2013,6,20) + TIME(9,9,28)</f>
        <v>41445.381574074076</v>
      </c>
      <c r="C1720">
        <v>80</v>
      </c>
      <c r="D1720">
        <v>79.978218079000001</v>
      </c>
      <c r="E1720">
        <v>50</v>
      </c>
      <c r="F1720">
        <v>47.795532227000002</v>
      </c>
      <c r="G1720">
        <v>1339.7293701000001</v>
      </c>
      <c r="H1720">
        <v>1337.1912841999999</v>
      </c>
      <c r="I1720">
        <v>1326.8537598</v>
      </c>
      <c r="J1720">
        <v>1325.0155029</v>
      </c>
      <c r="K1720">
        <v>2400</v>
      </c>
      <c r="L1720">
        <v>0</v>
      </c>
      <c r="M1720">
        <v>0</v>
      </c>
      <c r="N1720">
        <v>2400</v>
      </c>
    </row>
    <row r="1721" spans="1:14" x14ac:dyDescent="0.25">
      <c r="A1721">
        <v>1147.3041900000001</v>
      </c>
      <c r="B1721" s="1">
        <f>DATE(2013,6,21) + TIME(7,18,2)</f>
        <v>41446.304189814815</v>
      </c>
      <c r="C1721">
        <v>80</v>
      </c>
      <c r="D1721">
        <v>79.978218079000001</v>
      </c>
      <c r="E1721">
        <v>50</v>
      </c>
      <c r="F1721">
        <v>47.767604828000003</v>
      </c>
      <c r="G1721">
        <v>1339.7241211</v>
      </c>
      <c r="H1721">
        <v>1337.1881103999999</v>
      </c>
      <c r="I1721">
        <v>1326.8472899999999</v>
      </c>
      <c r="J1721">
        <v>1325.0051269999999</v>
      </c>
      <c r="K1721">
        <v>2400</v>
      </c>
      <c r="L1721">
        <v>0</v>
      </c>
      <c r="M1721">
        <v>0</v>
      </c>
      <c r="N1721">
        <v>2400</v>
      </c>
    </row>
    <row r="1722" spans="1:14" x14ac:dyDescent="0.25">
      <c r="A1722">
        <v>1148.247055</v>
      </c>
      <c r="B1722" s="1">
        <f>DATE(2013,6,22) + TIME(5,55,45)</f>
        <v>41447.247048611112</v>
      </c>
      <c r="C1722">
        <v>80</v>
      </c>
      <c r="D1722">
        <v>79.978210449000002</v>
      </c>
      <c r="E1722">
        <v>50</v>
      </c>
      <c r="F1722">
        <v>47.739597320999998</v>
      </c>
      <c r="G1722">
        <v>1339.7189940999999</v>
      </c>
      <c r="H1722">
        <v>1337.1849365</v>
      </c>
      <c r="I1722">
        <v>1326.8406981999999</v>
      </c>
      <c r="J1722">
        <v>1324.9946289</v>
      </c>
      <c r="K1722">
        <v>2400</v>
      </c>
      <c r="L1722">
        <v>0</v>
      </c>
      <c r="M1722">
        <v>0</v>
      </c>
      <c r="N1722">
        <v>2400</v>
      </c>
    </row>
    <row r="1723" spans="1:14" x14ac:dyDescent="0.25">
      <c r="A1723">
        <v>1149.2027430000001</v>
      </c>
      <c r="B1723" s="1">
        <f>DATE(2013,6,23) + TIME(4,51,56)</f>
        <v>41448.202731481484</v>
      </c>
      <c r="C1723">
        <v>80</v>
      </c>
      <c r="D1723">
        <v>79.978210449000002</v>
      </c>
      <c r="E1723">
        <v>50</v>
      </c>
      <c r="F1723">
        <v>47.711597443000002</v>
      </c>
      <c r="G1723">
        <v>1339.7137451000001</v>
      </c>
      <c r="H1723">
        <v>1337.1817627</v>
      </c>
      <c r="I1723">
        <v>1326.8338623</v>
      </c>
      <c r="J1723">
        <v>1324.9836425999999</v>
      </c>
      <c r="K1723">
        <v>2400</v>
      </c>
      <c r="L1723">
        <v>0</v>
      </c>
      <c r="M1723">
        <v>0</v>
      </c>
      <c r="N1723">
        <v>2400</v>
      </c>
    </row>
    <row r="1724" spans="1:14" x14ac:dyDescent="0.25">
      <c r="A1724">
        <v>1150.170721</v>
      </c>
      <c r="B1724" s="1">
        <f>DATE(2013,6,24) + TIME(4,5,50)</f>
        <v>41449.170717592591</v>
      </c>
      <c r="C1724">
        <v>80</v>
      </c>
      <c r="D1724">
        <v>79.978202820000007</v>
      </c>
      <c r="E1724">
        <v>50</v>
      </c>
      <c r="F1724">
        <v>47.683692932</v>
      </c>
      <c r="G1724">
        <v>1339.7084961</v>
      </c>
      <c r="H1724">
        <v>1337.1785889</v>
      </c>
      <c r="I1724">
        <v>1326.8269043</v>
      </c>
      <c r="J1724">
        <v>1324.9725341999999</v>
      </c>
      <c r="K1724">
        <v>2400</v>
      </c>
      <c r="L1724">
        <v>0</v>
      </c>
      <c r="M1724">
        <v>0</v>
      </c>
      <c r="N1724">
        <v>2400</v>
      </c>
    </row>
    <row r="1725" spans="1:14" x14ac:dyDescent="0.25">
      <c r="A1725">
        <v>1151.153904</v>
      </c>
      <c r="B1725" s="1">
        <f>DATE(2013,6,25) + TIME(3,41,37)</f>
        <v>41450.153900462959</v>
      </c>
      <c r="C1725">
        <v>80</v>
      </c>
      <c r="D1725">
        <v>79.978202820000007</v>
      </c>
      <c r="E1725">
        <v>50</v>
      </c>
      <c r="F1725">
        <v>47.655906676999997</v>
      </c>
      <c r="G1725">
        <v>1339.7032471</v>
      </c>
      <c r="H1725">
        <v>1337.175293</v>
      </c>
      <c r="I1725">
        <v>1326.8198242000001</v>
      </c>
      <c r="J1725">
        <v>1324.9610596</v>
      </c>
      <c r="K1725">
        <v>2400</v>
      </c>
      <c r="L1725">
        <v>0</v>
      </c>
      <c r="M1725">
        <v>0</v>
      </c>
      <c r="N1725">
        <v>2400</v>
      </c>
    </row>
    <row r="1726" spans="1:14" x14ac:dyDescent="0.25">
      <c r="A1726">
        <v>1152.155139</v>
      </c>
      <c r="B1726" s="1">
        <f>DATE(2013,6,26) + TIME(3,43,24)</f>
        <v>41451.155138888891</v>
      </c>
      <c r="C1726">
        <v>80</v>
      </c>
      <c r="D1726">
        <v>79.978195189999994</v>
      </c>
      <c r="E1726">
        <v>50</v>
      </c>
      <c r="F1726">
        <v>47.628227234000001</v>
      </c>
      <c r="G1726">
        <v>1339.6979980000001</v>
      </c>
      <c r="H1726">
        <v>1337.1721190999999</v>
      </c>
      <c r="I1726">
        <v>1326.8125</v>
      </c>
      <c r="J1726">
        <v>1324.9493408000001</v>
      </c>
      <c r="K1726">
        <v>2400</v>
      </c>
      <c r="L1726">
        <v>0</v>
      </c>
      <c r="M1726">
        <v>0</v>
      </c>
      <c r="N1726">
        <v>2400</v>
      </c>
    </row>
    <row r="1727" spans="1:14" x14ac:dyDescent="0.25">
      <c r="A1727">
        <v>1153.170243</v>
      </c>
      <c r="B1727" s="1">
        <f>DATE(2013,6,27) + TIME(4,5,8)</f>
        <v>41452.170231481483</v>
      </c>
      <c r="C1727">
        <v>80</v>
      </c>
      <c r="D1727">
        <v>79.978195189999994</v>
      </c>
      <c r="E1727">
        <v>50</v>
      </c>
      <c r="F1727">
        <v>47.600738524999997</v>
      </c>
      <c r="G1727">
        <v>1339.6926269999999</v>
      </c>
      <c r="H1727">
        <v>1337.1688231999999</v>
      </c>
      <c r="I1727">
        <v>1326.8049315999999</v>
      </c>
      <c r="J1727">
        <v>1324.9373779</v>
      </c>
      <c r="K1727">
        <v>2400</v>
      </c>
      <c r="L1727">
        <v>0</v>
      </c>
      <c r="M1727">
        <v>0</v>
      </c>
      <c r="N1727">
        <v>2400</v>
      </c>
    </row>
    <row r="1728" spans="1:14" x14ac:dyDescent="0.25">
      <c r="A1728">
        <v>1154.194616</v>
      </c>
      <c r="B1728" s="1">
        <f>DATE(2013,6,28) + TIME(4,40,14)</f>
        <v>41453.194606481484</v>
      </c>
      <c r="C1728">
        <v>80</v>
      </c>
      <c r="D1728">
        <v>79.978187560999999</v>
      </c>
      <c r="E1728">
        <v>50</v>
      </c>
      <c r="F1728">
        <v>47.573558806999998</v>
      </c>
      <c r="G1728">
        <v>1339.6873779</v>
      </c>
      <c r="H1728">
        <v>1337.1656493999999</v>
      </c>
      <c r="I1728">
        <v>1326.7973632999999</v>
      </c>
      <c r="J1728">
        <v>1324.9250488</v>
      </c>
      <c r="K1728">
        <v>2400</v>
      </c>
      <c r="L1728">
        <v>0</v>
      </c>
      <c r="M1728">
        <v>0</v>
      </c>
      <c r="N1728">
        <v>2400</v>
      </c>
    </row>
    <row r="1729" spans="1:14" x14ac:dyDescent="0.25">
      <c r="A1729">
        <v>1155.2280189999999</v>
      </c>
      <c r="B1729" s="1">
        <f>DATE(2013,6,29) + TIME(5,28,20)</f>
        <v>41454.228009259263</v>
      </c>
      <c r="C1729">
        <v>80</v>
      </c>
      <c r="D1729">
        <v>79.978187560999999</v>
      </c>
      <c r="E1729">
        <v>50</v>
      </c>
      <c r="F1729">
        <v>47.546791077000002</v>
      </c>
      <c r="G1729">
        <v>1339.6821289</v>
      </c>
      <c r="H1729">
        <v>1337.1623535000001</v>
      </c>
      <c r="I1729">
        <v>1326.7895507999999</v>
      </c>
      <c r="J1729">
        <v>1324.9125977000001</v>
      </c>
      <c r="K1729">
        <v>2400</v>
      </c>
      <c r="L1729">
        <v>0</v>
      </c>
      <c r="M1729">
        <v>0</v>
      </c>
      <c r="N1729">
        <v>2400</v>
      </c>
    </row>
    <row r="1730" spans="1:14" x14ac:dyDescent="0.25">
      <c r="A1730">
        <v>1156.2736930000001</v>
      </c>
      <c r="B1730" s="1">
        <f>DATE(2013,6,30) + TIME(6,34,7)</f>
        <v>41455.273692129631</v>
      </c>
      <c r="C1730">
        <v>80</v>
      </c>
      <c r="D1730">
        <v>79.978187560999999</v>
      </c>
      <c r="E1730">
        <v>50</v>
      </c>
      <c r="F1730">
        <v>47.520469665999997</v>
      </c>
      <c r="G1730">
        <v>1339.6768798999999</v>
      </c>
      <c r="H1730">
        <v>1337.1591797000001</v>
      </c>
      <c r="I1730">
        <v>1326.7816161999999</v>
      </c>
      <c r="J1730">
        <v>1324.8997803</v>
      </c>
      <c r="K1730">
        <v>2400</v>
      </c>
      <c r="L1730">
        <v>0</v>
      </c>
      <c r="M1730">
        <v>0</v>
      </c>
      <c r="N1730">
        <v>2400</v>
      </c>
    </row>
    <row r="1731" spans="1:14" x14ac:dyDescent="0.25">
      <c r="A1731">
        <v>1157</v>
      </c>
      <c r="B1731" s="1">
        <f>DATE(2013,7,1) + TIME(0,0,0)</f>
        <v>41456</v>
      </c>
      <c r="C1731">
        <v>80</v>
      </c>
      <c r="D1731">
        <v>79.978179932000003</v>
      </c>
      <c r="E1731">
        <v>50</v>
      </c>
      <c r="F1731">
        <v>47.498992919999999</v>
      </c>
      <c r="G1731">
        <v>1339.671875</v>
      </c>
      <c r="H1731">
        <v>1337.1561279</v>
      </c>
      <c r="I1731">
        <v>1326.7738036999999</v>
      </c>
      <c r="J1731">
        <v>1324.8873291</v>
      </c>
      <c r="K1731">
        <v>2400</v>
      </c>
      <c r="L1731">
        <v>0</v>
      </c>
      <c r="M1731">
        <v>0</v>
      </c>
      <c r="N1731">
        <v>2400</v>
      </c>
    </row>
    <row r="1732" spans="1:14" x14ac:dyDescent="0.25">
      <c r="A1732">
        <v>1158.058581</v>
      </c>
      <c r="B1732" s="1">
        <f>DATE(2013,7,2) + TIME(1,24,21)</f>
        <v>41457.058576388888</v>
      </c>
      <c r="C1732">
        <v>80</v>
      </c>
      <c r="D1732">
        <v>79.978179932000003</v>
      </c>
      <c r="E1732">
        <v>50</v>
      </c>
      <c r="F1732">
        <v>47.475673676</v>
      </c>
      <c r="G1732">
        <v>1339.6679687999999</v>
      </c>
      <c r="H1732">
        <v>1337.1535644999999</v>
      </c>
      <c r="I1732">
        <v>1326.7673339999999</v>
      </c>
      <c r="J1732">
        <v>1324.8769531</v>
      </c>
      <c r="K1732">
        <v>2400</v>
      </c>
      <c r="L1732">
        <v>0</v>
      </c>
      <c r="M1732">
        <v>0</v>
      </c>
      <c r="N1732">
        <v>2400</v>
      </c>
    </row>
    <row r="1733" spans="1:14" x14ac:dyDescent="0.25">
      <c r="A1733">
        <v>1159.135158</v>
      </c>
      <c r="B1733" s="1">
        <f>DATE(2013,7,3) + TIME(3,14,37)</f>
        <v>41458.135150462964</v>
      </c>
      <c r="C1733">
        <v>80</v>
      </c>
      <c r="D1733">
        <v>79.978179932000003</v>
      </c>
      <c r="E1733">
        <v>50</v>
      </c>
      <c r="F1733">
        <v>47.451786040999998</v>
      </c>
      <c r="G1733">
        <v>1339.6628418</v>
      </c>
      <c r="H1733">
        <v>1337.1505127</v>
      </c>
      <c r="I1733">
        <v>1326.7593993999999</v>
      </c>
      <c r="J1733">
        <v>1324.8640137</v>
      </c>
      <c r="K1733">
        <v>2400</v>
      </c>
      <c r="L1733">
        <v>0</v>
      </c>
      <c r="M1733">
        <v>0</v>
      </c>
      <c r="N1733">
        <v>2400</v>
      </c>
    </row>
    <row r="1734" spans="1:14" x14ac:dyDescent="0.25">
      <c r="A1734">
        <v>1160.2263479999999</v>
      </c>
      <c r="B1734" s="1">
        <f>DATE(2013,7,4) + TIME(5,25,56)</f>
        <v>41459.226342592592</v>
      </c>
      <c r="C1734">
        <v>80</v>
      </c>
      <c r="D1734">
        <v>79.978179932000003</v>
      </c>
      <c r="E1734">
        <v>50</v>
      </c>
      <c r="F1734">
        <v>47.427989959999998</v>
      </c>
      <c r="G1734">
        <v>1339.6577147999999</v>
      </c>
      <c r="H1734">
        <v>1337.1473389</v>
      </c>
      <c r="I1734">
        <v>1326.7510986</v>
      </c>
      <c r="J1734">
        <v>1324.8505858999999</v>
      </c>
      <c r="K1734">
        <v>2400</v>
      </c>
      <c r="L1734">
        <v>0</v>
      </c>
      <c r="M1734">
        <v>0</v>
      </c>
      <c r="N1734">
        <v>2400</v>
      </c>
    </row>
    <row r="1735" spans="1:14" x14ac:dyDescent="0.25">
      <c r="A1735">
        <v>1161.335599</v>
      </c>
      <c r="B1735" s="1">
        <f>DATE(2013,7,5) + TIME(8,3,15)</f>
        <v>41460.335590277777</v>
      </c>
      <c r="C1735">
        <v>80</v>
      </c>
      <c r="D1735">
        <v>79.978172302000004</v>
      </c>
      <c r="E1735">
        <v>50</v>
      </c>
      <c r="F1735">
        <v>47.404617309999999</v>
      </c>
      <c r="G1735">
        <v>1339.6524658000001</v>
      </c>
      <c r="H1735">
        <v>1337.144043</v>
      </c>
      <c r="I1735">
        <v>1326.7425536999999</v>
      </c>
      <c r="J1735">
        <v>1324.8367920000001</v>
      </c>
      <c r="K1735">
        <v>2400</v>
      </c>
      <c r="L1735">
        <v>0</v>
      </c>
      <c r="M1735">
        <v>0</v>
      </c>
      <c r="N1735">
        <v>2400</v>
      </c>
    </row>
    <row r="1736" spans="1:14" x14ac:dyDescent="0.25">
      <c r="A1736">
        <v>1162.4664250000001</v>
      </c>
      <c r="B1736" s="1">
        <f>DATE(2013,7,6) + TIME(11,11,39)</f>
        <v>41461.466423611113</v>
      </c>
      <c r="C1736">
        <v>80</v>
      </c>
      <c r="D1736">
        <v>79.978172302000004</v>
      </c>
      <c r="E1736">
        <v>50</v>
      </c>
      <c r="F1736">
        <v>47.381820679</v>
      </c>
      <c r="G1736">
        <v>1339.6472168</v>
      </c>
      <c r="H1736">
        <v>1337.1408690999999</v>
      </c>
      <c r="I1736">
        <v>1326.7337646000001</v>
      </c>
      <c r="J1736">
        <v>1324.8226318</v>
      </c>
      <c r="K1736">
        <v>2400</v>
      </c>
      <c r="L1736">
        <v>0</v>
      </c>
      <c r="M1736">
        <v>0</v>
      </c>
      <c r="N1736">
        <v>2400</v>
      </c>
    </row>
    <row r="1737" spans="1:14" x14ac:dyDescent="0.25">
      <c r="A1737">
        <v>1163.622611</v>
      </c>
      <c r="B1737" s="1">
        <f>DATE(2013,7,7) + TIME(14,56,33)</f>
        <v>41462.622604166667</v>
      </c>
      <c r="C1737">
        <v>80</v>
      </c>
      <c r="D1737">
        <v>79.978172302000004</v>
      </c>
      <c r="E1737">
        <v>50</v>
      </c>
      <c r="F1737">
        <v>47.359710692999997</v>
      </c>
      <c r="G1737">
        <v>1339.6419678</v>
      </c>
      <c r="H1737">
        <v>1337.1375731999999</v>
      </c>
      <c r="I1737">
        <v>1326.7248535000001</v>
      </c>
      <c r="J1737">
        <v>1324.8081055</v>
      </c>
      <c r="K1737">
        <v>2400</v>
      </c>
      <c r="L1737">
        <v>0</v>
      </c>
      <c r="M1737">
        <v>0</v>
      </c>
      <c r="N1737">
        <v>2400</v>
      </c>
    </row>
    <row r="1738" spans="1:14" x14ac:dyDescent="0.25">
      <c r="A1738">
        <v>1164.7991609999999</v>
      </c>
      <c r="B1738" s="1">
        <f>DATE(2013,7,8) + TIME(19,10,47)</f>
        <v>41463.799155092594</v>
      </c>
      <c r="C1738">
        <v>80</v>
      </c>
      <c r="D1738">
        <v>79.978172302000004</v>
      </c>
      <c r="E1738">
        <v>50</v>
      </c>
      <c r="F1738">
        <v>47.338432312000002</v>
      </c>
      <c r="G1738">
        <v>1339.6367187999999</v>
      </c>
      <c r="H1738">
        <v>1337.1342772999999</v>
      </c>
      <c r="I1738">
        <v>1326.7156981999999</v>
      </c>
      <c r="J1738">
        <v>1324.7930908000001</v>
      </c>
      <c r="K1738">
        <v>2400</v>
      </c>
      <c r="L1738">
        <v>0</v>
      </c>
      <c r="M1738">
        <v>0</v>
      </c>
      <c r="N1738">
        <v>2400</v>
      </c>
    </row>
    <row r="1739" spans="1:14" x14ac:dyDescent="0.25">
      <c r="A1739">
        <v>1165.985224</v>
      </c>
      <c r="B1739" s="1">
        <f>DATE(2013,7,9) + TIME(23,38,43)</f>
        <v>41464.985219907408</v>
      </c>
      <c r="C1739">
        <v>80</v>
      </c>
      <c r="D1739">
        <v>79.978172302000004</v>
      </c>
      <c r="E1739">
        <v>50</v>
      </c>
      <c r="F1739">
        <v>47.318229674999998</v>
      </c>
      <c r="G1739">
        <v>1339.6314697</v>
      </c>
      <c r="H1739">
        <v>1337.1309814000001</v>
      </c>
      <c r="I1739">
        <v>1326.7062988</v>
      </c>
      <c r="J1739">
        <v>1324.777832</v>
      </c>
      <c r="K1739">
        <v>2400</v>
      </c>
      <c r="L1739">
        <v>0</v>
      </c>
      <c r="M1739">
        <v>0</v>
      </c>
      <c r="N1739">
        <v>2400</v>
      </c>
    </row>
    <row r="1740" spans="1:14" x14ac:dyDescent="0.25">
      <c r="A1740">
        <v>1167.1846210000001</v>
      </c>
      <c r="B1740" s="1">
        <f>DATE(2013,7,11) + TIME(4,25,51)</f>
        <v>41466.184618055559</v>
      </c>
      <c r="C1740">
        <v>80</v>
      </c>
      <c r="D1740">
        <v>79.978172302000004</v>
      </c>
      <c r="E1740">
        <v>50</v>
      </c>
      <c r="F1740">
        <v>47.299270630000002</v>
      </c>
      <c r="G1740">
        <v>1339.6260986</v>
      </c>
      <c r="H1740">
        <v>1337.1276855000001</v>
      </c>
      <c r="I1740">
        <v>1326.6967772999999</v>
      </c>
      <c r="J1740">
        <v>1324.7623291</v>
      </c>
      <c r="K1740">
        <v>2400</v>
      </c>
      <c r="L1740">
        <v>0</v>
      </c>
      <c r="M1740">
        <v>0</v>
      </c>
      <c r="N1740">
        <v>2400</v>
      </c>
    </row>
    <row r="1741" spans="1:14" x14ac:dyDescent="0.25">
      <c r="A1741">
        <v>1168.393037</v>
      </c>
      <c r="B1741" s="1">
        <f>DATE(2013,7,12) + TIME(9,25,58)</f>
        <v>41467.39303240741</v>
      </c>
      <c r="C1741">
        <v>80</v>
      </c>
      <c r="D1741">
        <v>79.978172302000004</v>
      </c>
      <c r="E1741">
        <v>50</v>
      </c>
      <c r="F1741">
        <v>47.281734467</v>
      </c>
      <c r="G1741">
        <v>1339.6208495999999</v>
      </c>
      <c r="H1741">
        <v>1337.1243896000001</v>
      </c>
      <c r="I1741">
        <v>1326.6871338000001</v>
      </c>
      <c r="J1741">
        <v>1324.746582</v>
      </c>
      <c r="K1741">
        <v>2400</v>
      </c>
      <c r="L1741">
        <v>0</v>
      </c>
      <c r="M1741">
        <v>0</v>
      </c>
      <c r="N1741">
        <v>2400</v>
      </c>
    </row>
    <row r="1742" spans="1:14" x14ac:dyDescent="0.25">
      <c r="A1742">
        <v>1169.6089979999999</v>
      </c>
      <c r="B1742" s="1">
        <f>DATE(2013,7,13) + TIME(14,36,57)</f>
        <v>41468.608993055554</v>
      </c>
      <c r="C1742">
        <v>80</v>
      </c>
      <c r="D1742">
        <v>79.978164672999995</v>
      </c>
      <c r="E1742">
        <v>50</v>
      </c>
      <c r="F1742">
        <v>47.265781402999998</v>
      </c>
      <c r="G1742">
        <v>1339.6156006000001</v>
      </c>
      <c r="H1742">
        <v>1337.1210937999999</v>
      </c>
      <c r="I1742">
        <v>1326.6773682</v>
      </c>
      <c r="J1742">
        <v>1324.7307129000001</v>
      </c>
      <c r="K1742">
        <v>2400</v>
      </c>
      <c r="L1742">
        <v>0</v>
      </c>
      <c r="M1742">
        <v>0</v>
      </c>
      <c r="N1742">
        <v>2400</v>
      </c>
    </row>
    <row r="1743" spans="1:14" x14ac:dyDescent="0.25">
      <c r="A1743">
        <v>1170.836301</v>
      </c>
      <c r="B1743" s="1">
        <f>DATE(2013,7,14) + TIME(20,4,16)</f>
        <v>41469.836296296293</v>
      </c>
      <c r="C1743">
        <v>80</v>
      </c>
      <c r="D1743">
        <v>79.978164672999995</v>
      </c>
      <c r="E1743">
        <v>50</v>
      </c>
      <c r="F1743">
        <v>47.251529693999998</v>
      </c>
      <c r="G1743">
        <v>1339.6103516000001</v>
      </c>
      <c r="H1743">
        <v>1337.1177978999999</v>
      </c>
      <c r="I1743">
        <v>1326.6676024999999</v>
      </c>
      <c r="J1743">
        <v>1324.7145995999999</v>
      </c>
      <c r="K1743">
        <v>2400</v>
      </c>
      <c r="L1743">
        <v>0</v>
      </c>
      <c r="M1743">
        <v>0</v>
      </c>
      <c r="N1743">
        <v>2400</v>
      </c>
    </row>
    <row r="1744" spans="1:14" x14ac:dyDescent="0.25">
      <c r="A1744">
        <v>1172.078833</v>
      </c>
      <c r="B1744" s="1">
        <f>DATE(2013,7,16) + TIME(1,53,31)</f>
        <v>41471.078831018516</v>
      </c>
      <c r="C1744">
        <v>80</v>
      </c>
      <c r="D1744">
        <v>79.978164672999995</v>
      </c>
      <c r="E1744">
        <v>50</v>
      </c>
      <c r="F1744">
        <v>47.239097594999997</v>
      </c>
      <c r="G1744">
        <v>1339.6051024999999</v>
      </c>
      <c r="H1744">
        <v>1337.1145019999999</v>
      </c>
      <c r="I1744">
        <v>1326.6577147999999</v>
      </c>
      <c r="J1744">
        <v>1324.6983643000001</v>
      </c>
      <c r="K1744">
        <v>2400</v>
      </c>
      <c r="L1744">
        <v>0</v>
      </c>
      <c r="M1744">
        <v>0</v>
      </c>
      <c r="N1744">
        <v>2400</v>
      </c>
    </row>
    <row r="1745" spans="1:14" x14ac:dyDescent="0.25">
      <c r="A1745">
        <v>1173.340545</v>
      </c>
      <c r="B1745" s="1">
        <f>DATE(2013,7,17) + TIME(8,10,23)</f>
        <v>41472.340543981481</v>
      </c>
      <c r="C1745">
        <v>80</v>
      </c>
      <c r="D1745">
        <v>79.978164672999995</v>
      </c>
      <c r="E1745">
        <v>50</v>
      </c>
      <c r="F1745">
        <v>47.228626251000001</v>
      </c>
      <c r="G1745">
        <v>1339.5999756000001</v>
      </c>
      <c r="H1745">
        <v>1337.1113281</v>
      </c>
      <c r="I1745">
        <v>1326.6475829999999</v>
      </c>
      <c r="J1745">
        <v>1324.6818848</v>
      </c>
      <c r="K1745">
        <v>2400</v>
      </c>
      <c r="L1745">
        <v>0</v>
      </c>
      <c r="M1745">
        <v>0</v>
      </c>
      <c r="N1745">
        <v>2400</v>
      </c>
    </row>
    <row r="1746" spans="1:14" x14ac:dyDescent="0.25">
      <c r="A1746">
        <v>1174.6256109999999</v>
      </c>
      <c r="B1746" s="1">
        <f>DATE(2013,7,18) + TIME(15,0,52)</f>
        <v>41473.625601851854</v>
      </c>
      <c r="C1746">
        <v>80</v>
      </c>
      <c r="D1746">
        <v>79.978172302000004</v>
      </c>
      <c r="E1746">
        <v>50</v>
      </c>
      <c r="F1746">
        <v>47.220275878999999</v>
      </c>
      <c r="G1746">
        <v>1339.5947266000001</v>
      </c>
      <c r="H1746">
        <v>1337.1080322</v>
      </c>
      <c r="I1746">
        <v>1326.6374512</v>
      </c>
      <c r="J1746">
        <v>1324.6651611</v>
      </c>
      <c r="K1746">
        <v>2400</v>
      </c>
      <c r="L1746">
        <v>0</v>
      </c>
      <c r="M1746">
        <v>0</v>
      </c>
      <c r="N1746">
        <v>2400</v>
      </c>
    </row>
    <row r="1747" spans="1:14" x14ac:dyDescent="0.25">
      <c r="A1747">
        <v>1175.9386300000001</v>
      </c>
      <c r="B1747" s="1">
        <f>DATE(2013,7,19) + TIME(22,31,37)</f>
        <v>41474.938622685186</v>
      </c>
      <c r="C1747">
        <v>80</v>
      </c>
      <c r="D1747">
        <v>79.978172302000004</v>
      </c>
      <c r="E1747">
        <v>50</v>
      </c>
      <c r="F1747">
        <v>47.214252471999998</v>
      </c>
      <c r="G1747">
        <v>1339.5894774999999</v>
      </c>
      <c r="H1747">
        <v>1337.1046143000001</v>
      </c>
      <c r="I1747">
        <v>1326.6270752</v>
      </c>
      <c r="J1747">
        <v>1324.6480713000001</v>
      </c>
      <c r="K1747">
        <v>2400</v>
      </c>
      <c r="L1747">
        <v>0</v>
      </c>
      <c r="M1747">
        <v>0</v>
      </c>
      <c r="N1747">
        <v>2400</v>
      </c>
    </row>
    <row r="1748" spans="1:14" x14ac:dyDescent="0.25">
      <c r="A1748">
        <v>1177.2844990000001</v>
      </c>
      <c r="B1748" s="1">
        <f>DATE(2013,7,21) + TIME(6,49,40)</f>
        <v>41476.284490740742</v>
      </c>
      <c r="C1748">
        <v>80</v>
      </c>
      <c r="D1748">
        <v>79.978172302000004</v>
      </c>
      <c r="E1748">
        <v>50</v>
      </c>
      <c r="F1748">
        <v>47.210815429999997</v>
      </c>
      <c r="G1748">
        <v>1339.5841064000001</v>
      </c>
      <c r="H1748">
        <v>1337.1013184000001</v>
      </c>
      <c r="I1748">
        <v>1326.6165771000001</v>
      </c>
      <c r="J1748">
        <v>1324.6306152</v>
      </c>
      <c r="K1748">
        <v>2400</v>
      </c>
      <c r="L1748">
        <v>0</v>
      </c>
      <c r="M1748">
        <v>0</v>
      </c>
      <c r="N1748">
        <v>2400</v>
      </c>
    </row>
    <row r="1749" spans="1:14" x14ac:dyDescent="0.25">
      <c r="A1749">
        <v>1178.6576540000001</v>
      </c>
      <c r="B1749" s="1">
        <f>DATE(2013,7,22) + TIME(15,47,1)</f>
        <v>41477.657650462963</v>
      </c>
      <c r="C1749">
        <v>80</v>
      </c>
      <c r="D1749">
        <v>79.978172302000004</v>
      </c>
      <c r="E1749">
        <v>50</v>
      </c>
      <c r="F1749">
        <v>47.210281371999997</v>
      </c>
      <c r="G1749">
        <v>1339.5787353999999</v>
      </c>
      <c r="H1749">
        <v>1337.0979004000001</v>
      </c>
      <c r="I1749">
        <v>1326.6058350000001</v>
      </c>
      <c r="J1749">
        <v>1324.6129149999999</v>
      </c>
      <c r="K1749">
        <v>2400</v>
      </c>
      <c r="L1749">
        <v>0</v>
      </c>
      <c r="M1749">
        <v>0</v>
      </c>
      <c r="N1749">
        <v>2400</v>
      </c>
    </row>
    <row r="1750" spans="1:14" x14ac:dyDescent="0.25">
      <c r="A1750">
        <v>1180.0414330000001</v>
      </c>
      <c r="B1750" s="1">
        <f>DATE(2013,7,24) + TIME(0,59,39)</f>
        <v>41479.04142361111</v>
      </c>
      <c r="C1750">
        <v>80</v>
      </c>
      <c r="D1750">
        <v>79.978172302000004</v>
      </c>
      <c r="E1750">
        <v>50</v>
      </c>
      <c r="F1750">
        <v>47.212989807</v>
      </c>
      <c r="G1750">
        <v>1339.5733643000001</v>
      </c>
      <c r="H1750">
        <v>1337.0944824000001</v>
      </c>
      <c r="I1750">
        <v>1326.5949707</v>
      </c>
      <c r="J1750">
        <v>1324.5947266000001</v>
      </c>
      <c r="K1750">
        <v>2400</v>
      </c>
      <c r="L1750">
        <v>0</v>
      </c>
      <c r="M1750">
        <v>0</v>
      </c>
      <c r="N1750">
        <v>2400</v>
      </c>
    </row>
    <row r="1751" spans="1:14" x14ac:dyDescent="0.25">
      <c r="A1751">
        <v>1181.4291929999999</v>
      </c>
      <c r="B1751" s="1">
        <f>DATE(2013,7,25) + TIME(10,18,2)</f>
        <v>41480.429189814815</v>
      </c>
      <c r="C1751">
        <v>80</v>
      </c>
      <c r="D1751">
        <v>79.978172302000004</v>
      </c>
      <c r="E1751">
        <v>50</v>
      </c>
      <c r="F1751">
        <v>47.219207763999997</v>
      </c>
      <c r="G1751">
        <v>1339.5679932</v>
      </c>
      <c r="H1751">
        <v>1337.0910644999999</v>
      </c>
      <c r="I1751">
        <v>1326.5838623</v>
      </c>
      <c r="J1751">
        <v>1324.5764160000001</v>
      </c>
      <c r="K1751">
        <v>2400</v>
      </c>
      <c r="L1751">
        <v>0</v>
      </c>
      <c r="M1751">
        <v>0</v>
      </c>
      <c r="N1751">
        <v>2400</v>
      </c>
    </row>
    <row r="1752" spans="1:14" x14ac:dyDescent="0.25">
      <c r="A1752">
        <v>1182.8252580000001</v>
      </c>
      <c r="B1752" s="1">
        <f>DATE(2013,7,26) + TIME(19,48,22)</f>
        <v>41481.825254629628</v>
      </c>
      <c r="C1752">
        <v>80</v>
      </c>
      <c r="D1752">
        <v>79.978179932000003</v>
      </c>
      <c r="E1752">
        <v>50</v>
      </c>
      <c r="F1752">
        <v>47.229194640999999</v>
      </c>
      <c r="G1752">
        <v>1339.5626221</v>
      </c>
      <c r="H1752">
        <v>1337.0876464999999</v>
      </c>
      <c r="I1752">
        <v>1326.572876</v>
      </c>
      <c r="J1752">
        <v>1324.5581055</v>
      </c>
      <c r="K1752">
        <v>2400</v>
      </c>
      <c r="L1752">
        <v>0</v>
      </c>
      <c r="M1752">
        <v>0</v>
      </c>
      <c r="N1752">
        <v>2400</v>
      </c>
    </row>
    <row r="1753" spans="1:14" x14ac:dyDescent="0.25">
      <c r="A1753">
        <v>1184.234168</v>
      </c>
      <c r="B1753" s="1">
        <f>DATE(2013,7,28) + TIME(5,37,12)</f>
        <v>41483.234166666669</v>
      </c>
      <c r="C1753">
        <v>80</v>
      </c>
      <c r="D1753">
        <v>79.978179932000003</v>
      </c>
      <c r="E1753">
        <v>50</v>
      </c>
      <c r="F1753">
        <v>47.243240356000001</v>
      </c>
      <c r="G1753">
        <v>1339.5573730000001</v>
      </c>
      <c r="H1753">
        <v>1337.0842285000001</v>
      </c>
      <c r="I1753">
        <v>1326.5618896000001</v>
      </c>
      <c r="J1753">
        <v>1324.5397949000001</v>
      </c>
      <c r="K1753">
        <v>2400</v>
      </c>
      <c r="L1753">
        <v>0</v>
      </c>
      <c r="M1753">
        <v>0</v>
      </c>
      <c r="N1753">
        <v>2400</v>
      </c>
    </row>
    <row r="1754" spans="1:14" x14ac:dyDescent="0.25">
      <c r="A1754">
        <v>1185.660613</v>
      </c>
      <c r="B1754" s="1">
        <f>DATE(2013,7,29) + TIME(15,51,16)</f>
        <v>41484.660601851851</v>
      </c>
      <c r="C1754">
        <v>80</v>
      </c>
      <c r="D1754">
        <v>79.978179932000003</v>
      </c>
      <c r="E1754">
        <v>50</v>
      </c>
      <c r="F1754">
        <v>47.261676788000003</v>
      </c>
      <c r="G1754">
        <v>1339.552124</v>
      </c>
      <c r="H1754">
        <v>1337.0808105000001</v>
      </c>
      <c r="I1754">
        <v>1326.5507812000001</v>
      </c>
      <c r="J1754">
        <v>1324.5212402</v>
      </c>
      <c r="K1754">
        <v>2400</v>
      </c>
      <c r="L1754">
        <v>0</v>
      </c>
      <c r="M1754">
        <v>0</v>
      </c>
      <c r="N1754">
        <v>2400</v>
      </c>
    </row>
    <row r="1755" spans="1:14" x14ac:dyDescent="0.25">
      <c r="A1755">
        <v>1187.109549</v>
      </c>
      <c r="B1755" s="1">
        <f>DATE(2013,7,31) + TIME(2,37,45)</f>
        <v>41486.109548611108</v>
      </c>
      <c r="C1755">
        <v>80</v>
      </c>
      <c r="D1755">
        <v>79.978187560999999</v>
      </c>
      <c r="E1755">
        <v>50</v>
      </c>
      <c r="F1755">
        <v>47.284915924000003</v>
      </c>
      <c r="G1755">
        <v>1339.5467529</v>
      </c>
      <c r="H1755">
        <v>1337.0773925999999</v>
      </c>
      <c r="I1755">
        <v>1326.5396728999999</v>
      </c>
      <c r="J1755">
        <v>1324.5026855000001</v>
      </c>
      <c r="K1755">
        <v>2400</v>
      </c>
      <c r="L1755">
        <v>0</v>
      </c>
      <c r="M1755">
        <v>0</v>
      </c>
      <c r="N1755">
        <v>2400</v>
      </c>
    </row>
    <row r="1756" spans="1:14" x14ac:dyDescent="0.25">
      <c r="A1756">
        <v>1188</v>
      </c>
      <c r="B1756" s="1">
        <f>DATE(2013,8,1) + TIME(0,0,0)</f>
        <v>41487</v>
      </c>
      <c r="C1756">
        <v>80</v>
      </c>
      <c r="D1756">
        <v>79.978179932000003</v>
      </c>
      <c r="E1756">
        <v>50</v>
      </c>
      <c r="F1756">
        <v>47.308132172000001</v>
      </c>
      <c r="G1756">
        <v>1339.5417480000001</v>
      </c>
      <c r="H1756">
        <v>1337.0742187999999</v>
      </c>
      <c r="I1756">
        <v>1326.5294189000001</v>
      </c>
      <c r="J1756">
        <v>1324.4849853999999</v>
      </c>
      <c r="K1756">
        <v>2400</v>
      </c>
      <c r="L1756">
        <v>0</v>
      </c>
      <c r="M1756">
        <v>0</v>
      </c>
      <c r="N1756">
        <v>2400</v>
      </c>
    </row>
    <row r="1757" spans="1:14" x14ac:dyDescent="0.25">
      <c r="A1757">
        <v>1189.4766400000001</v>
      </c>
      <c r="B1757" s="1">
        <f>DATE(2013,8,2) + TIME(11,26,21)</f>
        <v>41488.476631944446</v>
      </c>
      <c r="C1757">
        <v>80</v>
      </c>
      <c r="D1757">
        <v>79.978187560999999</v>
      </c>
      <c r="E1757">
        <v>50</v>
      </c>
      <c r="F1757">
        <v>47.336120604999998</v>
      </c>
      <c r="G1757">
        <v>1339.5380858999999</v>
      </c>
      <c r="H1757">
        <v>1337.0717772999999</v>
      </c>
      <c r="I1757">
        <v>1326.5205077999999</v>
      </c>
      <c r="J1757">
        <v>1324.4709473</v>
      </c>
      <c r="K1757">
        <v>2400</v>
      </c>
      <c r="L1757">
        <v>0</v>
      </c>
      <c r="M1757">
        <v>0</v>
      </c>
      <c r="N1757">
        <v>2400</v>
      </c>
    </row>
    <row r="1758" spans="1:14" x14ac:dyDescent="0.25">
      <c r="A1758">
        <v>1190.9942390000001</v>
      </c>
      <c r="B1758" s="1">
        <f>DATE(2013,8,3) + TIME(23,51,42)</f>
        <v>41489.99423611111</v>
      </c>
      <c r="C1758">
        <v>80</v>
      </c>
      <c r="D1758">
        <v>79.978195189999994</v>
      </c>
      <c r="E1758">
        <v>50</v>
      </c>
      <c r="F1758">
        <v>47.372699738000001</v>
      </c>
      <c r="G1758">
        <v>1339.5329589999999</v>
      </c>
      <c r="H1758">
        <v>1337.0683594</v>
      </c>
      <c r="I1758">
        <v>1326.5100098</v>
      </c>
      <c r="J1758">
        <v>1324.453125</v>
      </c>
      <c r="K1758">
        <v>2400</v>
      </c>
      <c r="L1758">
        <v>0</v>
      </c>
      <c r="M1758">
        <v>0</v>
      </c>
      <c r="N1758">
        <v>2400</v>
      </c>
    </row>
    <row r="1759" spans="1:14" x14ac:dyDescent="0.25">
      <c r="A1759">
        <v>1192.533948</v>
      </c>
      <c r="B1759" s="1">
        <f>DATE(2013,8,5) + TIME(12,48,53)</f>
        <v>41491.533946759257</v>
      </c>
      <c r="C1759">
        <v>80</v>
      </c>
      <c r="D1759">
        <v>79.978195189999994</v>
      </c>
      <c r="E1759">
        <v>50</v>
      </c>
      <c r="F1759">
        <v>47.416927338000001</v>
      </c>
      <c r="G1759">
        <v>1339.5275879000001</v>
      </c>
      <c r="H1759">
        <v>1337.0649414</v>
      </c>
      <c r="I1759">
        <v>1326.4989014</v>
      </c>
      <c r="J1759">
        <v>1324.4344481999999</v>
      </c>
      <c r="K1759">
        <v>2400</v>
      </c>
      <c r="L1759">
        <v>0</v>
      </c>
      <c r="M1759">
        <v>0</v>
      </c>
      <c r="N1759">
        <v>2400</v>
      </c>
    </row>
    <row r="1760" spans="1:14" x14ac:dyDescent="0.25">
      <c r="A1760">
        <v>1194.1013700000001</v>
      </c>
      <c r="B1760" s="1">
        <f>DATE(2013,8,7) + TIME(2,25,58)</f>
        <v>41493.101365740738</v>
      </c>
      <c r="C1760">
        <v>80</v>
      </c>
      <c r="D1760">
        <v>79.978202820000007</v>
      </c>
      <c r="E1760">
        <v>50</v>
      </c>
      <c r="F1760">
        <v>47.468723296999997</v>
      </c>
      <c r="G1760">
        <v>1339.5222168</v>
      </c>
      <c r="H1760">
        <v>1337.0614014</v>
      </c>
      <c r="I1760">
        <v>1326.4875488</v>
      </c>
      <c r="J1760">
        <v>1324.4154053</v>
      </c>
      <c r="K1760">
        <v>2400</v>
      </c>
      <c r="L1760">
        <v>0</v>
      </c>
      <c r="M1760">
        <v>0</v>
      </c>
      <c r="N1760">
        <v>2400</v>
      </c>
    </row>
    <row r="1761" spans="1:14" x14ac:dyDescent="0.25">
      <c r="A1761">
        <v>1195.697392</v>
      </c>
      <c r="B1761" s="1">
        <f>DATE(2013,8,8) + TIME(16,44,14)</f>
        <v>41494.697384259256</v>
      </c>
      <c r="C1761">
        <v>80</v>
      </c>
      <c r="D1761">
        <v>79.978202820000007</v>
      </c>
      <c r="E1761">
        <v>50</v>
      </c>
      <c r="F1761">
        <v>47.528553008999999</v>
      </c>
      <c r="G1761">
        <v>1339.5167236</v>
      </c>
      <c r="H1761">
        <v>1337.0578613</v>
      </c>
      <c r="I1761">
        <v>1326.4761963000001</v>
      </c>
      <c r="J1761">
        <v>1324.3961182</v>
      </c>
      <c r="K1761">
        <v>2400</v>
      </c>
      <c r="L1761">
        <v>0</v>
      </c>
      <c r="M1761">
        <v>0</v>
      </c>
      <c r="N1761">
        <v>2400</v>
      </c>
    </row>
    <row r="1762" spans="1:14" x14ac:dyDescent="0.25">
      <c r="A1762">
        <v>1197.3028919999999</v>
      </c>
      <c r="B1762" s="1">
        <f>DATE(2013,8,10) + TIME(7,16,9)</f>
        <v>41496.302881944444</v>
      </c>
      <c r="C1762">
        <v>80</v>
      </c>
      <c r="D1762">
        <v>79.978210449000002</v>
      </c>
      <c r="E1762">
        <v>50</v>
      </c>
      <c r="F1762">
        <v>47.596805572999997</v>
      </c>
      <c r="G1762">
        <v>1339.5112305</v>
      </c>
      <c r="H1762">
        <v>1337.0543213000001</v>
      </c>
      <c r="I1762">
        <v>1326.4645995999999</v>
      </c>
      <c r="J1762">
        <v>1324.3767089999999</v>
      </c>
      <c r="K1762">
        <v>2400</v>
      </c>
      <c r="L1762">
        <v>0</v>
      </c>
      <c r="M1762">
        <v>0</v>
      </c>
      <c r="N1762">
        <v>2400</v>
      </c>
    </row>
    <row r="1763" spans="1:14" x14ac:dyDescent="0.25">
      <c r="A1763">
        <v>1198.9231669999999</v>
      </c>
      <c r="B1763" s="1">
        <f>DATE(2013,8,11) + TIME(22,9,21)</f>
        <v>41497.923159722224</v>
      </c>
      <c r="C1763">
        <v>80</v>
      </c>
      <c r="D1763">
        <v>79.978210449000002</v>
      </c>
      <c r="E1763">
        <v>50</v>
      </c>
      <c r="F1763">
        <v>47.673755645999996</v>
      </c>
      <c r="G1763">
        <v>1339.5058594</v>
      </c>
      <c r="H1763">
        <v>1337.0506591999999</v>
      </c>
      <c r="I1763">
        <v>1326.4532471</v>
      </c>
      <c r="J1763">
        <v>1324.3574219</v>
      </c>
      <c r="K1763">
        <v>2400</v>
      </c>
      <c r="L1763">
        <v>0</v>
      </c>
      <c r="M1763">
        <v>0</v>
      </c>
      <c r="N1763">
        <v>2400</v>
      </c>
    </row>
    <row r="1764" spans="1:14" x14ac:dyDescent="0.25">
      <c r="A1764">
        <v>1200.5642969999999</v>
      </c>
      <c r="B1764" s="1">
        <f>DATE(2013,8,13) + TIME(13,32,35)</f>
        <v>41499.564293981479</v>
      </c>
      <c r="C1764">
        <v>80</v>
      </c>
      <c r="D1764">
        <v>79.978218079000001</v>
      </c>
      <c r="E1764">
        <v>50</v>
      </c>
      <c r="F1764">
        <v>47.760032654</v>
      </c>
      <c r="G1764">
        <v>1339.5004882999999</v>
      </c>
      <c r="H1764">
        <v>1337.0471190999999</v>
      </c>
      <c r="I1764">
        <v>1326.4417725000001</v>
      </c>
      <c r="J1764">
        <v>1324.3383789</v>
      </c>
      <c r="K1764">
        <v>2400</v>
      </c>
      <c r="L1764">
        <v>0</v>
      </c>
      <c r="M1764">
        <v>0</v>
      </c>
      <c r="N1764">
        <v>2400</v>
      </c>
    </row>
    <row r="1765" spans="1:14" x14ac:dyDescent="0.25">
      <c r="A1765">
        <v>1202.232334</v>
      </c>
      <c r="B1765" s="1">
        <f>DATE(2013,8,15) + TIME(5,34,33)</f>
        <v>41501.23232638889</v>
      </c>
      <c r="C1765">
        <v>80</v>
      </c>
      <c r="D1765">
        <v>79.978225707999997</v>
      </c>
      <c r="E1765">
        <v>50</v>
      </c>
      <c r="F1765">
        <v>47.856491089000002</v>
      </c>
      <c r="G1765">
        <v>1339.4949951000001</v>
      </c>
      <c r="H1765">
        <v>1337.0435791</v>
      </c>
      <c r="I1765">
        <v>1326.4305420000001</v>
      </c>
      <c r="J1765">
        <v>1324.3193358999999</v>
      </c>
      <c r="K1765">
        <v>2400</v>
      </c>
      <c r="L1765">
        <v>0</v>
      </c>
      <c r="M1765">
        <v>0</v>
      </c>
      <c r="N1765">
        <v>2400</v>
      </c>
    </row>
    <row r="1766" spans="1:14" x14ac:dyDescent="0.25">
      <c r="A1766">
        <v>1203.9212789999999</v>
      </c>
      <c r="B1766" s="1">
        <f>DATE(2013,8,16) + TIME(22,6,38)</f>
        <v>41502.921273148146</v>
      </c>
      <c r="C1766">
        <v>80</v>
      </c>
      <c r="D1766">
        <v>79.978225707999997</v>
      </c>
      <c r="E1766">
        <v>50</v>
      </c>
      <c r="F1766">
        <v>47.963947296000001</v>
      </c>
      <c r="G1766">
        <v>1339.4895019999999</v>
      </c>
      <c r="H1766">
        <v>1337.0399170000001</v>
      </c>
      <c r="I1766">
        <v>1326.4191894999999</v>
      </c>
      <c r="J1766">
        <v>1324.3004149999999</v>
      </c>
      <c r="K1766">
        <v>2400</v>
      </c>
      <c r="L1766">
        <v>0</v>
      </c>
      <c r="M1766">
        <v>0</v>
      </c>
      <c r="N1766">
        <v>2400</v>
      </c>
    </row>
    <row r="1767" spans="1:14" x14ac:dyDescent="0.25">
      <c r="A1767">
        <v>1205.628841</v>
      </c>
      <c r="B1767" s="1">
        <f>DATE(2013,8,18) + TIME(15,5,31)</f>
        <v>41504.628831018519</v>
      </c>
      <c r="C1767">
        <v>80</v>
      </c>
      <c r="D1767">
        <v>79.978233337000006</v>
      </c>
      <c r="E1767">
        <v>50</v>
      </c>
      <c r="F1767">
        <v>48.082901001000003</v>
      </c>
      <c r="G1767">
        <v>1339.4841309000001</v>
      </c>
      <c r="H1767">
        <v>1337.0362548999999</v>
      </c>
      <c r="I1767">
        <v>1326.4080810999999</v>
      </c>
      <c r="J1767">
        <v>1324.2817382999999</v>
      </c>
      <c r="K1767">
        <v>2400</v>
      </c>
      <c r="L1767">
        <v>0</v>
      </c>
      <c r="M1767">
        <v>0</v>
      </c>
      <c r="N1767">
        <v>2400</v>
      </c>
    </row>
    <row r="1768" spans="1:14" x14ac:dyDescent="0.25">
      <c r="A1768">
        <v>1207.3610980000001</v>
      </c>
      <c r="B1768" s="1">
        <f>DATE(2013,8,20) + TIME(8,39,58)</f>
        <v>41506.361087962963</v>
      </c>
      <c r="C1768">
        <v>80</v>
      </c>
      <c r="D1768">
        <v>79.978240967000005</v>
      </c>
      <c r="E1768">
        <v>50</v>
      </c>
      <c r="F1768">
        <v>48.213993072999997</v>
      </c>
      <c r="G1768">
        <v>1339.4786377</v>
      </c>
      <c r="H1768">
        <v>1337.0325928</v>
      </c>
      <c r="I1768">
        <v>1326.3969727000001</v>
      </c>
      <c r="J1768">
        <v>1324.2633057</v>
      </c>
      <c r="K1768">
        <v>2400</v>
      </c>
      <c r="L1768">
        <v>0</v>
      </c>
      <c r="M1768">
        <v>0</v>
      </c>
      <c r="N1768">
        <v>2400</v>
      </c>
    </row>
    <row r="1769" spans="1:14" x14ac:dyDescent="0.25">
      <c r="A1769">
        <v>1209.12435</v>
      </c>
      <c r="B1769" s="1">
        <f>DATE(2013,8,22) + TIME(2,59,3)</f>
        <v>41508.124340277776</v>
      </c>
      <c r="C1769">
        <v>80</v>
      </c>
      <c r="D1769">
        <v>79.978248596</v>
      </c>
      <c r="E1769">
        <v>50</v>
      </c>
      <c r="F1769">
        <v>48.358219147</v>
      </c>
      <c r="G1769">
        <v>1339.4731445</v>
      </c>
      <c r="H1769">
        <v>1337.0289307</v>
      </c>
      <c r="I1769">
        <v>1326.3859863</v>
      </c>
      <c r="J1769">
        <v>1324.2451172000001</v>
      </c>
      <c r="K1769">
        <v>2400</v>
      </c>
      <c r="L1769">
        <v>0</v>
      </c>
      <c r="M1769">
        <v>0</v>
      </c>
      <c r="N1769">
        <v>2400</v>
      </c>
    </row>
    <row r="1770" spans="1:14" x14ac:dyDescent="0.25">
      <c r="A1770">
        <v>1210.925289</v>
      </c>
      <c r="B1770" s="1">
        <f>DATE(2013,8,23) + TIME(22,12,24)</f>
        <v>41509.92527777778</v>
      </c>
      <c r="C1770">
        <v>80</v>
      </c>
      <c r="D1770">
        <v>79.978256225999999</v>
      </c>
      <c r="E1770">
        <v>50</v>
      </c>
      <c r="F1770">
        <v>48.516769408999998</v>
      </c>
      <c r="G1770">
        <v>1339.4676514</v>
      </c>
      <c r="H1770">
        <v>1337.0251464999999</v>
      </c>
      <c r="I1770">
        <v>1326.3751221</v>
      </c>
      <c r="J1770">
        <v>1324.2271728999999</v>
      </c>
      <c r="K1770">
        <v>2400</v>
      </c>
      <c r="L1770">
        <v>0</v>
      </c>
      <c r="M1770">
        <v>0</v>
      </c>
      <c r="N1770">
        <v>2400</v>
      </c>
    </row>
    <row r="1771" spans="1:14" x14ac:dyDescent="0.25">
      <c r="A1771">
        <v>1212.771246</v>
      </c>
      <c r="B1771" s="1">
        <f>DATE(2013,8,25) + TIME(18,30,35)</f>
        <v>41511.771238425928</v>
      </c>
      <c r="C1771">
        <v>80</v>
      </c>
      <c r="D1771">
        <v>79.978263854999994</v>
      </c>
      <c r="E1771">
        <v>50</v>
      </c>
      <c r="F1771">
        <v>48.691028594999999</v>
      </c>
      <c r="G1771">
        <v>1339.4621582</v>
      </c>
      <c r="H1771">
        <v>1337.0214844</v>
      </c>
      <c r="I1771">
        <v>1326.3643798999999</v>
      </c>
      <c r="J1771">
        <v>1324.2094727000001</v>
      </c>
      <c r="K1771">
        <v>2400</v>
      </c>
      <c r="L1771">
        <v>0</v>
      </c>
      <c r="M1771">
        <v>0</v>
      </c>
      <c r="N1771">
        <v>2400</v>
      </c>
    </row>
    <row r="1772" spans="1:14" x14ac:dyDescent="0.25">
      <c r="A1772">
        <v>1214.635002</v>
      </c>
      <c r="B1772" s="1">
        <f>DATE(2013,8,27) + TIME(15,14,24)</f>
        <v>41513.635000000002</v>
      </c>
      <c r="C1772">
        <v>80</v>
      </c>
      <c r="D1772">
        <v>79.978271484000004</v>
      </c>
      <c r="E1772">
        <v>50</v>
      </c>
      <c r="F1772">
        <v>48.881584167</v>
      </c>
      <c r="G1772">
        <v>1339.456543</v>
      </c>
      <c r="H1772">
        <v>1337.0175781</v>
      </c>
      <c r="I1772">
        <v>1326.3537598</v>
      </c>
      <c r="J1772">
        <v>1324.1920166</v>
      </c>
      <c r="K1772">
        <v>2400</v>
      </c>
      <c r="L1772">
        <v>0</v>
      </c>
      <c r="M1772">
        <v>0</v>
      </c>
      <c r="N1772">
        <v>2400</v>
      </c>
    </row>
    <row r="1773" spans="1:14" x14ac:dyDescent="0.25">
      <c r="A1773">
        <v>1216.5225929999999</v>
      </c>
      <c r="B1773" s="1">
        <f>DATE(2013,8,29) + TIME(12,32,32)</f>
        <v>41515.522592592592</v>
      </c>
      <c r="C1773">
        <v>80</v>
      </c>
      <c r="D1773">
        <v>79.978279114000003</v>
      </c>
      <c r="E1773">
        <v>50</v>
      </c>
      <c r="F1773">
        <v>49.087829589999998</v>
      </c>
      <c r="G1773">
        <v>1339.4509277</v>
      </c>
      <c r="H1773">
        <v>1337.0137939000001</v>
      </c>
      <c r="I1773">
        <v>1326.3432617000001</v>
      </c>
      <c r="J1773">
        <v>1324.1750488</v>
      </c>
      <c r="K1773">
        <v>2400</v>
      </c>
      <c r="L1773">
        <v>0</v>
      </c>
      <c r="M1773">
        <v>0</v>
      </c>
      <c r="N1773">
        <v>2400</v>
      </c>
    </row>
    <row r="1774" spans="1:14" x14ac:dyDescent="0.25">
      <c r="A1774">
        <v>1218.42815</v>
      </c>
      <c r="B1774" s="1">
        <f>DATE(2013,8,31) + TIME(10,16,32)</f>
        <v>41517.428148148145</v>
      </c>
      <c r="C1774">
        <v>80</v>
      </c>
      <c r="D1774">
        <v>79.978286742999998</v>
      </c>
      <c r="E1774">
        <v>50</v>
      </c>
      <c r="F1774">
        <v>49.309822083</v>
      </c>
      <c r="G1774">
        <v>1339.4453125</v>
      </c>
      <c r="H1774">
        <v>1337.0098877</v>
      </c>
      <c r="I1774">
        <v>1326.3330077999999</v>
      </c>
      <c r="J1774">
        <v>1324.1585693</v>
      </c>
      <c r="K1774">
        <v>2400</v>
      </c>
      <c r="L1774">
        <v>0</v>
      </c>
      <c r="M1774">
        <v>0</v>
      </c>
      <c r="N1774">
        <v>2400</v>
      </c>
    </row>
    <row r="1775" spans="1:14" x14ac:dyDescent="0.25">
      <c r="A1775">
        <v>1219</v>
      </c>
      <c r="B1775" s="1">
        <f>DATE(2013,9,1) + TIME(0,0,0)</f>
        <v>41518</v>
      </c>
      <c r="C1775">
        <v>80</v>
      </c>
      <c r="D1775">
        <v>79.978279114000003</v>
      </c>
      <c r="E1775">
        <v>50</v>
      </c>
      <c r="F1775">
        <v>49.454975128000001</v>
      </c>
      <c r="G1775">
        <v>1339.4404297000001</v>
      </c>
      <c r="H1775">
        <v>1337.0068358999999</v>
      </c>
      <c r="I1775">
        <v>1326.3269043</v>
      </c>
      <c r="J1775">
        <v>1324.1451416</v>
      </c>
      <c r="K1775">
        <v>2400</v>
      </c>
      <c r="L1775">
        <v>0</v>
      </c>
      <c r="M1775">
        <v>0</v>
      </c>
      <c r="N1775">
        <v>2400</v>
      </c>
    </row>
    <row r="1776" spans="1:14" x14ac:dyDescent="0.25">
      <c r="A1776">
        <v>1220.9213400000001</v>
      </c>
      <c r="B1776" s="1">
        <f>DATE(2013,9,2) + TIME(22,6,43)</f>
        <v>41519.921331018515</v>
      </c>
      <c r="C1776">
        <v>80</v>
      </c>
      <c r="D1776">
        <v>79.978294372999997</v>
      </c>
      <c r="E1776">
        <v>50</v>
      </c>
      <c r="F1776">
        <v>49.642162323000001</v>
      </c>
      <c r="G1776">
        <v>1339.4377440999999</v>
      </c>
      <c r="H1776">
        <v>1337.0046387</v>
      </c>
      <c r="I1776">
        <v>1326.3186035000001</v>
      </c>
      <c r="J1776">
        <v>1324.1369629000001</v>
      </c>
      <c r="K1776">
        <v>2400</v>
      </c>
      <c r="L1776">
        <v>0</v>
      </c>
      <c r="M1776">
        <v>0</v>
      </c>
      <c r="N1776">
        <v>2400</v>
      </c>
    </row>
    <row r="1777" spans="1:14" x14ac:dyDescent="0.25">
      <c r="A1777">
        <v>1222.8744059999999</v>
      </c>
      <c r="B1777" s="1">
        <f>DATE(2013,9,4) + TIME(20,59,8)</f>
        <v>41521.874398148146</v>
      </c>
      <c r="C1777">
        <v>80</v>
      </c>
      <c r="D1777">
        <v>79.978302002000007</v>
      </c>
      <c r="E1777">
        <v>50</v>
      </c>
      <c r="F1777">
        <v>49.883945464999996</v>
      </c>
      <c r="G1777">
        <v>1339.4323730000001</v>
      </c>
      <c r="H1777">
        <v>1337.0009766000001</v>
      </c>
      <c r="I1777">
        <v>1326.3100586</v>
      </c>
      <c r="J1777">
        <v>1324.1229248</v>
      </c>
      <c r="K1777">
        <v>2400</v>
      </c>
      <c r="L1777">
        <v>0</v>
      </c>
      <c r="M1777">
        <v>0</v>
      </c>
      <c r="N1777">
        <v>2400</v>
      </c>
    </row>
    <row r="1778" spans="1:14" x14ac:dyDescent="0.25">
      <c r="A1778">
        <v>1224.859318</v>
      </c>
      <c r="B1778" s="1">
        <f>DATE(2013,9,6) + TIME(20,37,25)</f>
        <v>41523.859317129631</v>
      </c>
      <c r="C1778">
        <v>80</v>
      </c>
      <c r="D1778">
        <v>79.978317261000001</v>
      </c>
      <c r="E1778">
        <v>50</v>
      </c>
      <c r="F1778">
        <v>50.152339935000001</v>
      </c>
      <c r="G1778">
        <v>1339.4267577999999</v>
      </c>
      <c r="H1778">
        <v>1336.9971923999999</v>
      </c>
      <c r="I1778">
        <v>1326.3011475000001</v>
      </c>
      <c r="J1778">
        <v>1324.1091309000001</v>
      </c>
      <c r="K1778">
        <v>2400</v>
      </c>
      <c r="L1778">
        <v>0</v>
      </c>
      <c r="M1778">
        <v>0</v>
      </c>
      <c r="N1778">
        <v>2400</v>
      </c>
    </row>
    <row r="1779" spans="1:14" x14ac:dyDescent="0.25">
      <c r="A1779">
        <v>1226.8841669999999</v>
      </c>
      <c r="B1779" s="1">
        <f>DATE(2013,9,8) + TIME(21,13,12)</f>
        <v>41525.884166666663</v>
      </c>
      <c r="C1779">
        <v>80</v>
      </c>
      <c r="D1779">
        <v>79.978324889999996</v>
      </c>
      <c r="E1779">
        <v>50</v>
      </c>
      <c r="F1779">
        <v>50.439682007000002</v>
      </c>
      <c r="G1779">
        <v>1339.4212646000001</v>
      </c>
      <c r="H1779">
        <v>1336.9932861</v>
      </c>
      <c r="I1779">
        <v>1326.2923584</v>
      </c>
      <c r="J1779">
        <v>1324.0957031</v>
      </c>
      <c r="K1779">
        <v>2400</v>
      </c>
      <c r="L1779">
        <v>0</v>
      </c>
      <c r="M1779">
        <v>0</v>
      </c>
      <c r="N1779">
        <v>2400</v>
      </c>
    </row>
    <row r="1780" spans="1:14" x14ac:dyDescent="0.25">
      <c r="A1780">
        <v>1228.957846</v>
      </c>
      <c r="B1780" s="1">
        <f>DATE(2013,9,10) + TIME(22,59,17)</f>
        <v>41527.957835648151</v>
      </c>
      <c r="C1780">
        <v>80</v>
      </c>
      <c r="D1780">
        <v>79.978332519999995</v>
      </c>
      <c r="E1780">
        <v>50</v>
      </c>
      <c r="F1780">
        <v>50.744476317999997</v>
      </c>
      <c r="G1780">
        <v>1339.4155272999999</v>
      </c>
      <c r="H1780">
        <v>1336.9893798999999</v>
      </c>
      <c r="I1780">
        <v>1326.2836914</v>
      </c>
      <c r="J1780">
        <v>1324.0828856999999</v>
      </c>
      <c r="K1780">
        <v>2400</v>
      </c>
      <c r="L1780">
        <v>0</v>
      </c>
      <c r="M1780">
        <v>0</v>
      </c>
      <c r="N1780">
        <v>2400</v>
      </c>
    </row>
    <row r="1781" spans="1:14" x14ac:dyDescent="0.25">
      <c r="A1781">
        <v>1231.0909380000001</v>
      </c>
      <c r="B1781" s="1">
        <f>DATE(2013,9,13) + TIME(2,10,57)</f>
        <v>41530.090937499997</v>
      </c>
      <c r="C1781">
        <v>80</v>
      </c>
      <c r="D1781">
        <v>79.978347778</v>
      </c>
      <c r="E1781">
        <v>50</v>
      </c>
      <c r="F1781">
        <v>51.066833496000001</v>
      </c>
      <c r="G1781">
        <v>1339.4097899999999</v>
      </c>
      <c r="H1781">
        <v>1336.9853516000001</v>
      </c>
      <c r="I1781">
        <v>1326.2753906</v>
      </c>
      <c r="J1781">
        <v>1324.0708007999999</v>
      </c>
      <c r="K1781">
        <v>2400</v>
      </c>
      <c r="L1781">
        <v>0</v>
      </c>
      <c r="M1781">
        <v>0</v>
      </c>
      <c r="N1781">
        <v>2400</v>
      </c>
    </row>
    <row r="1782" spans="1:14" x14ac:dyDescent="0.25">
      <c r="A1782">
        <v>1233.244878</v>
      </c>
      <c r="B1782" s="1">
        <f>DATE(2013,9,15) + TIME(5,52,37)</f>
        <v>41532.244872685187</v>
      </c>
      <c r="C1782">
        <v>80</v>
      </c>
      <c r="D1782">
        <v>79.978355407999999</v>
      </c>
      <c r="E1782">
        <v>50</v>
      </c>
      <c r="F1782">
        <v>51.405570984000001</v>
      </c>
      <c r="G1782">
        <v>1339.4040527</v>
      </c>
      <c r="H1782">
        <v>1336.9813231999999</v>
      </c>
      <c r="I1782">
        <v>1326.2674560999999</v>
      </c>
      <c r="J1782">
        <v>1324.0594481999999</v>
      </c>
      <c r="K1782">
        <v>2400</v>
      </c>
      <c r="L1782">
        <v>0</v>
      </c>
      <c r="M1782">
        <v>0</v>
      </c>
      <c r="N1782">
        <v>2400</v>
      </c>
    </row>
    <row r="1783" spans="1:14" x14ac:dyDescent="0.25">
      <c r="A1783">
        <v>1235.4250649999999</v>
      </c>
      <c r="B1783" s="1">
        <f>DATE(2013,9,17) + TIME(10,12,5)</f>
        <v>41534.425057870372</v>
      </c>
      <c r="C1783">
        <v>80</v>
      </c>
      <c r="D1783">
        <v>79.978363036999994</v>
      </c>
      <c r="E1783">
        <v>50</v>
      </c>
      <c r="F1783">
        <v>51.756420134999999</v>
      </c>
      <c r="G1783">
        <v>1339.3983154</v>
      </c>
      <c r="H1783">
        <v>1336.9772949000001</v>
      </c>
      <c r="I1783">
        <v>1326.2598877</v>
      </c>
      <c r="J1783">
        <v>1324.0489502</v>
      </c>
      <c r="K1783">
        <v>2400</v>
      </c>
      <c r="L1783">
        <v>0</v>
      </c>
      <c r="M1783">
        <v>0</v>
      </c>
      <c r="N1783">
        <v>2400</v>
      </c>
    </row>
    <row r="1784" spans="1:14" x14ac:dyDescent="0.25">
      <c r="A1784">
        <v>1237.6203330000001</v>
      </c>
      <c r="B1784" s="1">
        <f>DATE(2013,9,19) + TIME(14,53,16)</f>
        <v>41536.620324074072</v>
      </c>
      <c r="C1784">
        <v>80</v>
      </c>
      <c r="D1784">
        <v>79.978378296000002</v>
      </c>
      <c r="E1784">
        <v>50</v>
      </c>
      <c r="F1784">
        <v>52.117103577000002</v>
      </c>
      <c r="G1784">
        <v>1339.3924560999999</v>
      </c>
      <c r="H1784">
        <v>1336.9732666</v>
      </c>
      <c r="I1784">
        <v>1326.2528076000001</v>
      </c>
      <c r="J1784">
        <v>1324.0395507999999</v>
      </c>
      <c r="K1784">
        <v>2400</v>
      </c>
      <c r="L1784">
        <v>0</v>
      </c>
      <c r="M1784">
        <v>0</v>
      </c>
      <c r="N1784">
        <v>2400</v>
      </c>
    </row>
    <row r="1785" spans="1:14" x14ac:dyDescent="0.25">
      <c r="A1785">
        <v>1239.8403980000001</v>
      </c>
      <c r="B1785" s="1">
        <f>DATE(2013,9,21) + TIME(20,10,10)</f>
        <v>41538.84039351852</v>
      </c>
      <c r="C1785">
        <v>80</v>
      </c>
      <c r="D1785">
        <v>79.978385924999998</v>
      </c>
      <c r="E1785">
        <v>50</v>
      </c>
      <c r="F1785">
        <v>52.485294342000003</v>
      </c>
      <c r="G1785">
        <v>1339.3867187999999</v>
      </c>
      <c r="H1785">
        <v>1336.9692382999999</v>
      </c>
      <c r="I1785">
        <v>1326.2463379000001</v>
      </c>
      <c r="J1785">
        <v>1324.0311279</v>
      </c>
      <c r="K1785">
        <v>2400</v>
      </c>
      <c r="L1785">
        <v>0</v>
      </c>
      <c r="M1785">
        <v>0</v>
      </c>
      <c r="N1785">
        <v>2400</v>
      </c>
    </row>
    <row r="1786" spans="1:14" x14ac:dyDescent="0.25">
      <c r="A1786">
        <v>1242.094104</v>
      </c>
      <c r="B1786" s="1">
        <f>DATE(2013,9,24) + TIME(2,15,30)</f>
        <v>41541.094097222223</v>
      </c>
      <c r="C1786">
        <v>80</v>
      </c>
      <c r="D1786">
        <v>79.978401184000006</v>
      </c>
      <c r="E1786">
        <v>50</v>
      </c>
      <c r="F1786">
        <v>52.860168457</v>
      </c>
      <c r="G1786">
        <v>1339.3811035000001</v>
      </c>
      <c r="H1786">
        <v>1336.9652100000001</v>
      </c>
      <c r="I1786">
        <v>1326.2404785000001</v>
      </c>
      <c r="J1786">
        <v>1324.0236815999999</v>
      </c>
      <c r="K1786">
        <v>2400</v>
      </c>
      <c r="L1786">
        <v>0</v>
      </c>
      <c r="M1786">
        <v>0</v>
      </c>
      <c r="N1786">
        <v>2400</v>
      </c>
    </row>
    <row r="1787" spans="1:14" x14ac:dyDescent="0.25">
      <c r="A1787">
        <v>1244.391026</v>
      </c>
      <c r="B1787" s="1">
        <f>DATE(2013,9,26) + TIME(9,23,4)</f>
        <v>41543.391018518516</v>
      </c>
      <c r="C1787">
        <v>80</v>
      </c>
      <c r="D1787">
        <v>79.978416443</v>
      </c>
      <c r="E1787">
        <v>50</v>
      </c>
      <c r="F1787">
        <v>53.24156189</v>
      </c>
      <c r="G1787">
        <v>1339.3753661999999</v>
      </c>
      <c r="H1787">
        <v>1336.9611815999999</v>
      </c>
      <c r="I1787">
        <v>1326.2349853999999</v>
      </c>
      <c r="J1787">
        <v>1324.0173339999999</v>
      </c>
      <c r="K1787">
        <v>2400</v>
      </c>
      <c r="L1787">
        <v>0</v>
      </c>
      <c r="M1787">
        <v>0</v>
      </c>
      <c r="N1787">
        <v>2400</v>
      </c>
    </row>
    <row r="1788" spans="1:14" x14ac:dyDescent="0.25">
      <c r="A1788">
        <v>1246.744682</v>
      </c>
      <c r="B1788" s="1">
        <f>DATE(2013,9,28) + TIME(17,52,20)</f>
        <v>41545.744675925926</v>
      </c>
      <c r="C1788">
        <v>80</v>
      </c>
      <c r="D1788">
        <v>79.978424071999996</v>
      </c>
      <c r="E1788">
        <v>50</v>
      </c>
      <c r="F1788">
        <v>53.629589080999999</v>
      </c>
      <c r="G1788">
        <v>1339.3696289</v>
      </c>
      <c r="H1788">
        <v>1336.9571533000001</v>
      </c>
      <c r="I1788">
        <v>1326.2301024999999</v>
      </c>
      <c r="J1788">
        <v>1324.0118408000001</v>
      </c>
      <c r="K1788">
        <v>2400</v>
      </c>
      <c r="L1788">
        <v>0</v>
      </c>
      <c r="M1788">
        <v>0</v>
      </c>
      <c r="N1788">
        <v>2400</v>
      </c>
    </row>
    <row r="1789" spans="1:14" x14ac:dyDescent="0.25">
      <c r="A1789">
        <v>1249</v>
      </c>
      <c r="B1789" s="1">
        <f>DATE(2013,10,1) + TIME(0,0,0)</f>
        <v>41548</v>
      </c>
      <c r="C1789">
        <v>80</v>
      </c>
      <c r="D1789">
        <v>79.978439331000004</v>
      </c>
      <c r="E1789">
        <v>50</v>
      </c>
      <c r="F1789">
        <v>54.018257140999999</v>
      </c>
      <c r="G1789">
        <v>1339.3638916</v>
      </c>
      <c r="H1789">
        <v>1336.953125</v>
      </c>
      <c r="I1789">
        <v>1326.2260742000001</v>
      </c>
      <c r="J1789">
        <v>1324.0073242000001</v>
      </c>
      <c r="K1789">
        <v>2400</v>
      </c>
      <c r="L1789">
        <v>0</v>
      </c>
      <c r="M1789">
        <v>0</v>
      </c>
      <c r="N1789">
        <v>2400</v>
      </c>
    </row>
    <row r="1790" spans="1:14" x14ac:dyDescent="0.25">
      <c r="A1790">
        <v>1251.4046519999999</v>
      </c>
      <c r="B1790" s="1">
        <f>DATE(2013,10,3) + TIME(9,42,41)</f>
        <v>41550.404641203706</v>
      </c>
      <c r="C1790">
        <v>80</v>
      </c>
      <c r="D1790">
        <v>79.978454589999998</v>
      </c>
      <c r="E1790">
        <v>50</v>
      </c>
      <c r="F1790">
        <v>54.400039673000002</v>
      </c>
      <c r="G1790">
        <v>1339.3582764</v>
      </c>
      <c r="H1790">
        <v>1336.9492187999999</v>
      </c>
      <c r="I1790">
        <v>1326.2224120999999</v>
      </c>
      <c r="J1790">
        <v>1324.0041504000001</v>
      </c>
      <c r="K1790">
        <v>2400</v>
      </c>
      <c r="L1790">
        <v>0</v>
      </c>
      <c r="M1790">
        <v>0</v>
      </c>
      <c r="N1790">
        <v>2400</v>
      </c>
    </row>
    <row r="1791" spans="1:14" x14ac:dyDescent="0.25">
      <c r="A1791">
        <v>1253.869414</v>
      </c>
      <c r="B1791" s="1">
        <f>DATE(2013,10,5) + TIME(20,51,57)</f>
        <v>41552.869409722225</v>
      </c>
      <c r="C1791">
        <v>80</v>
      </c>
      <c r="D1791">
        <v>79.978462218999994</v>
      </c>
      <c r="E1791">
        <v>50</v>
      </c>
      <c r="F1791">
        <v>54.791664124</v>
      </c>
      <c r="G1791">
        <v>1339.3526611</v>
      </c>
      <c r="H1791">
        <v>1336.9451904</v>
      </c>
      <c r="I1791">
        <v>1326.2193603999999</v>
      </c>
      <c r="J1791">
        <v>1324.0015868999999</v>
      </c>
      <c r="K1791">
        <v>2400</v>
      </c>
      <c r="L1791">
        <v>0</v>
      </c>
      <c r="M1791">
        <v>0</v>
      </c>
      <c r="N1791">
        <v>2400</v>
      </c>
    </row>
    <row r="1792" spans="1:14" x14ac:dyDescent="0.25">
      <c r="A1792">
        <v>1256.3568560000001</v>
      </c>
      <c r="B1792" s="1">
        <f>DATE(2013,10,8) + TIME(8,33,52)</f>
        <v>41555.356851851851</v>
      </c>
      <c r="C1792">
        <v>80</v>
      </c>
      <c r="D1792">
        <v>79.978477478000002</v>
      </c>
      <c r="E1792">
        <v>50</v>
      </c>
      <c r="F1792">
        <v>55.186141968000001</v>
      </c>
      <c r="G1792">
        <v>1339.3468018000001</v>
      </c>
      <c r="H1792">
        <v>1336.9411620999999</v>
      </c>
      <c r="I1792">
        <v>1326.2169189000001</v>
      </c>
      <c r="J1792">
        <v>1324</v>
      </c>
      <c r="K1792">
        <v>2400</v>
      </c>
      <c r="L1792">
        <v>0</v>
      </c>
      <c r="M1792">
        <v>0</v>
      </c>
      <c r="N1792">
        <v>2400</v>
      </c>
    </row>
    <row r="1793" spans="1:14" x14ac:dyDescent="0.25">
      <c r="A1793">
        <v>1258.878778</v>
      </c>
      <c r="B1793" s="1">
        <f>DATE(2013,10,10) + TIME(21,5,26)</f>
        <v>41557.87877314815</v>
      </c>
      <c r="C1793">
        <v>80</v>
      </c>
      <c r="D1793">
        <v>79.978492736999996</v>
      </c>
      <c r="E1793">
        <v>50</v>
      </c>
      <c r="F1793">
        <v>55.577526093000003</v>
      </c>
      <c r="G1793">
        <v>1339.3410644999999</v>
      </c>
      <c r="H1793">
        <v>1336.9371338000001</v>
      </c>
      <c r="I1793">
        <v>1326.2150879000001</v>
      </c>
      <c r="J1793">
        <v>1323.9993896000001</v>
      </c>
      <c r="K1793">
        <v>2400</v>
      </c>
      <c r="L1793">
        <v>0</v>
      </c>
      <c r="M1793">
        <v>0</v>
      </c>
      <c r="N1793">
        <v>2400</v>
      </c>
    </row>
    <row r="1794" spans="1:14" x14ac:dyDescent="0.25">
      <c r="A1794">
        <v>1261.44875</v>
      </c>
      <c r="B1794" s="1">
        <f>DATE(2013,10,13) + TIME(10,46,11)</f>
        <v>41560.448738425926</v>
      </c>
      <c r="C1794">
        <v>80</v>
      </c>
      <c r="D1794">
        <v>79.978507996000005</v>
      </c>
      <c r="E1794">
        <v>50</v>
      </c>
      <c r="F1794">
        <v>55.965316772000001</v>
      </c>
      <c r="G1794">
        <v>1339.3353271000001</v>
      </c>
      <c r="H1794">
        <v>1336.9331055</v>
      </c>
      <c r="I1794">
        <v>1326.2138672000001</v>
      </c>
      <c r="J1794">
        <v>1323.9998779</v>
      </c>
      <c r="K1794">
        <v>2400</v>
      </c>
      <c r="L1794">
        <v>0</v>
      </c>
      <c r="M1794">
        <v>0</v>
      </c>
      <c r="N1794">
        <v>2400</v>
      </c>
    </row>
    <row r="1795" spans="1:14" x14ac:dyDescent="0.25">
      <c r="A1795">
        <v>1264.0792530000001</v>
      </c>
      <c r="B1795" s="1">
        <f>DATE(2013,10,16) + TIME(1,54,7)</f>
        <v>41563.079247685186</v>
      </c>
      <c r="C1795">
        <v>80</v>
      </c>
      <c r="D1795">
        <v>79.978523253999995</v>
      </c>
      <c r="E1795">
        <v>50</v>
      </c>
      <c r="F1795">
        <v>56.350036621000001</v>
      </c>
      <c r="G1795">
        <v>1339.3297118999999</v>
      </c>
      <c r="H1795">
        <v>1336.9290771000001</v>
      </c>
      <c r="I1795">
        <v>1326.2132568</v>
      </c>
      <c r="J1795">
        <v>1324.0010986</v>
      </c>
      <c r="K1795">
        <v>2400</v>
      </c>
      <c r="L1795">
        <v>0</v>
      </c>
      <c r="M1795">
        <v>0</v>
      </c>
      <c r="N1795">
        <v>2400</v>
      </c>
    </row>
    <row r="1796" spans="1:14" x14ac:dyDescent="0.25">
      <c r="A1796">
        <v>1266.798499</v>
      </c>
      <c r="B1796" s="1">
        <f>DATE(2013,10,18) + TIME(19,9,50)</f>
        <v>41565.798495370371</v>
      </c>
      <c r="C1796">
        <v>80</v>
      </c>
      <c r="D1796">
        <v>79.978538513000004</v>
      </c>
      <c r="E1796">
        <v>50</v>
      </c>
      <c r="F1796">
        <v>56.732479095000002</v>
      </c>
      <c r="G1796">
        <v>1339.3239745999999</v>
      </c>
      <c r="H1796">
        <v>1336.9251709</v>
      </c>
      <c r="I1796">
        <v>1326.2132568</v>
      </c>
      <c r="J1796">
        <v>1324.0032959</v>
      </c>
      <c r="K1796">
        <v>2400</v>
      </c>
      <c r="L1796">
        <v>0</v>
      </c>
      <c r="M1796">
        <v>0</v>
      </c>
      <c r="N1796">
        <v>2400</v>
      </c>
    </row>
    <row r="1797" spans="1:14" x14ac:dyDescent="0.25">
      <c r="A1797">
        <v>1269.543183</v>
      </c>
      <c r="B1797" s="1">
        <f>DATE(2013,10,21) + TIME(13,2,10)</f>
        <v>41568.543171296296</v>
      </c>
      <c r="C1797">
        <v>80</v>
      </c>
      <c r="D1797">
        <v>79.978553771999998</v>
      </c>
      <c r="E1797">
        <v>50</v>
      </c>
      <c r="F1797">
        <v>57.112777710000003</v>
      </c>
      <c r="G1797">
        <v>1339.3181152</v>
      </c>
      <c r="H1797">
        <v>1336.9210204999999</v>
      </c>
      <c r="I1797">
        <v>1326.2138672000001</v>
      </c>
      <c r="J1797">
        <v>1324.0062256000001</v>
      </c>
      <c r="K1797">
        <v>2400</v>
      </c>
      <c r="L1797">
        <v>0</v>
      </c>
      <c r="M1797">
        <v>0</v>
      </c>
      <c r="N1797">
        <v>2400</v>
      </c>
    </row>
    <row r="1798" spans="1:14" x14ac:dyDescent="0.25">
      <c r="A1798">
        <v>1272.325194</v>
      </c>
      <c r="B1798" s="1">
        <f>DATE(2013,10,24) + TIME(7,48,16)</f>
        <v>41571.325185185182</v>
      </c>
      <c r="C1798">
        <v>80</v>
      </c>
      <c r="D1798">
        <v>79.978569031000006</v>
      </c>
      <c r="E1798">
        <v>50</v>
      </c>
      <c r="F1798">
        <v>57.484870911000002</v>
      </c>
      <c r="G1798">
        <v>1339.3123779</v>
      </c>
      <c r="H1798">
        <v>1336.9171143000001</v>
      </c>
      <c r="I1798">
        <v>1326.2152100000001</v>
      </c>
      <c r="J1798">
        <v>1324.0102539</v>
      </c>
      <c r="K1798">
        <v>2400</v>
      </c>
      <c r="L1798">
        <v>0</v>
      </c>
      <c r="M1798">
        <v>0</v>
      </c>
      <c r="N1798">
        <v>2400</v>
      </c>
    </row>
    <row r="1799" spans="1:14" x14ac:dyDescent="0.25">
      <c r="A1799">
        <v>1275.1584170000001</v>
      </c>
      <c r="B1799" s="1">
        <f>DATE(2013,10,27) + TIME(3,48,7)</f>
        <v>41574.158414351848</v>
      </c>
      <c r="C1799">
        <v>80</v>
      </c>
      <c r="D1799">
        <v>79.978584290000001</v>
      </c>
      <c r="E1799">
        <v>50</v>
      </c>
      <c r="F1799">
        <v>57.848274230999998</v>
      </c>
      <c r="G1799">
        <v>1339.3066406</v>
      </c>
      <c r="H1799">
        <v>1336.9130858999999</v>
      </c>
      <c r="I1799">
        <v>1326.2169189000001</v>
      </c>
      <c r="J1799">
        <v>1324.0148925999999</v>
      </c>
      <c r="K1799">
        <v>2400</v>
      </c>
      <c r="L1799">
        <v>0</v>
      </c>
      <c r="M1799">
        <v>0</v>
      </c>
      <c r="N1799">
        <v>2400</v>
      </c>
    </row>
    <row r="1800" spans="1:14" x14ac:dyDescent="0.25">
      <c r="A1800">
        <v>1278.0555260000001</v>
      </c>
      <c r="B1800" s="1">
        <f>DATE(2013,10,30) + TIME(1,19,57)</f>
        <v>41577.055520833332</v>
      </c>
      <c r="C1800">
        <v>80</v>
      </c>
      <c r="D1800">
        <v>79.978599548000005</v>
      </c>
      <c r="E1800">
        <v>50</v>
      </c>
      <c r="F1800">
        <v>58.204162598000003</v>
      </c>
      <c r="G1800">
        <v>1339.3009033000001</v>
      </c>
      <c r="H1800">
        <v>1336.9091797000001</v>
      </c>
      <c r="I1800">
        <v>1326.2192382999999</v>
      </c>
      <c r="J1800">
        <v>1324.0202637</v>
      </c>
      <c r="K1800">
        <v>2400</v>
      </c>
      <c r="L1800">
        <v>0</v>
      </c>
      <c r="M1800">
        <v>0</v>
      </c>
      <c r="N1800">
        <v>2400</v>
      </c>
    </row>
    <row r="1801" spans="1:14" x14ac:dyDescent="0.25">
      <c r="A1801">
        <v>1280</v>
      </c>
      <c r="B1801" s="1">
        <f>DATE(2013,11,1) + TIME(0,0,0)</f>
        <v>41579</v>
      </c>
      <c r="C1801">
        <v>80</v>
      </c>
      <c r="D1801">
        <v>79.978607178000004</v>
      </c>
      <c r="E1801">
        <v>50</v>
      </c>
      <c r="F1801">
        <v>58.524303435999997</v>
      </c>
      <c r="G1801">
        <v>1339.2954102000001</v>
      </c>
      <c r="H1801">
        <v>1336.9055175999999</v>
      </c>
      <c r="I1801">
        <v>1326.2230225000001</v>
      </c>
      <c r="J1801">
        <v>1324.0266113</v>
      </c>
      <c r="K1801">
        <v>2400</v>
      </c>
      <c r="L1801">
        <v>0</v>
      </c>
      <c r="M1801">
        <v>0</v>
      </c>
      <c r="N1801">
        <v>2400</v>
      </c>
    </row>
    <row r="1802" spans="1:14" x14ac:dyDescent="0.25">
      <c r="A1802">
        <v>1280.0000010000001</v>
      </c>
      <c r="B1802" s="1">
        <f>DATE(2013,11,1) + TIME(0,0,0)</f>
        <v>41579</v>
      </c>
      <c r="C1802">
        <v>80</v>
      </c>
      <c r="D1802">
        <v>79.978569031000006</v>
      </c>
      <c r="E1802">
        <v>50</v>
      </c>
      <c r="F1802">
        <v>58.524314879999999</v>
      </c>
      <c r="G1802">
        <v>1336.8947754000001</v>
      </c>
      <c r="H1802">
        <v>1336.5588379000001</v>
      </c>
      <c r="I1802">
        <v>1328.6481934000001</v>
      </c>
      <c r="J1802">
        <v>1326.2364502</v>
      </c>
      <c r="K1802">
        <v>0</v>
      </c>
      <c r="L1802">
        <v>2400</v>
      </c>
      <c r="M1802">
        <v>2400</v>
      </c>
      <c r="N1802">
        <v>0</v>
      </c>
    </row>
    <row r="1803" spans="1:14" x14ac:dyDescent="0.25">
      <c r="A1803">
        <v>1280.000004</v>
      </c>
      <c r="B1803" s="1">
        <f>DATE(2013,11,1) + TIME(0,0,0)</f>
        <v>41579</v>
      </c>
      <c r="C1803">
        <v>80</v>
      </c>
      <c r="D1803">
        <v>79.978469849000007</v>
      </c>
      <c r="E1803">
        <v>50</v>
      </c>
      <c r="F1803">
        <v>58.524353026999997</v>
      </c>
      <c r="G1803">
        <v>1336.8634033000001</v>
      </c>
      <c r="H1803">
        <v>1336.5286865</v>
      </c>
      <c r="I1803">
        <v>1328.6788329999999</v>
      </c>
      <c r="J1803">
        <v>1326.2762451000001</v>
      </c>
      <c r="K1803">
        <v>0</v>
      </c>
      <c r="L1803">
        <v>2400</v>
      </c>
      <c r="M1803">
        <v>2400</v>
      </c>
      <c r="N1803">
        <v>0</v>
      </c>
    </row>
    <row r="1804" spans="1:14" x14ac:dyDescent="0.25">
      <c r="A1804">
        <v>1280.0000130000001</v>
      </c>
      <c r="B1804" s="1">
        <f>DATE(2013,11,1) + TIME(0,0,1)</f>
        <v>41579.000011574077</v>
      </c>
      <c r="C1804">
        <v>80</v>
      </c>
      <c r="D1804">
        <v>79.978187560999999</v>
      </c>
      <c r="E1804">
        <v>50</v>
      </c>
      <c r="F1804">
        <v>58.524452209000003</v>
      </c>
      <c r="G1804">
        <v>1336.7747803</v>
      </c>
      <c r="H1804">
        <v>1336.4432373</v>
      </c>
      <c r="I1804">
        <v>1328.7674560999999</v>
      </c>
      <c r="J1804">
        <v>1326.3895264</v>
      </c>
      <c r="K1804">
        <v>0</v>
      </c>
      <c r="L1804">
        <v>2400</v>
      </c>
      <c r="M1804">
        <v>2400</v>
      </c>
      <c r="N1804">
        <v>0</v>
      </c>
    </row>
    <row r="1805" spans="1:14" x14ac:dyDescent="0.25">
      <c r="A1805">
        <v>1280.0000399999999</v>
      </c>
      <c r="B1805" s="1">
        <f>DATE(2013,11,1) + TIME(0,0,3)</f>
        <v>41579.000034722223</v>
      </c>
      <c r="C1805">
        <v>80</v>
      </c>
      <c r="D1805">
        <v>79.977462768999999</v>
      </c>
      <c r="E1805">
        <v>50</v>
      </c>
      <c r="F1805">
        <v>58.524669647000003</v>
      </c>
      <c r="G1805">
        <v>1336.550293</v>
      </c>
      <c r="H1805">
        <v>1336.2248535000001</v>
      </c>
      <c r="I1805">
        <v>1329.0063477000001</v>
      </c>
      <c r="J1805">
        <v>1326.6853027</v>
      </c>
      <c r="K1805">
        <v>0</v>
      </c>
      <c r="L1805">
        <v>2400</v>
      </c>
      <c r="M1805">
        <v>2400</v>
      </c>
      <c r="N1805">
        <v>0</v>
      </c>
    </row>
    <row r="1806" spans="1:14" x14ac:dyDescent="0.25">
      <c r="A1806">
        <v>1280.000121</v>
      </c>
      <c r="B1806" s="1">
        <f>DATE(2013,11,1) + TIME(0,0,10)</f>
        <v>41579.000115740739</v>
      </c>
      <c r="C1806">
        <v>80</v>
      </c>
      <c r="D1806">
        <v>79.975982665999993</v>
      </c>
      <c r="E1806">
        <v>50</v>
      </c>
      <c r="F1806">
        <v>58.524909973</v>
      </c>
      <c r="G1806">
        <v>1336.0928954999999</v>
      </c>
      <c r="H1806">
        <v>1335.7720947</v>
      </c>
      <c r="I1806">
        <v>1329.5573730000001</v>
      </c>
      <c r="J1806">
        <v>1327.3237305</v>
      </c>
      <c r="K1806">
        <v>0</v>
      </c>
      <c r="L1806">
        <v>2400</v>
      </c>
      <c r="M1806">
        <v>2400</v>
      </c>
      <c r="N1806">
        <v>0</v>
      </c>
    </row>
    <row r="1807" spans="1:14" x14ac:dyDescent="0.25">
      <c r="A1807">
        <v>1280.000364</v>
      </c>
      <c r="B1807" s="1">
        <f>DATE(2013,11,1) + TIME(0,0,31)</f>
        <v>41579.000358796293</v>
      </c>
      <c r="C1807">
        <v>80</v>
      </c>
      <c r="D1807">
        <v>79.973777771000002</v>
      </c>
      <c r="E1807">
        <v>50</v>
      </c>
      <c r="F1807">
        <v>58.523548126000001</v>
      </c>
      <c r="G1807">
        <v>1335.4108887</v>
      </c>
      <c r="H1807">
        <v>1335.0822754000001</v>
      </c>
      <c r="I1807">
        <v>1330.5238036999999</v>
      </c>
      <c r="J1807">
        <v>1328.3375243999999</v>
      </c>
      <c r="K1807">
        <v>0</v>
      </c>
      <c r="L1807">
        <v>2400</v>
      </c>
      <c r="M1807">
        <v>2400</v>
      </c>
      <c r="N1807">
        <v>0</v>
      </c>
    </row>
    <row r="1808" spans="1:14" x14ac:dyDescent="0.25">
      <c r="A1808">
        <v>1280.0010930000001</v>
      </c>
      <c r="B1808" s="1">
        <f>DATE(2013,11,1) + TIME(0,1,34)</f>
        <v>41579.001087962963</v>
      </c>
      <c r="C1808">
        <v>80</v>
      </c>
      <c r="D1808">
        <v>79.971221924000005</v>
      </c>
      <c r="E1808">
        <v>50</v>
      </c>
      <c r="F1808">
        <v>58.515754700000002</v>
      </c>
      <c r="G1808">
        <v>1334.6296387</v>
      </c>
      <c r="H1808">
        <v>1334.2813721</v>
      </c>
      <c r="I1808">
        <v>1331.7729492000001</v>
      </c>
      <c r="J1808">
        <v>1329.5722656</v>
      </c>
      <c r="K1808">
        <v>0</v>
      </c>
      <c r="L1808">
        <v>2400</v>
      </c>
      <c r="M1808">
        <v>2400</v>
      </c>
      <c r="N1808">
        <v>0</v>
      </c>
    </row>
    <row r="1809" spans="1:14" x14ac:dyDescent="0.25">
      <c r="A1809">
        <v>1280.0032799999999</v>
      </c>
      <c r="B1809" s="1">
        <f>DATE(2013,11,1) + TIME(0,4,43)</f>
        <v>41579.003275462965</v>
      </c>
      <c r="C1809">
        <v>80</v>
      </c>
      <c r="D1809">
        <v>79.968475342000005</v>
      </c>
      <c r="E1809">
        <v>50</v>
      </c>
      <c r="F1809">
        <v>58.487304688000002</v>
      </c>
      <c r="G1809">
        <v>1333.8217772999999</v>
      </c>
      <c r="H1809">
        <v>1333.4490966999999</v>
      </c>
      <c r="I1809">
        <v>1333.1027832</v>
      </c>
      <c r="J1809">
        <v>1330.8775635</v>
      </c>
      <c r="K1809">
        <v>0</v>
      </c>
      <c r="L1809">
        <v>2400</v>
      </c>
      <c r="M1809">
        <v>2400</v>
      </c>
      <c r="N1809">
        <v>0</v>
      </c>
    </row>
    <row r="1810" spans="1:14" x14ac:dyDescent="0.25">
      <c r="A1810">
        <v>1280.0098410000001</v>
      </c>
      <c r="B1810" s="1">
        <f>DATE(2013,11,1) + TIME(0,14,10)</f>
        <v>41579.009837962964</v>
      </c>
      <c r="C1810">
        <v>80</v>
      </c>
      <c r="D1810">
        <v>79.965301514000004</v>
      </c>
      <c r="E1810">
        <v>50</v>
      </c>
      <c r="F1810">
        <v>58.397075653000002</v>
      </c>
      <c r="G1810">
        <v>1332.9855957</v>
      </c>
      <c r="H1810">
        <v>1332.5773925999999</v>
      </c>
      <c r="I1810">
        <v>1334.4493408000001</v>
      </c>
      <c r="J1810">
        <v>1332.2050781</v>
      </c>
      <c r="K1810">
        <v>0</v>
      </c>
      <c r="L1810">
        <v>2400</v>
      </c>
      <c r="M1810">
        <v>2400</v>
      </c>
      <c r="N1810">
        <v>0</v>
      </c>
    </row>
    <row r="1811" spans="1:14" x14ac:dyDescent="0.25">
      <c r="A1811">
        <v>1280.029524</v>
      </c>
      <c r="B1811" s="1">
        <f>DATE(2013,11,1) + TIME(0,42,30)</f>
        <v>41579.029513888891</v>
      </c>
      <c r="C1811">
        <v>80</v>
      </c>
      <c r="D1811">
        <v>79.960975646999998</v>
      </c>
      <c r="E1811">
        <v>50</v>
      </c>
      <c r="F1811">
        <v>58.127914429</v>
      </c>
      <c r="G1811">
        <v>1332.1135254000001</v>
      </c>
      <c r="H1811">
        <v>1331.6427002</v>
      </c>
      <c r="I1811">
        <v>1335.7965088000001</v>
      </c>
      <c r="J1811">
        <v>1333.5255127</v>
      </c>
      <c r="K1811">
        <v>0</v>
      </c>
      <c r="L1811">
        <v>2400</v>
      </c>
      <c r="M1811">
        <v>2400</v>
      </c>
      <c r="N1811">
        <v>0</v>
      </c>
    </row>
    <row r="1812" spans="1:14" x14ac:dyDescent="0.25">
      <c r="A1812">
        <v>1280.0634170000001</v>
      </c>
      <c r="B1812" s="1">
        <f>DATE(2013,11,1) + TIME(1,31,19)</f>
        <v>41579.063414351855</v>
      </c>
      <c r="C1812">
        <v>80</v>
      </c>
      <c r="D1812">
        <v>79.956214904999996</v>
      </c>
      <c r="E1812">
        <v>50</v>
      </c>
      <c r="F1812">
        <v>57.684440613</v>
      </c>
      <c r="G1812">
        <v>1331.4825439000001</v>
      </c>
      <c r="H1812">
        <v>1330.9450684000001</v>
      </c>
      <c r="I1812">
        <v>1336.7354736</v>
      </c>
      <c r="J1812">
        <v>1334.4337158000001</v>
      </c>
      <c r="K1812">
        <v>0</v>
      </c>
      <c r="L1812">
        <v>2400</v>
      </c>
      <c r="M1812">
        <v>2400</v>
      </c>
      <c r="N1812">
        <v>0</v>
      </c>
    </row>
    <row r="1813" spans="1:14" x14ac:dyDescent="0.25">
      <c r="A1813">
        <v>1280.100334</v>
      </c>
      <c r="B1813" s="1">
        <f>DATE(2013,11,1) + TIME(2,24,28)</f>
        <v>41579.100324074076</v>
      </c>
      <c r="C1813">
        <v>80</v>
      </c>
      <c r="D1813">
        <v>79.951957703000005</v>
      </c>
      <c r="E1813">
        <v>50</v>
      </c>
      <c r="F1813">
        <v>57.227977752999998</v>
      </c>
      <c r="G1813">
        <v>1331.1154785000001</v>
      </c>
      <c r="H1813">
        <v>1330.5322266000001</v>
      </c>
      <c r="I1813">
        <v>1337.2637939000001</v>
      </c>
      <c r="J1813">
        <v>1334.9387207</v>
      </c>
      <c r="K1813">
        <v>0</v>
      </c>
      <c r="L1813">
        <v>2400</v>
      </c>
      <c r="M1813">
        <v>2400</v>
      </c>
      <c r="N1813">
        <v>0</v>
      </c>
    </row>
    <row r="1814" spans="1:14" x14ac:dyDescent="0.25">
      <c r="A1814">
        <v>1280.140118</v>
      </c>
      <c r="B1814" s="1">
        <f>DATE(2013,11,1) + TIME(3,21,46)</f>
        <v>41579.140115740738</v>
      </c>
      <c r="C1814">
        <v>80</v>
      </c>
      <c r="D1814">
        <v>79.947814941000004</v>
      </c>
      <c r="E1814">
        <v>50</v>
      </c>
      <c r="F1814">
        <v>56.766918181999998</v>
      </c>
      <c r="G1814">
        <v>1330.8748779</v>
      </c>
      <c r="H1814">
        <v>1330.2609863</v>
      </c>
      <c r="I1814">
        <v>1337.597168</v>
      </c>
      <c r="J1814">
        <v>1335.2541504000001</v>
      </c>
      <c r="K1814">
        <v>0</v>
      </c>
      <c r="L1814">
        <v>2400</v>
      </c>
      <c r="M1814">
        <v>2400</v>
      </c>
      <c r="N1814">
        <v>0</v>
      </c>
    </row>
    <row r="1815" spans="1:14" x14ac:dyDescent="0.25">
      <c r="A1815">
        <v>1280.1828379999999</v>
      </c>
      <c r="B1815" s="1">
        <f>DATE(2013,11,1) + TIME(4,23,17)</f>
        <v>41579.182835648149</v>
      </c>
      <c r="C1815">
        <v>80</v>
      </c>
      <c r="D1815">
        <v>79.943618774000001</v>
      </c>
      <c r="E1815">
        <v>50</v>
      </c>
      <c r="F1815">
        <v>56.305961609000001</v>
      </c>
      <c r="G1815">
        <v>1330.7044678</v>
      </c>
      <c r="H1815">
        <v>1330.0697021000001</v>
      </c>
      <c r="I1815">
        <v>1337.8225098</v>
      </c>
      <c r="J1815">
        <v>1335.465332</v>
      </c>
      <c r="K1815">
        <v>0</v>
      </c>
      <c r="L1815">
        <v>2400</v>
      </c>
      <c r="M1815">
        <v>2400</v>
      </c>
      <c r="N1815">
        <v>0</v>
      </c>
    </row>
    <row r="1816" spans="1:14" x14ac:dyDescent="0.25">
      <c r="A1816">
        <v>1280.2286449999999</v>
      </c>
      <c r="B1816" s="1">
        <f>DATE(2013,11,1) + TIME(5,29,14)</f>
        <v>41579.228634259256</v>
      </c>
      <c r="C1816">
        <v>80</v>
      </c>
      <c r="D1816">
        <v>79.939285278</v>
      </c>
      <c r="E1816">
        <v>50</v>
      </c>
      <c r="F1816">
        <v>55.848487853999998</v>
      </c>
      <c r="G1816">
        <v>1330.5766602000001</v>
      </c>
      <c r="H1816">
        <v>1329.9277344</v>
      </c>
      <c r="I1816">
        <v>1337.9815673999999</v>
      </c>
      <c r="J1816">
        <v>1335.6125488</v>
      </c>
      <c r="K1816">
        <v>0</v>
      </c>
      <c r="L1816">
        <v>2400</v>
      </c>
      <c r="M1816">
        <v>2400</v>
      </c>
      <c r="N1816">
        <v>0</v>
      </c>
    </row>
    <row r="1817" spans="1:14" x14ac:dyDescent="0.25">
      <c r="A1817">
        <v>1280.277756</v>
      </c>
      <c r="B1817" s="1">
        <f>DATE(2013,11,1) + TIME(6,39,58)</f>
        <v>41579.277754629627</v>
      </c>
      <c r="C1817">
        <v>80</v>
      </c>
      <c r="D1817">
        <v>79.934753418</v>
      </c>
      <c r="E1817">
        <v>50</v>
      </c>
      <c r="F1817">
        <v>55.397125244000001</v>
      </c>
      <c r="G1817">
        <v>1330.4771728999999</v>
      </c>
      <c r="H1817">
        <v>1329.8179932</v>
      </c>
      <c r="I1817">
        <v>1338.0966797000001</v>
      </c>
      <c r="J1817">
        <v>1335.7175293</v>
      </c>
      <c r="K1817">
        <v>0</v>
      </c>
      <c r="L1817">
        <v>2400</v>
      </c>
      <c r="M1817">
        <v>2400</v>
      </c>
      <c r="N1817">
        <v>0</v>
      </c>
    </row>
    <row r="1818" spans="1:14" x14ac:dyDescent="0.25">
      <c r="A1818">
        <v>1280.330432</v>
      </c>
      <c r="B1818" s="1">
        <f>DATE(2013,11,1) + TIME(7,55,49)</f>
        <v>41579.330428240741</v>
      </c>
      <c r="C1818">
        <v>80</v>
      </c>
      <c r="D1818">
        <v>79.930000304999993</v>
      </c>
      <c r="E1818">
        <v>50</v>
      </c>
      <c r="F1818">
        <v>54.954132080000001</v>
      </c>
      <c r="G1818">
        <v>1330.3972168</v>
      </c>
      <c r="H1818">
        <v>1329.7305908000001</v>
      </c>
      <c r="I1818">
        <v>1338.1812743999999</v>
      </c>
      <c r="J1818">
        <v>1335.7930908000001</v>
      </c>
      <c r="K1818">
        <v>0</v>
      </c>
      <c r="L1818">
        <v>2400</v>
      </c>
      <c r="M1818">
        <v>2400</v>
      </c>
      <c r="N1818">
        <v>0</v>
      </c>
    </row>
    <row r="1819" spans="1:14" x14ac:dyDescent="0.25">
      <c r="A1819">
        <v>1280.386992</v>
      </c>
      <c r="B1819" s="1">
        <f>DATE(2013,11,1) + TIME(9,17,16)</f>
        <v>41579.386990740742</v>
      </c>
      <c r="C1819">
        <v>80</v>
      </c>
      <c r="D1819">
        <v>79.924972534000005</v>
      </c>
      <c r="E1819">
        <v>50</v>
      </c>
      <c r="F1819">
        <v>54.521499634000001</v>
      </c>
      <c r="G1819">
        <v>1330.331543</v>
      </c>
      <c r="H1819">
        <v>1329.6591797000001</v>
      </c>
      <c r="I1819">
        <v>1338.2434082</v>
      </c>
      <c r="J1819">
        <v>1335.8470459</v>
      </c>
      <c r="K1819">
        <v>0</v>
      </c>
      <c r="L1819">
        <v>2400</v>
      </c>
      <c r="M1819">
        <v>2400</v>
      </c>
      <c r="N1819">
        <v>0</v>
      </c>
    </row>
    <row r="1820" spans="1:14" x14ac:dyDescent="0.25">
      <c r="A1820">
        <v>1280.4478650000001</v>
      </c>
      <c r="B1820" s="1">
        <f>DATE(2013,11,1) + TIME(10,44,55)</f>
        <v>41579.447858796295</v>
      </c>
      <c r="C1820">
        <v>80</v>
      </c>
      <c r="D1820">
        <v>79.919647217000005</v>
      </c>
      <c r="E1820">
        <v>50</v>
      </c>
      <c r="F1820">
        <v>54.100708007999998</v>
      </c>
      <c r="G1820">
        <v>1330.2767334</v>
      </c>
      <c r="H1820">
        <v>1329.5998535000001</v>
      </c>
      <c r="I1820">
        <v>1338.2884521000001</v>
      </c>
      <c r="J1820">
        <v>1335.8846435999999</v>
      </c>
      <c r="K1820">
        <v>0</v>
      </c>
      <c r="L1820">
        <v>2400</v>
      </c>
      <c r="M1820">
        <v>2400</v>
      </c>
      <c r="N1820">
        <v>0</v>
      </c>
    </row>
    <row r="1821" spans="1:14" x14ac:dyDescent="0.25">
      <c r="A1821">
        <v>1280.5135310000001</v>
      </c>
      <c r="B1821" s="1">
        <f>DATE(2013,11,1) + TIME(12,19,29)</f>
        <v>41579.51353009259</v>
      </c>
      <c r="C1821">
        <v>80</v>
      </c>
      <c r="D1821">
        <v>79.913978576999995</v>
      </c>
      <c r="E1821">
        <v>50</v>
      </c>
      <c r="F1821">
        <v>53.693340302000003</v>
      </c>
      <c r="G1821">
        <v>1330.2302245999999</v>
      </c>
      <c r="H1821">
        <v>1329.5495605000001</v>
      </c>
      <c r="I1821">
        <v>1338.3203125</v>
      </c>
      <c r="J1821">
        <v>1335.9095459</v>
      </c>
      <c r="K1821">
        <v>0</v>
      </c>
      <c r="L1821">
        <v>2400</v>
      </c>
      <c r="M1821">
        <v>2400</v>
      </c>
      <c r="N1821">
        <v>0</v>
      </c>
    </row>
    <row r="1822" spans="1:14" x14ac:dyDescent="0.25">
      <c r="A1822">
        <v>1280.5833419999999</v>
      </c>
      <c r="B1822" s="1">
        <f>DATE(2013,11,1) + TIME(14,0,0)</f>
        <v>41579.583333333336</v>
      </c>
      <c r="C1822">
        <v>80</v>
      </c>
      <c r="D1822">
        <v>79.908020019999995</v>
      </c>
      <c r="E1822">
        <v>50</v>
      </c>
      <c r="F1822">
        <v>53.306938170999999</v>
      </c>
      <c r="G1822">
        <v>1330.1910399999999</v>
      </c>
      <c r="H1822">
        <v>1329.5070800999999</v>
      </c>
      <c r="I1822">
        <v>1338.3415527</v>
      </c>
      <c r="J1822">
        <v>1335.9246826000001</v>
      </c>
      <c r="K1822">
        <v>0</v>
      </c>
      <c r="L1822">
        <v>2400</v>
      </c>
      <c r="M1822">
        <v>2400</v>
      </c>
      <c r="N1822">
        <v>0</v>
      </c>
    </row>
    <row r="1823" spans="1:14" x14ac:dyDescent="0.25">
      <c r="A1823">
        <v>1280.6569730000001</v>
      </c>
      <c r="B1823" s="1">
        <f>DATE(2013,11,1) + TIME(15,46,2)</f>
        <v>41579.656967592593</v>
      </c>
      <c r="C1823">
        <v>80</v>
      </c>
      <c r="D1823">
        <v>79.901802063000005</v>
      </c>
      <c r="E1823">
        <v>50</v>
      </c>
      <c r="F1823">
        <v>52.945190429999997</v>
      </c>
      <c r="G1823">
        <v>1330.1577147999999</v>
      </c>
      <c r="H1823">
        <v>1329.4710693</v>
      </c>
      <c r="I1823">
        <v>1338.3546143000001</v>
      </c>
      <c r="J1823">
        <v>1335.932251</v>
      </c>
      <c r="K1823">
        <v>0</v>
      </c>
      <c r="L1823">
        <v>2400</v>
      </c>
      <c r="M1823">
        <v>2400</v>
      </c>
      <c r="N1823">
        <v>0</v>
      </c>
    </row>
    <row r="1824" spans="1:14" x14ac:dyDescent="0.25">
      <c r="A1824">
        <v>1280.734845</v>
      </c>
      <c r="B1824" s="1">
        <f>DATE(2013,11,1) + TIME(17,38,10)</f>
        <v>41579.734837962962</v>
      </c>
      <c r="C1824">
        <v>80</v>
      </c>
      <c r="D1824">
        <v>79.895294188999998</v>
      </c>
      <c r="E1824">
        <v>50</v>
      </c>
      <c r="F1824">
        <v>52.607551575000002</v>
      </c>
      <c r="G1824">
        <v>1330.1292725000001</v>
      </c>
      <c r="H1824">
        <v>1329.4400635</v>
      </c>
      <c r="I1824">
        <v>1338.3616943</v>
      </c>
      <c r="J1824">
        <v>1335.9344481999999</v>
      </c>
      <c r="K1824">
        <v>0</v>
      </c>
      <c r="L1824">
        <v>2400</v>
      </c>
      <c r="M1824">
        <v>2400</v>
      </c>
      <c r="N1824">
        <v>0</v>
      </c>
    </row>
    <row r="1825" spans="1:14" x14ac:dyDescent="0.25">
      <c r="A1825">
        <v>1280.8174200000001</v>
      </c>
      <c r="B1825" s="1">
        <f>DATE(2013,11,1) + TIME(19,37,5)</f>
        <v>41579.817418981482</v>
      </c>
      <c r="C1825">
        <v>80</v>
      </c>
      <c r="D1825">
        <v>79.888458252000007</v>
      </c>
      <c r="E1825">
        <v>50</v>
      </c>
      <c r="F1825">
        <v>52.293548584</v>
      </c>
      <c r="G1825">
        <v>1330.1046143000001</v>
      </c>
      <c r="H1825">
        <v>1329.4130858999999</v>
      </c>
      <c r="I1825">
        <v>1338.3641356999999</v>
      </c>
      <c r="J1825">
        <v>1335.9324951000001</v>
      </c>
      <c r="K1825">
        <v>0</v>
      </c>
      <c r="L1825">
        <v>2400</v>
      </c>
      <c r="M1825">
        <v>2400</v>
      </c>
      <c r="N1825">
        <v>0</v>
      </c>
    </row>
    <row r="1826" spans="1:14" x14ac:dyDescent="0.25">
      <c r="A1826">
        <v>1280.905248</v>
      </c>
      <c r="B1826" s="1">
        <f>DATE(2013,11,1) + TIME(21,43,33)</f>
        <v>41579.905243055553</v>
      </c>
      <c r="C1826">
        <v>80</v>
      </c>
      <c r="D1826">
        <v>79.881263732999997</v>
      </c>
      <c r="E1826">
        <v>50</v>
      </c>
      <c r="F1826">
        <v>52.002708435000002</v>
      </c>
      <c r="G1826">
        <v>1330.0830077999999</v>
      </c>
      <c r="H1826">
        <v>1329.3894043</v>
      </c>
      <c r="I1826">
        <v>1338.3632812000001</v>
      </c>
      <c r="J1826">
        <v>1335.9278564000001</v>
      </c>
      <c r="K1826">
        <v>0</v>
      </c>
      <c r="L1826">
        <v>2400</v>
      </c>
      <c r="M1826">
        <v>2400</v>
      </c>
      <c r="N1826">
        <v>0</v>
      </c>
    </row>
    <row r="1827" spans="1:14" x14ac:dyDescent="0.25">
      <c r="A1827">
        <v>1280.998973</v>
      </c>
      <c r="B1827" s="1">
        <f>DATE(2013,11,1) + TIME(23,58,31)</f>
        <v>41579.998969907407</v>
      </c>
      <c r="C1827">
        <v>80</v>
      </c>
      <c r="D1827">
        <v>79.873664856000005</v>
      </c>
      <c r="E1827">
        <v>50</v>
      </c>
      <c r="F1827">
        <v>51.734519958</v>
      </c>
      <c r="G1827">
        <v>1330.0640868999999</v>
      </c>
      <c r="H1827">
        <v>1329.3684082</v>
      </c>
      <c r="I1827">
        <v>1338.3601074000001</v>
      </c>
      <c r="J1827">
        <v>1335.9213867000001</v>
      </c>
      <c r="K1827">
        <v>0</v>
      </c>
      <c r="L1827">
        <v>2400</v>
      </c>
      <c r="M1827">
        <v>2400</v>
      </c>
      <c r="N1827">
        <v>0</v>
      </c>
    </row>
    <row r="1828" spans="1:14" x14ac:dyDescent="0.25">
      <c r="A1828">
        <v>1281.0993659999999</v>
      </c>
      <c r="B1828" s="1">
        <f>DATE(2013,11,2) + TIME(2,23,5)</f>
        <v>41580.099363425928</v>
      </c>
      <c r="C1828">
        <v>80</v>
      </c>
      <c r="D1828">
        <v>79.865615844999994</v>
      </c>
      <c r="E1828">
        <v>50</v>
      </c>
      <c r="F1828">
        <v>51.488479613999999</v>
      </c>
      <c r="G1828">
        <v>1330.0472411999999</v>
      </c>
      <c r="H1828">
        <v>1329.3496094</v>
      </c>
      <c r="I1828">
        <v>1338.3554687999999</v>
      </c>
      <c r="J1828">
        <v>1335.9136963000001</v>
      </c>
      <c r="K1828">
        <v>0</v>
      </c>
      <c r="L1828">
        <v>2400</v>
      </c>
      <c r="M1828">
        <v>2400</v>
      </c>
      <c r="N1828">
        <v>0</v>
      </c>
    </row>
    <row r="1829" spans="1:14" x14ac:dyDescent="0.25">
      <c r="A1829">
        <v>1281.2073539999999</v>
      </c>
      <c r="B1829" s="1">
        <f>DATE(2013,11,2) + TIME(4,58,35)</f>
        <v>41580.207349537035</v>
      </c>
      <c r="C1829">
        <v>80</v>
      </c>
      <c r="D1829">
        <v>79.857040405000006</v>
      </c>
      <c r="E1829">
        <v>50</v>
      </c>
      <c r="F1829">
        <v>51.264049530000001</v>
      </c>
      <c r="G1829">
        <v>1330.0319824000001</v>
      </c>
      <c r="H1829">
        <v>1329.3325195</v>
      </c>
      <c r="I1829">
        <v>1338.3498535000001</v>
      </c>
      <c r="J1829">
        <v>1335.9056396000001</v>
      </c>
      <c r="K1829">
        <v>0</v>
      </c>
      <c r="L1829">
        <v>2400</v>
      </c>
      <c r="M1829">
        <v>2400</v>
      </c>
      <c r="N1829">
        <v>0</v>
      </c>
    </row>
    <row r="1830" spans="1:14" x14ac:dyDescent="0.25">
      <c r="A1830">
        <v>1281.3240639999999</v>
      </c>
      <c r="B1830" s="1">
        <f>DATE(2013,11,2) + TIME(7,46,39)</f>
        <v>41580.324062500003</v>
      </c>
      <c r="C1830">
        <v>80</v>
      </c>
      <c r="D1830">
        <v>79.847877502000003</v>
      </c>
      <c r="E1830">
        <v>50</v>
      </c>
      <c r="F1830">
        <v>51.060684203999998</v>
      </c>
      <c r="G1830">
        <v>1330.0183105000001</v>
      </c>
      <c r="H1830">
        <v>1329.3168945</v>
      </c>
      <c r="I1830">
        <v>1338.3438721</v>
      </c>
      <c r="J1830">
        <v>1335.8975829999999</v>
      </c>
      <c r="K1830">
        <v>0</v>
      </c>
      <c r="L1830">
        <v>2400</v>
      </c>
      <c r="M1830">
        <v>2400</v>
      </c>
      <c r="N1830">
        <v>0</v>
      </c>
    </row>
    <row r="1831" spans="1:14" x14ac:dyDescent="0.25">
      <c r="A1831">
        <v>1281.4508800000001</v>
      </c>
      <c r="B1831" s="1">
        <f>DATE(2013,11,2) + TIME(10,49,15)</f>
        <v>41580.450868055559</v>
      </c>
      <c r="C1831">
        <v>80</v>
      </c>
      <c r="D1831">
        <v>79.838035583000007</v>
      </c>
      <c r="E1831">
        <v>50</v>
      </c>
      <c r="F1831">
        <v>50.877811432000001</v>
      </c>
      <c r="G1831">
        <v>1330.0057373</v>
      </c>
      <c r="H1831">
        <v>1329.3023682</v>
      </c>
      <c r="I1831">
        <v>1338.3377685999999</v>
      </c>
      <c r="J1831">
        <v>1335.8896483999999</v>
      </c>
      <c r="K1831">
        <v>0</v>
      </c>
      <c r="L1831">
        <v>2400</v>
      </c>
      <c r="M1831">
        <v>2400</v>
      </c>
      <c r="N1831">
        <v>0</v>
      </c>
    </row>
    <row r="1832" spans="1:14" x14ac:dyDescent="0.25">
      <c r="A1832">
        <v>1281.5895290000001</v>
      </c>
      <c r="B1832" s="1">
        <f>DATE(2013,11,2) + TIME(14,8,55)</f>
        <v>41580.589525462965</v>
      </c>
      <c r="C1832">
        <v>80</v>
      </c>
      <c r="D1832">
        <v>79.827400208</v>
      </c>
      <c r="E1832">
        <v>50</v>
      </c>
      <c r="F1832">
        <v>50.714832305999998</v>
      </c>
      <c r="G1832">
        <v>1329.9941406</v>
      </c>
      <c r="H1832">
        <v>1329.2888184000001</v>
      </c>
      <c r="I1832">
        <v>1338.3319091999999</v>
      </c>
      <c r="J1832">
        <v>1335.8823242000001</v>
      </c>
      <c r="K1832">
        <v>0</v>
      </c>
      <c r="L1832">
        <v>2400</v>
      </c>
      <c r="M1832">
        <v>2400</v>
      </c>
      <c r="N1832">
        <v>0</v>
      </c>
    </row>
    <row r="1833" spans="1:14" x14ac:dyDescent="0.25">
      <c r="A1833">
        <v>1281.7421830000001</v>
      </c>
      <c r="B1833" s="1">
        <f>DATE(2013,11,2) + TIME(17,48,44)</f>
        <v>41580.742175925923</v>
      </c>
      <c r="C1833">
        <v>80</v>
      </c>
      <c r="D1833">
        <v>79.815849303999997</v>
      </c>
      <c r="E1833">
        <v>50</v>
      </c>
      <c r="F1833">
        <v>50.571113586000003</v>
      </c>
      <c r="G1833">
        <v>1329.9832764</v>
      </c>
      <c r="H1833">
        <v>1329.2758789</v>
      </c>
      <c r="I1833">
        <v>1338.3262939000001</v>
      </c>
      <c r="J1833">
        <v>1335.8756103999999</v>
      </c>
      <c r="K1833">
        <v>0</v>
      </c>
      <c r="L1833">
        <v>2400</v>
      </c>
      <c r="M1833">
        <v>2400</v>
      </c>
      <c r="N1833">
        <v>0</v>
      </c>
    </row>
    <row r="1834" spans="1:14" x14ac:dyDescent="0.25">
      <c r="A1834">
        <v>1281.9116489999999</v>
      </c>
      <c r="B1834" s="1">
        <f>DATE(2013,11,2) + TIME(21,52,46)</f>
        <v>41580.911643518521</v>
      </c>
      <c r="C1834">
        <v>80</v>
      </c>
      <c r="D1834">
        <v>79.803207396999994</v>
      </c>
      <c r="E1834">
        <v>50</v>
      </c>
      <c r="F1834">
        <v>50.445964813000003</v>
      </c>
      <c r="G1834">
        <v>1329.9729004000001</v>
      </c>
      <c r="H1834">
        <v>1329.2633057</v>
      </c>
      <c r="I1834">
        <v>1338.3210449000001</v>
      </c>
      <c r="J1834">
        <v>1335.8696289</v>
      </c>
      <c r="K1834">
        <v>0</v>
      </c>
      <c r="L1834">
        <v>2400</v>
      </c>
      <c r="M1834">
        <v>2400</v>
      </c>
      <c r="N1834">
        <v>0</v>
      </c>
    </row>
    <row r="1835" spans="1:14" x14ac:dyDescent="0.25">
      <c r="A1835">
        <v>1282.1016609999999</v>
      </c>
      <c r="B1835" s="1">
        <f>DATE(2013,11,3) + TIME(2,26,23)</f>
        <v>41581.101655092592</v>
      </c>
      <c r="C1835">
        <v>80</v>
      </c>
      <c r="D1835">
        <v>79.789245605000005</v>
      </c>
      <c r="E1835">
        <v>50</v>
      </c>
      <c r="F1835">
        <v>50.338592529000003</v>
      </c>
      <c r="G1835">
        <v>1329.9628906</v>
      </c>
      <c r="H1835">
        <v>1329.2510986</v>
      </c>
      <c r="I1835">
        <v>1338.3161620999999</v>
      </c>
      <c r="J1835">
        <v>1335.8642577999999</v>
      </c>
      <c r="K1835">
        <v>0</v>
      </c>
      <c r="L1835">
        <v>2400</v>
      </c>
      <c r="M1835">
        <v>2400</v>
      </c>
      <c r="N1835">
        <v>0</v>
      </c>
    </row>
    <row r="1836" spans="1:14" x14ac:dyDescent="0.25">
      <c r="A1836">
        <v>1282.317241</v>
      </c>
      <c r="B1836" s="1">
        <f>DATE(2013,11,3) + TIME(7,36,49)</f>
        <v>41581.317233796297</v>
      </c>
      <c r="C1836">
        <v>80</v>
      </c>
      <c r="D1836">
        <v>79.773674010999997</v>
      </c>
      <c r="E1836">
        <v>50</v>
      </c>
      <c r="F1836">
        <v>50.248142242</v>
      </c>
      <c r="G1836">
        <v>1329.9530029</v>
      </c>
      <c r="H1836">
        <v>1329.2387695</v>
      </c>
      <c r="I1836">
        <v>1338.3116454999999</v>
      </c>
      <c r="J1836">
        <v>1335.8596190999999</v>
      </c>
      <c r="K1836">
        <v>0</v>
      </c>
      <c r="L1836">
        <v>2400</v>
      </c>
      <c r="M1836">
        <v>2400</v>
      </c>
      <c r="N1836">
        <v>0</v>
      </c>
    </row>
    <row r="1837" spans="1:14" x14ac:dyDescent="0.25">
      <c r="A1837">
        <v>1282.5377120000001</v>
      </c>
      <c r="B1837" s="1">
        <f>DATE(2013,11,3) + TIME(12,54,18)</f>
        <v>41581.537708333337</v>
      </c>
      <c r="C1837">
        <v>80</v>
      </c>
      <c r="D1837">
        <v>79.757789611999996</v>
      </c>
      <c r="E1837">
        <v>50</v>
      </c>
      <c r="F1837">
        <v>50.179794311999999</v>
      </c>
      <c r="G1837">
        <v>1329.9433594</v>
      </c>
      <c r="H1837">
        <v>1329.2266846</v>
      </c>
      <c r="I1837">
        <v>1338.3083495999999</v>
      </c>
      <c r="J1837">
        <v>1335.8565673999999</v>
      </c>
      <c r="K1837">
        <v>0</v>
      </c>
      <c r="L1837">
        <v>2400</v>
      </c>
      <c r="M1837">
        <v>2400</v>
      </c>
      <c r="N1837">
        <v>0</v>
      </c>
    </row>
    <row r="1838" spans="1:14" x14ac:dyDescent="0.25">
      <c r="A1838">
        <v>1282.7634989999999</v>
      </c>
      <c r="B1838" s="1">
        <f>DATE(2013,11,3) + TIME(18,19,26)</f>
        <v>41581.763495370367</v>
      </c>
      <c r="C1838">
        <v>80</v>
      </c>
      <c r="D1838">
        <v>79.741554260000001</v>
      </c>
      <c r="E1838">
        <v>50</v>
      </c>
      <c r="F1838">
        <v>50.128349303999997</v>
      </c>
      <c r="G1838">
        <v>1329.9342041</v>
      </c>
      <c r="H1838">
        <v>1329.2149658000001</v>
      </c>
      <c r="I1838">
        <v>1338.3052978999999</v>
      </c>
      <c r="J1838">
        <v>1335.8538818</v>
      </c>
      <c r="K1838">
        <v>0</v>
      </c>
      <c r="L1838">
        <v>2400</v>
      </c>
      <c r="M1838">
        <v>2400</v>
      </c>
      <c r="N1838">
        <v>0</v>
      </c>
    </row>
    <row r="1839" spans="1:14" x14ac:dyDescent="0.25">
      <c r="A1839">
        <v>1282.994635</v>
      </c>
      <c r="B1839" s="1">
        <f>DATE(2013,11,3) + TIME(23,52,16)</f>
        <v>41581.994629629633</v>
      </c>
      <c r="C1839">
        <v>80</v>
      </c>
      <c r="D1839">
        <v>79.724983214999995</v>
      </c>
      <c r="E1839">
        <v>50</v>
      </c>
      <c r="F1839">
        <v>50.089847564999999</v>
      </c>
      <c r="G1839">
        <v>1329.9254149999999</v>
      </c>
      <c r="H1839">
        <v>1329.2036132999999</v>
      </c>
      <c r="I1839">
        <v>1338.3023682</v>
      </c>
      <c r="J1839">
        <v>1335.8515625</v>
      </c>
      <c r="K1839">
        <v>0</v>
      </c>
      <c r="L1839">
        <v>2400</v>
      </c>
      <c r="M1839">
        <v>2400</v>
      </c>
      <c r="N1839">
        <v>0</v>
      </c>
    </row>
    <row r="1840" spans="1:14" x14ac:dyDescent="0.25">
      <c r="A1840">
        <v>1283.232581</v>
      </c>
      <c r="B1840" s="1">
        <f>DATE(2013,11,4) + TIME(5,34,55)</f>
        <v>41582.232581018521</v>
      </c>
      <c r="C1840">
        <v>80</v>
      </c>
      <c r="D1840">
        <v>79.707977295000006</v>
      </c>
      <c r="E1840">
        <v>50</v>
      </c>
      <c r="F1840">
        <v>50.061073303000001</v>
      </c>
      <c r="G1840">
        <v>1329.9167480000001</v>
      </c>
      <c r="H1840">
        <v>1329.1923827999999</v>
      </c>
      <c r="I1840">
        <v>1338.2994385</v>
      </c>
      <c r="J1840">
        <v>1335.8494873</v>
      </c>
      <c r="K1840">
        <v>0</v>
      </c>
      <c r="L1840">
        <v>2400</v>
      </c>
      <c r="M1840">
        <v>2400</v>
      </c>
      <c r="N1840">
        <v>0</v>
      </c>
    </row>
    <row r="1841" spans="1:14" x14ac:dyDescent="0.25">
      <c r="A1841">
        <v>1283.4787610000001</v>
      </c>
      <c r="B1841" s="1">
        <f>DATE(2013,11,4) + TIME(11,29,24)</f>
        <v>41582.478750000002</v>
      </c>
      <c r="C1841">
        <v>80</v>
      </c>
      <c r="D1841">
        <v>79.690467834000003</v>
      </c>
      <c r="E1841">
        <v>50</v>
      </c>
      <c r="F1841">
        <v>50.039634704999997</v>
      </c>
      <c r="G1841">
        <v>1329.9082031</v>
      </c>
      <c r="H1841">
        <v>1329.1812743999999</v>
      </c>
      <c r="I1841">
        <v>1338.2962646000001</v>
      </c>
      <c r="J1841">
        <v>1335.8472899999999</v>
      </c>
      <c r="K1841">
        <v>0</v>
      </c>
      <c r="L1841">
        <v>2400</v>
      </c>
      <c r="M1841">
        <v>2400</v>
      </c>
      <c r="N1841">
        <v>0</v>
      </c>
    </row>
    <row r="1842" spans="1:14" x14ac:dyDescent="0.25">
      <c r="A1842">
        <v>1283.7347279999999</v>
      </c>
      <c r="B1842" s="1">
        <f>DATE(2013,11,4) + TIME(17,38,0)</f>
        <v>41582.734722222223</v>
      </c>
      <c r="C1842">
        <v>80</v>
      </c>
      <c r="D1842">
        <v>79.672355651999993</v>
      </c>
      <c r="E1842">
        <v>50</v>
      </c>
      <c r="F1842">
        <v>50.023738860999998</v>
      </c>
      <c r="G1842">
        <v>1329.8995361</v>
      </c>
      <c r="H1842">
        <v>1329.1700439000001</v>
      </c>
      <c r="I1842">
        <v>1338.2930908000001</v>
      </c>
      <c r="J1842">
        <v>1335.8452147999999</v>
      </c>
      <c r="K1842">
        <v>0</v>
      </c>
      <c r="L1842">
        <v>2400</v>
      </c>
      <c r="M1842">
        <v>2400</v>
      </c>
      <c r="N1842">
        <v>0</v>
      </c>
    </row>
    <row r="1843" spans="1:14" x14ac:dyDescent="0.25">
      <c r="A1843">
        <v>1284.0022240000001</v>
      </c>
      <c r="B1843" s="1">
        <f>DATE(2013,11,5) + TIME(0,3,12)</f>
        <v>41583.002222222225</v>
      </c>
      <c r="C1843">
        <v>80</v>
      </c>
      <c r="D1843">
        <v>79.653533936000002</v>
      </c>
      <c r="E1843">
        <v>50</v>
      </c>
      <c r="F1843">
        <v>50.012023925999998</v>
      </c>
      <c r="G1843">
        <v>1329.8908690999999</v>
      </c>
      <c r="H1843">
        <v>1329.1586914</v>
      </c>
      <c r="I1843">
        <v>1338.2897949000001</v>
      </c>
      <c r="J1843">
        <v>1335.8431396000001</v>
      </c>
      <c r="K1843">
        <v>0</v>
      </c>
      <c r="L1843">
        <v>2400</v>
      </c>
      <c r="M1843">
        <v>2400</v>
      </c>
      <c r="N1843">
        <v>0</v>
      </c>
    </row>
    <row r="1844" spans="1:14" x14ac:dyDescent="0.25">
      <c r="A1844">
        <v>1284.2832470000001</v>
      </c>
      <c r="B1844" s="1">
        <f>DATE(2013,11,5) + TIME(6,47,52)</f>
        <v>41583.28324074074</v>
      </c>
      <c r="C1844">
        <v>80</v>
      </c>
      <c r="D1844">
        <v>79.633888244999994</v>
      </c>
      <c r="E1844">
        <v>50</v>
      </c>
      <c r="F1844">
        <v>50.003452301000003</v>
      </c>
      <c r="G1844">
        <v>1329.8819579999999</v>
      </c>
      <c r="H1844">
        <v>1329.1470947</v>
      </c>
      <c r="I1844">
        <v>1338.2863769999999</v>
      </c>
      <c r="J1844">
        <v>1335.8408202999999</v>
      </c>
      <c r="K1844">
        <v>0</v>
      </c>
      <c r="L1844">
        <v>2400</v>
      </c>
      <c r="M1844">
        <v>2400</v>
      </c>
      <c r="N1844">
        <v>0</v>
      </c>
    </row>
    <row r="1845" spans="1:14" x14ac:dyDescent="0.25">
      <c r="A1845">
        <v>1284.5801260000001</v>
      </c>
      <c r="B1845" s="1">
        <f>DATE(2013,11,5) + TIME(13,55,22)</f>
        <v>41583.58011574074</v>
      </c>
      <c r="C1845">
        <v>80</v>
      </c>
      <c r="D1845">
        <v>79.613296508999994</v>
      </c>
      <c r="E1845">
        <v>50</v>
      </c>
      <c r="F1845">
        <v>49.997234343999999</v>
      </c>
      <c r="G1845">
        <v>1329.8728027</v>
      </c>
      <c r="H1845">
        <v>1329.1351318</v>
      </c>
      <c r="I1845">
        <v>1338.2827147999999</v>
      </c>
      <c r="J1845">
        <v>1335.838501</v>
      </c>
      <c r="K1845">
        <v>0</v>
      </c>
      <c r="L1845">
        <v>2400</v>
      </c>
      <c r="M1845">
        <v>2400</v>
      </c>
      <c r="N1845">
        <v>0</v>
      </c>
    </row>
    <row r="1846" spans="1:14" x14ac:dyDescent="0.25">
      <c r="A1846">
        <v>1284.89564</v>
      </c>
      <c r="B1846" s="1">
        <f>DATE(2013,11,5) + TIME(21,29,43)</f>
        <v>41583.895636574074</v>
      </c>
      <c r="C1846">
        <v>80</v>
      </c>
      <c r="D1846">
        <v>79.591583252000007</v>
      </c>
      <c r="E1846">
        <v>50</v>
      </c>
      <c r="F1846">
        <v>49.992771148999999</v>
      </c>
      <c r="G1846">
        <v>1329.8632812000001</v>
      </c>
      <c r="H1846">
        <v>1329.1226807</v>
      </c>
      <c r="I1846">
        <v>1338.2788086</v>
      </c>
      <c r="J1846">
        <v>1335.8359375</v>
      </c>
      <c r="K1846">
        <v>0</v>
      </c>
      <c r="L1846">
        <v>2400</v>
      </c>
      <c r="M1846">
        <v>2400</v>
      </c>
      <c r="N1846">
        <v>0</v>
      </c>
    </row>
    <row r="1847" spans="1:14" x14ac:dyDescent="0.25">
      <c r="A1847">
        <v>1285.227633</v>
      </c>
      <c r="B1847" s="1">
        <f>DATE(2013,11,6) + TIME(5,27,47)</f>
        <v>41584.227627314816</v>
      </c>
      <c r="C1847">
        <v>80</v>
      </c>
      <c r="D1847">
        <v>79.568870544000006</v>
      </c>
      <c r="E1847">
        <v>50</v>
      </c>
      <c r="F1847">
        <v>49.989631653000004</v>
      </c>
      <c r="G1847">
        <v>1329.8533935999999</v>
      </c>
      <c r="H1847">
        <v>1329.1097411999999</v>
      </c>
      <c r="I1847">
        <v>1338.2749022999999</v>
      </c>
      <c r="J1847">
        <v>1335.833374</v>
      </c>
      <c r="K1847">
        <v>0</v>
      </c>
      <c r="L1847">
        <v>2400</v>
      </c>
      <c r="M1847">
        <v>2400</v>
      </c>
      <c r="N1847">
        <v>0</v>
      </c>
    </row>
    <row r="1848" spans="1:14" x14ac:dyDescent="0.25">
      <c r="A1848">
        <v>1285.5690979999999</v>
      </c>
      <c r="B1848" s="1">
        <f>DATE(2013,11,6) + TIME(13,39,30)</f>
        <v>41584.569097222222</v>
      </c>
      <c r="C1848">
        <v>80</v>
      </c>
      <c r="D1848">
        <v>79.545532226999995</v>
      </c>
      <c r="E1848">
        <v>50</v>
      </c>
      <c r="F1848">
        <v>49.987487793</v>
      </c>
      <c r="G1848">
        <v>1329.8431396000001</v>
      </c>
      <c r="H1848">
        <v>1329.0963135</v>
      </c>
      <c r="I1848">
        <v>1338.2707519999999</v>
      </c>
      <c r="J1848">
        <v>1335.8305664</v>
      </c>
      <c r="K1848">
        <v>0</v>
      </c>
      <c r="L1848">
        <v>2400</v>
      </c>
      <c r="M1848">
        <v>2400</v>
      </c>
      <c r="N1848">
        <v>0</v>
      </c>
    </row>
    <row r="1849" spans="1:14" x14ac:dyDescent="0.25">
      <c r="A1849">
        <v>1285.9196549999999</v>
      </c>
      <c r="B1849" s="1">
        <f>DATE(2013,11,6) + TIME(22,4,18)</f>
        <v>41584.919652777775</v>
      </c>
      <c r="C1849">
        <v>80</v>
      </c>
      <c r="D1849">
        <v>79.521606445000003</v>
      </c>
      <c r="E1849">
        <v>50</v>
      </c>
      <c r="F1849">
        <v>49.986026764000002</v>
      </c>
      <c r="G1849">
        <v>1329.8326416</v>
      </c>
      <c r="H1849">
        <v>1329.0826416</v>
      </c>
      <c r="I1849">
        <v>1338.2666016000001</v>
      </c>
      <c r="J1849">
        <v>1335.8277588000001</v>
      </c>
      <c r="K1849">
        <v>0</v>
      </c>
      <c r="L1849">
        <v>2400</v>
      </c>
      <c r="M1849">
        <v>2400</v>
      </c>
      <c r="N1849">
        <v>0</v>
      </c>
    </row>
    <row r="1850" spans="1:14" x14ac:dyDescent="0.25">
      <c r="A1850">
        <v>1286.277967</v>
      </c>
      <c r="B1850" s="1">
        <f>DATE(2013,11,7) + TIME(6,40,16)</f>
        <v>41585.277962962966</v>
      </c>
      <c r="C1850">
        <v>80</v>
      </c>
      <c r="D1850">
        <v>79.497177124000004</v>
      </c>
      <c r="E1850">
        <v>50</v>
      </c>
      <c r="F1850">
        <v>49.985034943000002</v>
      </c>
      <c r="G1850">
        <v>1329.8220214999999</v>
      </c>
      <c r="H1850">
        <v>1329.0687256000001</v>
      </c>
      <c r="I1850">
        <v>1338.2624512</v>
      </c>
      <c r="J1850">
        <v>1335.8248291</v>
      </c>
      <c r="K1850">
        <v>0</v>
      </c>
      <c r="L1850">
        <v>2400</v>
      </c>
      <c r="M1850">
        <v>2400</v>
      </c>
      <c r="N1850">
        <v>0</v>
      </c>
    </row>
    <row r="1851" spans="1:14" x14ac:dyDescent="0.25">
      <c r="A1851">
        <v>1286.6418229999999</v>
      </c>
      <c r="B1851" s="1">
        <f>DATE(2013,11,7) + TIME(15,24,13)</f>
        <v>41585.641817129632</v>
      </c>
      <c r="C1851">
        <v>80</v>
      </c>
      <c r="D1851">
        <v>79.472373962000006</v>
      </c>
      <c r="E1851">
        <v>50</v>
      </c>
      <c r="F1851">
        <v>49.984359740999999</v>
      </c>
      <c r="G1851">
        <v>1329.8112793</v>
      </c>
      <c r="H1851">
        <v>1329.0545654</v>
      </c>
      <c r="I1851">
        <v>1338.2583007999999</v>
      </c>
      <c r="J1851">
        <v>1335.8220214999999</v>
      </c>
      <c r="K1851">
        <v>0</v>
      </c>
      <c r="L1851">
        <v>2400</v>
      </c>
      <c r="M1851">
        <v>2400</v>
      </c>
      <c r="N1851">
        <v>0</v>
      </c>
    </row>
    <row r="1852" spans="1:14" x14ac:dyDescent="0.25">
      <c r="A1852">
        <v>1287.012076</v>
      </c>
      <c r="B1852" s="1">
        <f>DATE(2013,11,8) + TIME(0,17,23)</f>
        <v>41586.012071759258</v>
      </c>
      <c r="C1852">
        <v>80</v>
      </c>
      <c r="D1852">
        <v>79.447174071999996</v>
      </c>
      <c r="E1852">
        <v>50</v>
      </c>
      <c r="F1852">
        <v>49.983901977999999</v>
      </c>
      <c r="G1852">
        <v>1329.8004149999999</v>
      </c>
      <c r="H1852">
        <v>1329.0404053</v>
      </c>
      <c r="I1852">
        <v>1338.2542725000001</v>
      </c>
      <c r="J1852">
        <v>1335.8190918</v>
      </c>
      <c r="K1852">
        <v>0</v>
      </c>
      <c r="L1852">
        <v>2400</v>
      </c>
      <c r="M1852">
        <v>2400</v>
      </c>
      <c r="N1852">
        <v>0</v>
      </c>
    </row>
    <row r="1853" spans="1:14" x14ac:dyDescent="0.25">
      <c r="A1853">
        <v>1287.3892840000001</v>
      </c>
      <c r="B1853" s="1">
        <f>DATE(2013,11,8) + TIME(9,20,34)</f>
        <v>41586.389282407406</v>
      </c>
      <c r="C1853">
        <v>80</v>
      </c>
      <c r="D1853">
        <v>79.421569824000002</v>
      </c>
      <c r="E1853">
        <v>50</v>
      </c>
      <c r="F1853">
        <v>49.983585357999999</v>
      </c>
      <c r="G1853">
        <v>1329.7894286999999</v>
      </c>
      <c r="H1853">
        <v>1329.0261230000001</v>
      </c>
      <c r="I1853">
        <v>1338.2502440999999</v>
      </c>
      <c r="J1853">
        <v>1335.8161620999999</v>
      </c>
      <c r="K1853">
        <v>0</v>
      </c>
      <c r="L1853">
        <v>2400</v>
      </c>
      <c r="M1853">
        <v>2400</v>
      </c>
      <c r="N1853">
        <v>0</v>
      </c>
    </row>
    <row r="1854" spans="1:14" x14ac:dyDescent="0.25">
      <c r="A1854">
        <v>1287.7744789999999</v>
      </c>
      <c r="B1854" s="1">
        <f>DATE(2013,11,8) + TIME(18,35,14)</f>
        <v>41586.774467592593</v>
      </c>
      <c r="C1854">
        <v>80</v>
      </c>
      <c r="D1854">
        <v>79.395507812000005</v>
      </c>
      <c r="E1854">
        <v>50</v>
      </c>
      <c r="F1854">
        <v>49.983364105</v>
      </c>
      <c r="G1854">
        <v>1329.7784423999999</v>
      </c>
      <c r="H1854">
        <v>1329.0115966999999</v>
      </c>
      <c r="I1854">
        <v>1338.2463379000001</v>
      </c>
      <c r="J1854">
        <v>1335.8132324000001</v>
      </c>
      <c r="K1854">
        <v>0</v>
      </c>
      <c r="L1854">
        <v>2400</v>
      </c>
      <c r="M1854">
        <v>2400</v>
      </c>
      <c r="N1854">
        <v>0</v>
      </c>
    </row>
    <row r="1855" spans="1:14" x14ac:dyDescent="0.25">
      <c r="A1855">
        <v>1288.168516</v>
      </c>
      <c r="B1855" s="1">
        <f>DATE(2013,11,9) + TIME(4,2,39)</f>
        <v>41587.168506944443</v>
      </c>
      <c r="C1855">
        <v>80</v>
      </c>
      <c r="D1855">
        <v>79.368965149000005</v>
      </c>
      <c r="E1855">
        <v>50</v>
      </c>
      <c r="F1855">
        <v>49.983207702999998</v>
      </c>
      <c r="G1855">
        <v>1329.7672118999999</v>
      </c>
      <c r="H1855">
        <v>1328.9970702999999</v>
      </c>
      <c r="I1855">
        <v>1338.2425536999999</v>
      </c>
      <c r="J1855">
        <v>1335.8104248</v>
      </c>
      <c r="K1855">
        <v>0</v>
      </c>
      <c r="L1855">
        <v>2400</v>
      </c>
      <c r="M1855">
        <v>2400</v>
      </c>
      <c r="N1855">
        <v>0</v>
      </c>
    </row>
    <row r="1856" spans="1:14" x14ac:dyDescent="0.25">
      <c r="A1856">
        <v>1288.572277</v>
      </c>
      <c r="B1856" s="1">
        <f>DATE(2013,11,9) + TIME(13,44,4)</f>
        <v>41587.572268518517</v>
      </c>
      <c r="C1856">
        <v>80</v>
      </c>
      <c r="D1856">
        <v>79.341896057</v>
      </c>
      <c r="E1856">
        <v>50</v>
      </c>
      <c r="F1856">
        <v>49.983097076</v>
      </c>
      <c r="G1856">
        <v>1329.7559814000001</v>
      </c>
      <c r="H1856">
        <v>1328.9821777</v>
      </c>
      <c r="I1856">
        <v>1338.2387695</v>
      </c>
      <c r="J1856">
        <v>1335.8074951000001</v>
      </c>
      <c r="K1856">
        <v>0</v>
      </c>
      <c r="L1856">
        <v>2400</v>
      </c>
      <c r="M1856">
        <v>2400</v>
      </c>
      <c r="N1856">
        <v>0</v>
      </c>
    </row>
    <row r="1857" spans="1:14" x14ac:dyDescent="0.25">
      <c r="A1857">
        <v>1288.9866919999999</v>
      </c>
      <c r="B1857" s="1">
        <f>DATE(2013,11,9) + TIME(23,40,50)</f>
        <v>41587.986689814818</v>
      </c>
      <c r="C1857">
        <v>80</v>
      </c>
      <c r="D1857">
        <v>79.314247131000002</v>
      </c>
      <c r="E1857">
        <v>50</v>
      </c>
      <c r="F1857">
        <v>49.983016968000001</v>
      </c>
      <c r="G1857">
        <v>1329.7445068</v>
      </c>
      <c r="H1857">
        <v>1328.9671631000001</v>
      </c>
      <c r="I1857">
        <v>1338.2349853999999</v>
      </c>
      <c r="J1857">
        <v>1335.8045654</v>
      </c>
      <c r="K1857">
        <v>0</v>
      </c>
      <c r="L1857">
        <v>2400</v>
      </c>
      <c r="M1857">
        <v>2400</v>
      </c>
      <c r="N1857">
        <v>0</v>
      </c>
    </row>
    <row r="1858" spans="1:14" x14ac:dyDescent="0.25">
      <c r="A1858">
        <v>1289.4127350000001</v>
      </c>
      <c r="B1858" s="1">
        <f>DATE(2013,11,10) + TIME(9,54,20)</f>
        <v>41588.412731481483</v>
      </c>
      <c r="C1858">
        <v>80</v>
      </c>
      <c r="D1858">
        <v>79.285987853999998</v>
      </c>
      <c r="E1858">
        <v>50</v>
      </c>
      <c r="F1858">
        <v>49.982955933</v>
      </c>
      <c r="G1858">
        <v>1329.7327881000001</v>
      </c>
      <c r="H1858">
        <v>1328.9519043</v>
      </c>
      <c r="I1858">
        <v>1338.2313231999999</v>
      </c>
      <c r="J1858">
        <v>1335.8017577999999</v>
      </c>
      <c r="K1858">
        <v>0</v>
      </c>
      <c r="L1858">
        <v>2400</v>
      </c>
      <c r="M1858">
        <v>2400</v>
      </c>
      <c r="N1858">
        <v>0</v>
      </c>
    </row>
    <row r="1859" spans="1:14" x14ac:dyDescent="0.25">
      <c r="A1859">
        <v>1289.8514299999999</v>
      </c>
      <c r="B1859" s="1">
        <f>DATE(2013,11,10) + TIME(20,26,3)</f>
        <v>41588.851423611108</v>
      </c>
      <c r="C1859">
        <v>80</v>
      </c>
      <c r="D1859">
        <v>79.257057189999998</v>
      </c>
      <c r="E1859">
        <v>50</v>
      </c>
      <c r="F1859">
        <v>49.982913971000002</v>
      </c>
      <c r="G1859">
        <v>1329.7209473</v>
      </c>
      <c r="H1859">
        <v>1328.9362793</v>
      </c>
      <c r="I1859">
        <v>1338.2276611</v>
      </c>
      <c r="J1859">
        <v>1335.7988281</v>
      </c>
      <c r="K1859">
        <v>0</v>
      </c>
      <c r="L1859">
        <v>2400</v>
      </c>
      <c r="M1859">
        <v>2400</v>
      </c>
      <c r="N1859">
        <v>0</v>
      </c>
    </row>
    <row r="1860" spans="1:14" x14ac:dyDescent="0.25">
      <c r="A1860">
        <v>1290.3038750000001</v>
      </c>
      <c r="B1860" s="1">
        <f>DATE(2013,11,11) + TIME(7,17,34)</f>
        <v>41589.303865740738</v>
      </c>
      <c r="C1860">
        <v>80</v>
      </c>
      <c r="D1860">
        <v>79.227401732999994</v>
      </c>
      <c r="E1860">
        <v>50</v>
      </c>
      <c r="F1860">
        <v>49.982879638999997</v>
      </c>
      <c r="G1860">
        <v>1329.7087402</v>
      </c>
      <c r="H1860">
        <v>1328.9204102000001</v>
      </c>
      <c r="I1860">
        <v>1338.2241211</v>
      </c>
      <c r="J1860">
        <v>1335.7958983999999</v>
      </c>
      <c r="K1860">
        <v>0</v>
      </c>
      <c r="L1860">
        <v>2400</v>
      </c>
      <c r="M1860">
        <v>2400</v>
      </c>
      <c r="N1860">
        <v>0</v>
      </c>
    </row>
    <row r="1861" spans="1:14" x14ac:dyDescent="0.25">
      <c r="A1861">
        <v>1290.7712650000001</v>
      </c>
      <c r="B1861" s="1">
        <f>DATE(2013,11,11) + TIME(18,30,37)</f>
        <v>41589.771261574075</v>
      </c>
      <c r="C1861">
        <v>80</v>
      </c>
      <c r="D1861">
        <v>79.196960449000002</v>
      </c>
      <c r="E1861">
        <v>50</v>
      </c>
      <c r="F1861">
        <v>49.982856750000003</v>
      </c>
      <c r="G1861">
        <v>1329.6964111</v>
      </c>
      <c r="H1861">
        <v>1328.9041748</v>
      </c>
      <c r="I1861">
        <v>1338.2204589999999</v>
      </c>
      <c r="J1861">
        <v>1335.7930908000001</v>
      </c>
      <c r="K1861">
        <v>0</v>
      </c>
      <c r="L1861">
        <v>2400</v>
      </c>
      <c r="M1861">
        <v>2400</v>
      </c>
      <c r="N1861">
        <v>0</v>
      </c>
    </row>
    <row r="1862" spans="1:14" x14ac:dyDescent="0.25">
      <c r="A1862">
        <v>1291.254876</v>
      </c>
      <c r="B1862" s="1">
        <f>DATE(2013,11,12) + TIME(6,7,1)</f>
        <v>41590.254872685182</v>
      </c>
      <c r="C1862">
        <v>80</v>
      </c>
      <c r="D1862">
        <v>79.165664672999995</v>
      </c>
      <c r="E1862">
        <v>50</v>
      </c>
      <c r="F1862">
        <v>49.982837676999999</v>
      </c>
      <c r="G1862">
        <v>1329.6837158000001</v>
      </c>
      <c r="H1862">
        <v>1328.8875731999999</v>
      </c>
      <c r="I1862">
        <v>1338.2169189000001</v>
      </c>
      <c r="J1862">
        <v>1335.7901611</v>
      </c>
      <c r="K1862">
        <v>0</v>
      </c>
      <c r="L1862">
        <v>2400</v>
      </c>
      <c r="M1862">
        <v>2400</v>
      </c>
      <c r="N1862">
        <v>0</v>
      </c>
    </row>
    <row r="1863" spans="1:14" x14ac:dyDescent="0.25">
      <c r="A1863">
        <v>1291.755932</v>
      </c>
      <c r="B1863" s="1">
        <f>DATE(2013,11,12) + TIME(18,8,32)</f>
        <v>41590.755925925929</v>
      </c>
      <c r="C1863">
        <v>80</v>
      </c>
      <c r="D1863">
        <v>79.133460998999993</v>
      </c>
      <c r="E1863">
        <v>50</v>
      </c>
      <c r="F1863">
        <v>49.982822417999998</v>
      </c>
      <c r="G1863">
        <v>1329.6707764</v>
      </c>
      <c r="H1863">
        <v>1328.8706055</v>
      </c>
      <c r="I1863">
        <v>1338.213501</v>
      </c>
      <c r="J1863">
        <v>1335.7872314000001</v>
      </c>
      <c r="K1863">
        <v>0</v>
      </c>
      <c r="L1863">
        <v>2400</v>
      </c>
      <c r="M1863">
        <v>2400</v>
      </c>
      <c r="N1863">
        <v>0</v>
      </c>
    </row>
    <row r="1864" spans="1:14" x14ac:dyDescent="0.25">
      <c r="A1864">
        <v>1292.2760020000001</v>
      </c>
      <c r="B1864" s="1">
        <f>DATE(2013,11,13) + TIME(6,37,26)</f>
        <v>41591.275995370372</v>
      </c>
      <c r="C1864">
        <v>80</v>
      </c>
      <c r="D1864">
        <v>79.100273131999998</v>
      </c>
      <c r="E1864">
        <v>50</v>
      </c>
      <c r="F1864">
        <v>49.982810974000003</v>
      </c>
      <c r="G1864">
        <v>1329.6573486</v>
      </c>
      <c r="H1864">
        <v>1328.8530272999999</v>
      </c>
      <c r="I1864">
        <v>1338.2099608999999</v>
      </c>
      <c r="J1864">
        <v>1335.7843018000001</v>
      </c>
      <c r="K1864">
        <v>0</v>
      </c>
      <c r="L1864">
        <v>2400</v>
      </c>
      <c r="M1864">
        <v>2400</v>
      </c>
      <c r="N1864">
        <v>0</v>
      </c>
    </row>
    <row r="1865" spans="1:14" x14ac:dyDescent="0.25">
      <c r="A1865">
        <v>1292.8168069999999</v>
      </c>
      <c r="B1865" s="1">
        <f>DATE(2013,11,13) + TIME(19,36,12)</f>
        <v>41591.816805555558</v>
      </c>
      <c r="C1865">
        <v>80</v>
      </c>
      <c r="D1865">
        <v>79.066001892000003</v>
      </c>
      <c r="E1865">
        <v>50</v>
      </c>
      <c r="F1865">
        <v>49.982803345000001</v>
      </c>
      <c r="G1865">
        <v>1329.6436768000001</v>
      </c>
      <c r="H1865">
        <v>1328.8350829999999</v>
      </c>
      <c r="I1865">
        <v>1338.206543</v>
      </c>
      <c r="J1865">
        <v>1335.78125</v>
      </c>
      <c r="K1865">
        <v>0</v>
      </c>
      <c r="L1865">
        <v>2400</v>
      </c>
      <c r="M1865">
        <v>2400</v>
      </c>
      <c r="N1865">
        <v>0</v>
      </c>
    </row>
    <row r="1866" spans="1:14" x14ac:dyDescent="0.25">
      <c r="A1866">
        <v>1293.3801900000001</v>
      </c>
      <c r="B1866" s="1">
        <f>DATE(2013,11,14) + TIME(9,7,28)</f>
        <v>41592.380185185182</v>
      </c>
      <c r="C1866">
        <v>80</v>
      </c>
      <c r="D1866">
        <v>79.030570983999993</v>
      </c>
      <c r="E1866">
        <v>50</v>
      </c>
      <c r="F1866">
        <v>49.982799530000001</v>
      </c>
      <c r="G1866">
        <v>1329.6293945</v>
      </c>
      <c r="H1866">
        <v>1328.8164062000001</v>
      </c>
      <c r="I1866">
        <v>1338.2030029</v>
      </c>
      <c r="J1866">
        <v>1335.7781981999999</v>
      </c>
      <c r="K1866">
        <v>0</v>
      </c>
      <c r="L1866">
        <v>2400</v>
      </c>
      <c r="M1866">
        <v>2400</v>
      </c>
      <c r="N1866">
        <v>0</v>
      </c>
    </row>
    <row r="1867" spans="1:14" x14ac:dyDescent="0.25">
      <c r="A1867">
        <v>1293.96819</v>
      </c>
      <c r="B1867" s="1">
        <f>DATE(2013,11,14) + TIME(23,14,11)</f>
        <v>41592.968182870369</v>
      </c>
      <c r="C1867">
        <v>80</v>
      </c>
      <c r="D1867">
        <v>78.993873596</v>
      </c>
      <c r="E1867">
        <v>50</v>
      </c>
      <c r="F1867">
        <v>49.982795715000002</v>
      </c>
      <c r="G1867">
        <v>1329.6147461</v>
      </c>
      <c r="H1867">
        <v>1328.7972411999999</v>
      </c>
      <c r="I1867">
        <v>1338.1995850000001</v>
      </c>
      <c r="J1867">
        <v>1335.7751464999999</v>
      </c>
      <c r="K1867">
        <v>0</v>
      </c>
      <c r="L1867">
        <v>2400</v>
      </c>
      <c r="M1867">
        <v>2400</v>
      </c>
      <c r="N1867">
        <v>0</v>
      </c>
    </row>
    <row r="1868" spans="1:14" x14ac:dyDescent="0.25">
      <c r="A1868">
        <v>1294.5830880000001</v>
      </c>
      <c r="B1868" s="1">
        <f>DATE(2013,11,15) + TIME(13,59,38)</f>
        <v>41593.583078703705</v>
      </c>
      <c r="C1868">
        <v>80</v>
      </c>
      <c r="D1868">
        <v>78.955810546999999</v>
      </c>
      <c r="E1868">
        <v>50</v>
      </c>
      <c r="F1868">
        <v>49.982791900999999</v>
      </c>
      <c r="G1868">
        <v>1329.5996094</v>
      </c>
      <c r="H1868">
        <v>1328.7773437999999</v>
      </c>
      <c r="I1868">
        <v>1338.1960449000001</v>
      </c>
      <c r="J1868">
        <v>1335.7720947</v>
      </c>
      <c r="K1868">
        <v>0</v>
      </c>
      <c r="L1868">
        <v>2400</v>
      </c>
      <c r="M1868">
        <v>2400</v>
      </c>
      <c r="N1868">
        <v>0</v>
      </c>
    </row>
    <row r="1869" spans="1:14" x14ac:dyDescent="0.25">
      <c r="A1869">
        <v>1295.2274159999999</v>
      </c>
      <c r="B1869" s="1">
        <f>DATE(2013,11,16) + TIME(5,27,28)</f>
        <v>41594.227407407408</v>
      </c>
      <c r="C1869">
        <v>80</v>
      </c>
      <c r="D1869">
        <v>78.916244507000002</v>
      </c>
      <c r="E1869">
        <v>50</v>
      </c>
      <c r="F1869">
        <v>49.982791900999999</v>
      </c>
      <c r="G1869">
        <v>1329.5838623</v>
      </c>
      <c r="H1869">
        <v>1328.7567139</v>
      </c>
      <c r="I1869">
        <v>1338.1926269999999</v>
      </c>
      <c r="J1869">
        <v>1335.7689209</v>
      </c>
      <c r="K1869">
        <v>0</v>
      </c>
      <c r="L1869">
        <v>2400</v>
      </c>
      <c r="M1869">
        <v>2400</v>
      </c>
      <c r="N1869">
        <v>0</v>
      </c>
    </row>
    <row r="1870" spans="1:14" x14ac:dyDescent="0.25">
      <c r="A1870">
        <v>1295.904031</v>
      </c>
      <c r="B1870" s="1">
        <f>DATE(2013,11,16) + TIME(21,41,48)</f>
        <v>41594.904027777775</v>
      </c>
      <c r="C1870">
        <v>80</v>
      </c>
      <c r="D1870">
        <v>78.875061035000002</v>
      </c>
      <c r="E1870">
        <v>50</v>
      </c>
      <c r="F1870">
        <v>49.982791900999999</v>
      </c>
      <c r="G1870">
        <v>1329.5675048999999</v>
      </c>
      <c r="H1870">
        <v>1328.7352295000001</v>
      </c>
      <c r="I1870">
        <v>1338.1890868999999</v>
      </c>
      <c r="J1870">
        <v>1335.7657471</v>
      </c>
      <c r="K1870">
        <v>0</v>
      </c>
      <c r="L1870">
        <v>2400</v>
      </c>
      <c r="M1870">
        <v>2400</v>
      </c>
      <c r="N1870">
        <v>0</v>
      </c>
    </row>
    <row r="1871" spans="1:14" x14ac:dyDescent="0.25">
      <c r="A1871">
        <v>1296.6161669999999</v>
      </c>
      <c r="B1871" s="1">
        <f>DATE(2013,11,17) + TIME(14,47,16)</f>
        <v>41595.616157407407</v>
      </c>
      <c r="C1871">
        <v>80</v>
      </c>
      <c r="D1871">
        <v>78.832099915000001</v>
      </c>
      <c r="E1871">
        <v>50</v>
      </c>
      <c r="F1871">
        <v>49.982791900999999</v>
      </c>
      <c r="G1871">
        <v>1329.5505370999999</v>
      </c>
      <c r="H1871">
        <v>1328.7128906</v>
      </c>
      <c r="I1871">
        <v>1338.1855469</v>
      </c>
      <c r="J1871">
        <v>1335.7625731999999</v>
      </c>
      <c r="K1871">
        <v>0</v>
      </c>
      <c r="L1871">
        <v>2400</v>
      </c>
      <c r="M1871">
        <v>2400</v>
      </c>
      <c r="N1871">
        <v>0</v>
      </c>
    </row>
    <row r="1872" spans="1:14" x14ac:dyDescent="0.25">
      <c r="A1872">
        <v>1297.3674759999999</v>
      </c>
      <c r="B1872" s="1">
        <f>DATE(2013,11,18) + TIME(8,49,9)</f>
        <v>41596.367465277777</v>
      </c>
      <c r="C1872">
        <v>80</v>
      </c>
      <c r="D1872">
        <v>78.787200928000004</v>
      </c>
      <c r="E1872">
        <v>50</v>
      </c>
      <c r="F1872">
        <v>49.982795715000002</v>
      </c>
      <c r="G1872">
        <v>1329.5327147999999</v>
      </c>
      <c r="H1872">
        <v>1328.6895752</v>
      </c>
      <c r="I1872">
        <v>1338.1821289</v>
      </c>
      <c r="J1872">
        <v>1335.7591553</v>
      </c>
      <c r="K1872">
        <v>0</v>
      </c>
      <c r="L1872">
        <v>2400</v>
      </c>
      <c r="M1872">
        <v>2400</v>
      </c>
      <c r="N1872">
        <v>0</v>
      </c>
    </row>
    <row r="1873" spans="1:14" x14ac:dyDescent="0.25">
      <c r="A1873">
        <v>1298.1621720000001</v>
      </c>
      <c r="B1873" s="1">
        <f>DATE(2013,11,19) + TIME(3,53,31)</f>
        <v>41597.162164351852</v>
      </c>
      <c r="C1873">
        <v>80</v>
      </c>
      <c r="D1873">
        <v>78.740180968999994</v>
      </c>
      <c r="E1873">
        <v>50</v>
      </c>
      <c r="F1873">
        <v>49.982799530000001</v>
      </c>
      <c r="G1873">
        <v>1329.5141602000001</v>
      </c>
      <c r="H1873">
        <v>1328.6651611</v>
      </c>
      <c r="I1873">
        <v>1338.1784668</v>
      </c>
      <c r="J1873">
        <v>1335.7557373</v>
      </c>
      <c r="K1873">
        <v>0</v>
      </c>
      <c r="L1873">
        <v>2400</v>
      </c>
      <c r="M1873">
        <v>2400</v>
      </c>
      <c r="N1873">
        <v>0</v>
      </c>
    </row>
    <row r="1874" spans="1:14" x14ac:dyDescent="0.25">
      <c r="A1874">
        <v>1298.979583</v>
      </c>
      <c r="B1874" s="1">
        <f>DATE(2013,11,19) + TIME(23,30,36)</f>
        <v>41597.979583333334</v>
      </c>
      <c r="C1874">
        <v>80</v>
      </c>
      <c r="D1874">
        <v>78.691703795999999</v>
      </c>
      <c r="E1874">
        <v>50</v>
      </c>
      <c r="F1874">
        <v>49.982799530000001</v>
      </c>
      <c r="G1874">
        <v>1329.494751</v>
      </c>
      <c r="H1874">
        <v>1328.6396483999999</v>
      </c>
      <c r="I1874">
        <v>1338.1749268000001</v>
      </c>
      <c r="J1874">
        <v>1335.7523193</v>
      </c>
      <c r="K1874">
        <v>0</v>
      </c>
      <c r="L1874">
        <v>2400</v>
      </c>
      <c r="M1874">
        <v>2400</v>
      </c>
      <c r="N1874">
        <v>0</v>
      </c>
    </row>
    <row r="1875" spans="1:14" x14ac:dyDescent="0.25">
      <c r="A1875">
        <v>1299.8061929999999</v>
      </c>
      <c r="B1875" s="1">
        <f>DATE(2013,11,20) + TIME(19,20,55)</f>
        <v>41598.806192129632</v>
      </c>
      <c r="C1875">
        <v>80</v>
      </c>
      <c r="D1875">
        <v>78.642410278</v>
      </c>
      <c r="E1875">
        <v>50</v>
      </c>
      <c r="F1875">
        <v>49.982803345000001</v>
      </c>
      <c r="G1875">
        <v>1329.4747314000001</v>
      </c>
      <c r="H1875">
        <v>1328.6135254000001</v>
      </c>
      <c r="I1875">
        <v>1338.1713867000001</v>
      </c>
      <c r="J1875">
        <v>1335.7487793</v>
      </c>
      <c r="K1875">
        <v>0</v>
      </c>
      <c r="L1875">
        <v>2400</v>
      </c>
      <c r="M1875">
        <v>2400</v>
      </c>
      <c r="N1875">
        <v>0</v>
      </c>
    </row>
    <row r="1876" spans="1:14" x14ac:dyDescent="0.25">
      <c r="A1876">
        <v>1300.644344</v>
      </c>
      <c r="B1876" s="1">
        <f>DATE(2013,11,21) + TIME(15,27,51)</f>
        <v>41599.64434027778</v>
      </c>
      <c r="C1876">
        <v>80</v>
      </c>
      <c r="D1876">
        <v>78.592498778999996</v>
      </c>
      <c r="E1876">
        <v>50</v>
      </c>
      <c r="F1876">
        <v>49.982810974000003</v>
      </c>
      <c r="G1876">
        <v>1329.4545897999999</v>
      </c>
      <c r="H1876">
        <v>1328.5869141000001</v>
      </c>
      <c r="I1876">
        <v>1338.1679687999999</v>
      </c>
      <c r="J1876">
        <v>1335.7453613</v>
      </c>
      <c r="K1876">
        <v>0</v>
      </c>
      <c r="L1876">
        <v>2400</v>
      </c>
      <c r="M1876">
        <v>2400</v>
      </c>
      <c r="N1876">
        <v>0</v>
      </c>
    </row>
    <row r="1877" spans="1:14" x14ac:dyDescent="0.25">
      <c r="A1877">
        <v>1301.496099</v>
      </c>
      <c r="B1877" s="1">
        <f>DATE(2013,11,22) + TIME(11,54,22)</f>
        <v>41600.496087962965</v>
      </c>
      <c r="C1877">
        <v>80</v>
      </c>
      <c r="D1877">
        <v>78.542030334000003</v>
      </c>
      <c r="E1877">
        <v>50</v>
      </c>
      <c r="F1877">
        <v>49.982814789000003</v>
      </c>
      <c r="G1877">
        <v>1329.434082</v>
      </c>
      <c r="H1877">
        <v>1328.5601807</v>
      </c>
      <c r="I1877">
        <v>1338.1645507999999</v>
      </c>
      <c r="J1877">
        <v>1335.7420654</v>
      </c>
      <c r="K1877">
        <v>0</v>
      </c>
      <c r="L1877">
        <v>2400</v>
      </c>
      <c r="M1877">
        <v>2400</v>
      </c>
      <c r="N1877">
        <v>0</v>
      </c>
    </row>
    <row r="1878" spans="1:14" x14ac:dyDescent="0.25">
      <c r="A1878">
        <v>1302.3635409999999</v>
      </c>
      <c r="B1878" s="1">
        <f>DATE(2013,11,23) + TIME(8,43,29)</f>
        <v>41601.363530092596</v>
      </c>
      <c r="C1878">
        <v>80</v>
      </c>
      <c r="D1878">
        <v>78.491004943999997</v>
      </c>
      <c r="E1878">
        <v>50</v>
      </c>
      <c r="F1878">
        <v>49.982822417999998</v>
      </c>
      <c r="G1878">
        <v>1329.4135742000001</v>
      </c>
      <c r="H1878">
        <v>1328.5330810999999</v>
      </c>
      <c r="I1878">
        <v>1338.1613769999999</v>
      </c>
      <c r="J1878">
        <v>1335.7387695</v>
      </c>
      <c r="K1878">
        <v>0</v>
      </c>
      <c r="L1878">
        <v>2400</v>
      </c>
      <c r="M1878">
        <v>2400</v>
      </c>
      <c r="N1878">
        <v>0</v>
      </c>
    </row>
    <row r="1879" spans="1:14" x14ac:dyDescent="0.25">
      <c r="A1879">
        <v>1303.2488060000001</v>
      </c>
      <c r="B1879" s="1">
        <f>DATE(2013,11,24) + TIME(5,58,16)</f>
        <v>41602.248796296299</v>
      </c>
      <c r="C1879">
        <v>80</v>
      </c>
      <c r="D1879">
        <v>78.439376831000004</v>
      </c>
      <c r="E1879">
        <v>50</v>
      </c>
      <c r="F1879">
        <v>49.982826232999997</v>
      </c>
      <c r="G1879">
        <v>1329.3927002</v>
      </c>
      <c r="H1879">
        <v>1328.5056152</v>
      </c>
      <c r="I1879">
        <v>1338.1582031</v>
      </c>
      <c r="J1879">
        <v>1335.7354736</v>
      </c>
      <c r="K1879">
        <v>0</v>
      </c>
      <c r="L1879">
        <v>2400</v>
      </c>
      <c r="M1879">
        <v>2400</v>
      </c>
      <c r="N1879">
        <v>0</v>
      </c>
    </row>
    <row r="1880" spans="1:14" x14ac:dyDescent="0.25">
      <c r="A1880">
        <v>1304.154137</v>
      </c>
      <c r="B1880" s="1">
        <f>DATE(2013,11,25) + TIME(3,41,57)</f>
        <v>41603.154131944444</v>
      </c>
      <c r="C1880">
        <v>80</v>
      </c>
      <c r="D1880">
        <v>78.387077332000004</v>
      </c>
      <c r="E1880">
        <v>50</v>
      </c>
      <c r="F1880">
        <v>49.982833862</v>
      </c>
      <c r="G1880">
        <v>1329.371582</v>
      </c>
      <c r="H1880">
        <v>1328.4779053</v>
      </c>
      <c r="I1880">
        <v>1338.1551514</v>
      </c>
      <c r="J1880">
        <v>1335.7321777</v>
      </c>
      <c r="K1880">
        <v>0</v>
      </c>
      <c r="L1880">
        <v>2400</v>
      </c>
      <c r="M1880">
        <v>2400</v>
      </c>
      <c r="N1880">
        <v>0</v>
      </c>
    </row>
    <row r="1881" spans="1:14" x14ac:dyDescent="0.25">
      <c r="A1881">
        <v>1305.081833</v>
      </c>
      <c r="B1881" s="1">
        <f>DATE(2013,11,26) + TIME(1,57,50)</f>
        <v>41604.081828703704</v>
      </c>
      <c r="C1881">
        <v>80</v>
      </c>
      <c r="D1881">
        <v>78.334007263000004</v>
      </c>
      <c r="E1881">
        <v>50</v>
      </c>
      <c r="F1881">
        <v>49.982841491999999</v>
      </c>
      <c r="G1881">
        <v>1329.3500977000001</v>
      </c>
      <c r="H1881">
        <v>1328.449707</v>
      </c>
      <c r="I1881">
        <v>1338.1520995999999</v>
      </c>
      <c r="J1881">
        <v>1335.7288818</v>
      </c>
      <c r="K1881">
        <v>0</v>
      </c>
      <c r="L1881">
        <v>2400</v>
      </c>
      <c r="M1881">
        <v>2400</v>
      </c>
      <c r="N1881">
        <v>0</v>
      </c>
    </row>
    <row r="1882" spans="1:14" x14ac:dyDescent="0.25">
      <c r="A1882">
        <v>1306.0244170000001</v>
      </c>
      <c r="B1882" s="1">
        <f>DATE(2013,11,27) + TIME(0,35,9)</f>
        <v>41605.024409722224</v>
      </c>
      <c r="C1882">
        <v>80</v>
      </c>
      <c r="D1882">
        <v>78.280395507999998</v>
      </c>
      <c r="E1882">
        <v>50</v>
      </c>
      <c r="F1882">
        <v>49.982849121000001</v>
      </c>
      <c r="G1882">
        <v>1329.3282471</v>
      </c>
      <c r="H1882">
        <v>1328.4210204999999</v>
      </c>
      <c r="I1882">
        <v>1338.1491699000001</v>
      </c>
      <c r="J1882">
        <v>1335.7257079999999</v>
      </c>
      <c r="K1882">
        <v>0</v>
      </c>
      <c r="L1882">
        <v>2400</v>
      </c>
      <c r="M1882">
        <v>2400</v>
      </c>
      <c r="N1882">
        <v>0</v>
      </c>
    </row>
    <row r="1883" spans="1:14" x14ac:dyDescent="0.25">
      <c r="A1883">
        <v>1306.9828070000001</v>
      </c>
      <c r="B1883" s="1">
        <f>DATE(2013,11,27) + TIME(23,35,14)</f>
        <v>41605.982800925929</v>
      </c>
      <c r="C1883">
        <v>80</v>
      </c>
      <c r="D1883">
        <v>78.226280212000006</v>
      </c>
      <c r="E1883">
        <v>50</v>
      </c>
      <c r="F1883">
        <v>49.982856750000003</v>
      </c>
      <c r="G1883">
        <v>1329.3062743999999</v>
      </c>
      <c r="H1883">
        <v>1328.3919678</v>
      </c>
      <c r="I1883">
        <v>1338.1462402</v>
      </c>
      <c r="J1883">
        <v>1335.7225341999999</v>
      </c>
      <c r="K1883">
        <v>0</v>
      </c>
      <c r="L1883">
        <v>2400</v>
      </c>
      <c r="M1883">
        <v>2400</v>
      </c>
      <c r="N1883">
        <v>0</v>
      </c>
    </row>
    <row r="1884" spans="1:14" x14ac:dyDescent="0.25">
      <c r="A1884">
        <v>1307.959325</v>
      </c>
      <c r="B1884" s="1">
        <f>DATE(2013,11,28) + TIME(23,1,25)</f>
        <v>41606.959317129629</v>
      </c>
      <c r="C1884">
        <v>80</v>
      </c>
      <c r="D1884">
        <v>78.171630859000004</v>
      </c>
      <c r="E1884">
        <v>50</v>
      </c>
      <c r="F1884">
        <v>49.982864380000002</v>
      </c>
      <c r="G1884">
        <v>1329.2839355000001</v>
      </c>
      <c r="H1884">
        <v>1328.3626709</v>
      </c>
      <c r="I1884">
        <v>1338.1434326000001</v>
      </c>
      <c r="J1884">
        <v>1335.7193603999999</v>
      </c>
      <c r="K1884">
        <v>0</v>
      </c>
      <c r="L1884">
        <v>2400</v>
      </c>
      <c r="M1884">
        <v>2400</v>
      </c>
      <c r="N1884">
        <v>0</v>
      </c>
    </row>
    <row r="1885" spans="1:14" x14ac:dyDescent="0.25">
      <c r="A1885">
        <v>1308.956328</v>
      </c>
      <c r="B1885" s="1">
        <f>DATE(2013,11,29) + TIME(22,57,6)</f>
        <v>41607.956319444442</v>
      </c>
      <c r="C1885">
        <v>80</v>
      </c>
      <c r="D1885">
        <v>78.116401671999995</v>
      </c>
      <c r="E1885">
        <v>50</v>
      </c>
      <c r="F1885">
        <v>49.982872008999998</v>
      </c>
      <c r="G1885">
        <v>1329.2613524999999</v>
      </c>
      <c r="H1885">
        <v>1328.3328856999999</v>
      </c>
      <c r="I1885">
        <v>1338.140625</v>
      </c>
      <c r="J1885">
        <v>1335.7161865</v>
      </c>
      <c r="K1885">
        <v>0</v>
      </c>
      <c r="L1885">
        <v>2400</v>
      </c>
      <c r="M1885">
        <v>2400</v>
      </c>
      <c r="N1885">
        <v>0</v>
      </c>
    </row>
    <row r="1886" spans="1:14" x14ac:dyDescent="0.25">
      <c r="A1886">
        <v>1310</v>
      </c>
      <c r="B1886" s="1">
        <f>DATE(2013,12,1) + TIME(0,0,0)</f>
        <v>41609</v>
      </c>
      <c r="C1886">
        <v>80</v>
      </c>
      <c r="D1886">
        <v>78.059829711999996</v>
      </c>
      <c r="E1886">
        <v>50</v>
      </c>
      <c r="F1886">
        <v>49.982883452999999</v>
      </c>
      <c r="G1886">
        <v>1329.2384033000001</v>
      </c>
      <c r="H1886">
        <v>1328.3027344</v>
      </c>
      <c r="I1886">
        <v>1338.1379394999999</v>
      </c>
      <c r="J1886">
        <v>1335.7131348</v>
      </c>
      <c r="K1886">
        <v>0</v>
      </c>
      <c r="L1886">
        <v>2400</v>
      </c>
      <c r="M1886">
        <v>2400</v>
      </c>
      <c r="N1886">
        <v>0</v>
      </c>
    </row>
    <row r="1887" spans="1:14" x14ac:dyDescent="0.25">
      <c r="A1887">
        <v>1311.019943</v>
      </c>
      <c r="B1887" s="1">
        <f>DATE(2013,12,2) + TIME(0,28,43)</f>
        <v>41610.019942129627</v>
      </c>
      <c r="C1887">
        <v>80</v>
      </c>
      <c r="D1887">
        <v>78.003547667999996</v>
      </c>
      <c r="E1887">
        <v>50</v>
      </c>
      <c r="F1887">
        <v>49.982891082999998</v>
      </c>
      <c r="G1887">
        <v>1329.2147216999999</v>
      </c>
      <c r="H1887">
        <v>1328.2717285000001</v>
      </c>
      <c r="I1887">
        <v>1338.1351318</v>
      </c>
      <c r="J1887">
        <v>1335.7099608999999</v>
      </c>
      <c r="K1887">
        <v>0</v>
      </c>
      <c r="L1887">
        <v>2400</v>
      </c>
      <c r="M1887">
        <v>2400</v>
      </c>
      <c r="N1887">
        <v>0</v>
      </c>
    </row>
    <row r="1888" spans="1:14" x14ac:dyDescent="0.25">
      <c r="A1888">
        <v>1312.094118</v>
      </c>
      <c r="B1888" s="1">
        <f>DATE(2013,12,3) + TIME(2,15,31)</f>
        <v>41611.094108796293</v>
      </c>
      <c r="C1888">
        <v>80</v>
      </c>
      <c r="D1888">
        <v>77.946166992000002</v>
      </c>
      <c r="E1888">
        <v>50</v>
      </c>
      <c r="F1888">
        <v>49.982902527</v>
      </c>
      <c r="G1888">
        <v>1329.1912841999999</v>
      </c>
      <c r="H1888">
        <v>1328.2408447</v>
      </c>
      <c r="I1888">
        <v>1338.1325684000001</v>
      </c>
      <c r="J1888">
        <v>1335.7069091999999</v>
      </c>
      <c r="K1888">
        <v>0</v>
      </c>
      <c r="L1888">
        <v>2400</v>
      </c>
      <c r="M1888">
        <v>2400</v>
      </c>
      <c r="N1888">
        <v>0</v>
      </c>
    </row>
    <row r="1889" spans="1:14" x14ac:dyDescent="0.25">
      <c r="A1889">
        <v>1313.198877</v>
      </c>
      <c r="B1889" s="1">
        <f>DATE(2013,12,4) + TIME(4,46,22)</f>
        <v>41612.198865740742</v>
      </c>
      <c r="C1889">
        <v>80</v>
      </c>
      <c r="D1889">
        <v>77.887702942000004</v>
      </c>
      <c r="E1889">
        <v>50</v>
      </c>
      <c r="F1889">
        <v>49.982910156000003</v>
      </c>
      <c r="G1889">
        <v>1329.1671143000001</v>
      </c>
      <c r="H1889">
        <v>1328.2091064000001</v>
      </c>
      <c r="I1889">
        <v>1338.1300048999999</v>
      </c>
      <c r="J1889">
        <v>1335.7038574000001</v>
      </c>
      <c r="K1889">
        <v>0</v>
      </c>
      <c r="L1889">
        <v>2400</v>
      </c>
      <c r="M1889">
        <v>2400</v>
      </c>
      <c r="N1889">
        <v>0</v>
      </c>
    </row>
    <row r="1890" spans="1:14" x14ac:dyDescent="0.25">
      <c r="A1890">
        <v>1314.3377399999999</v>
      </c>
      <c r="B1890" s="1">
        <f>DATE(2013,12,5) + TIME(8,6,20)</f>
        <v>41613.337731481479</v>
      </c>
      <c r="C1890">
        <v>80</v>
      </c>
      <c r="D1890">
        <v>77.828102111999996</v>
      </c>
      <c r="E1890">
        <v>50</v>
      </c>
      <c r="F1890">
        <v>49.982921599999997</v>
      </c>
      <c r="G1890">
        <v>1329.1424560999999</v>
      </c>
      <c r="H1890">
        <v>1328.1765137</v>
      </c>
      <c r="I1890">
        <v>1338.1273193</v>
      </c>
      <c r="J1890">
        <v>1335.7006836</v>
      </c>
      <c r="K1890">
        <v>0</v>
      </c>
      <c r="L1890">
        <v>2400</v>
      </c>
      <c r="M1890">
        <v>2400</v>
      </c>
      <c r="N1890">
        <v>0</v>
      </c>
    </row>
    <row r="1891" spans="1:14" x14ac:dyDescent="0.25">
      <c r="A1891">
        <v>1315.5136110000001</v>
      </c>
      <c r="B1891" s="1">
        <f>DATE(2013,12,6) + TIME(12,19,36)</f>
        <v>41614.513611111113</v>
      </c>
      <c r="C1891">
        <v>80</v>
      </c>
      <c r="D1891">
        <v>77.767272949000002</v>
      </c>
      <c r="E1891">
        <v>50</v>
      </c>
      <c r="F1891">
        <v>49.982933043999999</v>
      </c>
      <c r="G1891">
        <v>1329.1170654</v>
      </c>
      <c r="H1891">
        <v>1328.1431885</v>
      </c>
      <c r="I1891">
        <v>1338.1247559000001</v>
      </c>
      <c r="J1891">
        <v>1335.6976318</v>
      </c>
      <c r="K1891">
        <v>0</v>
      </c>
      <c r="L1891">
        <v>2400</v>
      </c>
      <c r="M1891">
        <v>2400</v>
      </c>
      <c r="N1891">
        <v>0</v>
      </c>
    </row>
    <row r="1892" spans="1:14" x14ac:dyDescent="0.25">
      <c r="A1892">
        <v>1316.730239</v>
      </c>
      <c r="B1892" s="1">
        <f>DATE(2013,12,7) + TIME(17,31,32)</f>
        <v>41615.730231481481</v>
      </c>
      <c r="C1892">
        <v>80</v>
      </c>
      <c r="D1892">
        <v>77.705085753999995</v>
      </c>
      <c r="E1892">
        <v>50</v>
      </c>
      <c r="F1892">
        <v>49.982944488999998</v>
      </c>
      <c r="G1892">
        <v>1329.0910644999999</v>
      </c>
      <c r="H1892">
        <v>1328.1088867000001</v>
      </c>
      <c r="I1892">
        <v>1338.1221923999999</v>
      </c>
      <c r="J1892">
        <v>1335.6944579999999</v>
      </c>
      <c r="K1892">
        <v>0</v>
      </c>
      <c r="L1892">
        <v>2400</v>
      </c>
      <c r="M1892">
        <v>2400</v>
      </c>
      <c r="N1892">
        <v>0</v>
      </c>
    </row>
    <row r="1893" spans="1:14" x14ac:dyDescent="0.25">
      <c r="A1893">
        <v>1317.9916149999999</v>
      </c>
      <c r="B1893" s="1">
        <f>DATE(2013,12,8) + TIME(23,47,55)</f>
        <v>41616.991608796299</v>
      </c>
      <c r="C1893">
        <v>80</v>
      </c>
      <c r="D1893">
        <v>77.641426085999996</v>
      </c>
      <c r="E1893">
        <v>50</v>
      </c>
      <c r="F1893">
        <v>49.982955933</v>
      </c>
      <c r="G1893">
        <v>1329.0643310999999</v>
      </c>
      <c r="H1893">
        <v>1328.0737305</v>
      </c>
      <c r="I1893">
        <v>1338.1196289</v>
      </c>
      <c r="J1893">
        <v>1335.6914062000001</v>
      </c>
      <c r="K1893">
        <v>0</v>
      </c>
      <c r="L1893">
        <v>2400</v>
      </c>
      <c r="M1893">
        <v>2400</v>
      </c>
      <c r="N1893">
        <v>0</v>
      </c>
    </row>
    <row r="1894" spans="1:14" x14ac:dyDescent="0.25">
      <c r="A1894">
        <v>1319.3021209999999</v>
      </c>
      <c r="B1894" s="1">
        <f>DATE(2013,12,10) + TIME(7,15,3)</f>
        <v>41618.302118055559</v>
      </c>
      <c r="C1894">
        <v>80</v>
      </c>
      <c r="D1894">
        <v>77.576141356999997</v>
      </c>
      <c r="E1894">
        <v>50</v>
      </c>
      <c r="F1894">
        <v>49.982967377000001</v>
      </c>
      <c r="G1894">
        <v>1329.0367432</v>
      </c>
      <c r="H1894">
        <v>1328.0374756000001</v>
      </c>
      <c r="I1894">
        <v>1338.1170654</v>
      </c>
      <c r="J1894">
        <v>1335.6882324000001</v>
      </c>
      <c r="K1894">
        <v>0</v>
      </c>
      <c r="L1894">
        <v>2400</v>
      </c>
      <c r="M1894">
        <v>2400</v>
      </c>
      <c r="N1894">
        <v>0</v>
      </c>
    </row>
    <row r="1895" spans="1:14" x14ac:dyDescent="0.25">
      <c r="A1895">
        <v>1320.6665909999999</v>
      </c>
      <c r="B1895" s="1">
        <f>DATE(2013,12,11) + TIME(15,59,53)</f>
        <v>41619.666585648149</v>
      </c>
      <c r="C1895">
        <v>80</v>
      </c>
      <c r="D1895">
        <v>77.509071349999999</v>
      </c>
      <c r="E1895">
        <v>50</v>
      </c>
      <c r="F1895">
        <v>49.982982634999999</v>
      </c>
      <c r="G1895">
        <v>1329.0084228999999</v>
      </c>
      <c r="H1895">
        <v>1328</v>
      </c>
      <c r="I1895">
        <v>1338.1145019999999</v>
      </c>
      <c r="J1895">
        <v>1335.6849365</v>
      </c>
      <c r="K1895">
        <v>0</v>
      </c>
      <c r="L1895">
        <v>2400</v>
      </c>
      <c r="M1895">
        <v>2400</v>
      </c>
      <c r="N1895">
        <v>0</v>
      </c>
    </row>
    <row r="1896" spans="1:14" x14ac:dyDescent="0.25">
      <c r="A1896">
        <v>1322.0904049999999</v>
      </c>
      <c r="B1896" s="1">
        <f>DATE(2013,12,13) + TIME(2,10,10)</f>
        <v>41621.09039351852</v>
      </c>
      <c r="C1896">
        <v>80</v>
      </c>
      <c r="D1896">
        <v>77.440055846999996</v>
      </c>
      <c r="E1896">
        <v>50</v>
      </c>
      <c r="F1896">
        <v>49.982994079999997</v>
      </c>
      <c r="G1896">
        <v>1328.9790039</v>
      </c>
      <c r="H1896">
        <v>1327.9613036999999</v>
      </c>
      <c r="I1896">
        <v>1338.1119385</v>
      </c>
      <c r="J1896">
        <v>1335.6817627</v>
      </c>
      <c r="K1896">
        <v>0</v>
      </c>
      <c r="L1896">
        <v>2400</v>
      </c>
      <c r="M1896">
        <v>2400</v>
      </c>
      <c r="N1896">
        <v>0</v>
      </c>
    </row>
    <row r="1897" spans="1:14" x14ac:dyDescent="0.25">
      <c r="A1897">
        <v>1323.5795760000001</v>
      </c>
      <c r="B1897" s="1">
        <f>DATE(2013,12,14) + TIME(13,54,35)</f>
        <v>41622.579571759263</v>
      </c>
      <c r="C1897">
        <v>80</v>
      </c>
      <c r="D1897">
        <v>77.368896484000004</v>
      </c>
      <c r="E1897">
        <v>50</v>
      </c>
      <c r="F1897">
        <v>49.983009338000002</v>
      </c>
      <c r="G1897">
        <v>1328.9484863</v>
      </c>
      <c r="H1897">
        <v>1327.9211425999999</v>
      </c>
      <c r="I1897">
        <v>1338.109375</v>
      </c>
      <c r="J1897">
        <v>1335.6784668</v>
      </c>
      <c r="K1897">
        <v>0</v>
      </c>
      <c r="L1897">
        <v>2400</v>
      </c>
      <c r="M1897">
        <v>2400</v>
      </c>
      <c r="N1897">
        <v>0</v>
      </c>
    </row>
    <row r="1898" spans="1:14" x14ac:dyDescent="0.25">
      <c r="A1898">
        <v>1325.109694</v>
      </c>
      <c r="B1898" s="1">
        <f>DATE(2013,12,16) + TIME(2,37,57)</f>
        <v>41624.1096875</v>
      </c>
      <c r="C1898">
        <v>80</v>
      </c>
      <c r="D1898">
        <v>77.295967102000006</v>
      </c>
      <c r="E1898">
        <v>50</v>
      </c>
      <c r="F1898">
        <v>49.983024596999996</v>
      </c>
      <c r="G1898">
        <v>1328.9168701000001</v>
      </c>
      <c r="H1898">
        <v>1327.8795166</v>
      </c>
      <c r="I1898">
        <v>1338.1068115</v>
      </c>
      <c r="J1898">
        <v>1335.6750488</v>
      </c>
      <c r="K1898">
        <v>0</v>
      </c>
      <c r="L1898">
        <v>2400</v>
      </c>
      <c r="M1898">
        <v>2400</v>
      </c>
      <c r="N1898">
        <v>0</v>
      </c>
    </row>
    <row r="1899" spans="1:14" x14ac:dyDescent="0.25">
      <c r="A1899">
        <v>1326.6604480000001</v>
      </c>
      <c r="B1899" s="1">
        <f>DATE(2013,12,17) + TIME(15,51,2)</f>
        <v>41625.660439814812</v>
      </c>
      <c r="C1899">
        <v>80</v>
      </c>
      <c r="D1899">
        <v>77.222076415999993</v>
      </c>
      <c r="E1899">
        <v>50</v>
      </c>
      <c r="F1899">
        <v>49.983036040999998</v>
      </c>
      <c r="G1899">
        <v>1328.8843993999999</v>
      </c>
      <c r="H1899">
        <v>1327.8367920000001</v>
      </c>
      <c r="I1899">
        <v>1338.1042480000001</v>
      </c>
      <c r="J1899">
        <v>1335.6717529</v>
      </c>
      <c r="K1899">
        <v>0</v>
      </c>
      <c r="L1899">
        <v>2400</v>
      </c>
      <c r="M1899">
        <v>2400</v>
      </c>
      <c r="N1899">
        <v>0</v>
      </c>
    </row>
    <row r="1900" spans="1:14" x14ac:dyDescent="0.25">
      <c r="A1900">
        <v>1328.2339959999999</v>
      </c>
      <c r="B1900" s="1">
        <f>DATE(2013,12,19) + TIME(5,36,57)</f>
        <v>41627.233993055554</v>
      </c>
      <c r="C1900">
        <v>80</v>
      </c>
      <c r="D1900">
        <v>77.147750853999995</v>
      </c>
      <c r="E1900">
        <v>50</v>
      </c>
      <c r="F1900">
        <v>49.9830513</v>
      </c>
      <c r="G1900">
        <v>1328.8514404</v>
      </c>
      <c r="H1900">
        <v>1327.7933350000001</v>
      </c>
      <c r="I1900">
        <v>1338.1016846</v>
      </c>
      <c r="J1900">
        <v>1335.668457</v>
      </c>
      <c r="K1900">
        <v>0</v>
      </c>
      <c r="L1900">
        <v>2400</v>
      </c>
      <c r="M1900">
        <v>2400</v>
      </c>
      <c r="N1900">
        <v>0</v>
      </c>
    </row>
    <row r="1901" spans="1:14" x14ac:dyDescent="0.25">
      <c r="A1901">
        <v>1329.8346630000001</v>
      </c>
      <c r="B1901" s="1">
        <f>DATE(2013,12,20) + TIME(20,1,54)</f>
        <v>41628.834652777776</v>
      </c>
      <c r="C1901">
        <v>80</v>
      </c>
      <c r="D1901">
        <v>77.073104857999994</v>
      </c>
      <c r="E1901">
        <v>50</v>
      </c>
      <c r="F1901">
        <v>49.983066559000001</v>
      </c>
      <c r="G1901">
        <v>1328.8181152</v>
      </c>
      <c r="H1901">
        <v>1327.7495117000001</v>
      </c>
      <c r="I1901">
        <v>1338.0992432</v>
      </c>
      <c r="J1901">
        <v>1335.6651611</v>
      </c>
      <c r="K1901">
        <v>0</v>
      </c>
      <c r="L1901">
        <v>2400</v>
      </c>
      <c r="M1901">
        <v>2400</v>
      </c>
      <c r="N1901">
        <v>0</v>
      </c>
    </row>
    <row r="1902" spans="1:14" x14ac:dyDescent="0.25">
      <c r="A1902">
        <v>1331.4668750000001</v>
      </c>
      <c r="B1902" s="1">
        <f>DATE(2013,12,22) + TIME(11,12,17)</f>
        <v>41630.466863425929</v>
      </c>
      <c r="C1902">
        <v>80</v>
      </c>
      <c r="D1902">
        <v>76.998069763000004</v>
      </c>
      <c r="E1902">
        <v>50</v>
      </c>
      <c r="F1902">
        <v>49.983085631999998</v>
      </c>
      <c r="G1902">
        <v>1328.7845459</v>
      </c>
      <c r="H1902">
        <v>1327.7052002</v>
      </c>
      <c r="I1902">
        <v>1338.0968018000001</v>
      </c>
      <c r="J1902">
        <v>1335.6618652</v>
      </c>
      <c r="K1902">
        <v>0</v>
      </c>
      <c r="L1902">
        <v>2400</v>
      </c>
      <c r="M1902">
        <v>2400</v>
      </c>
      <c r="N1902">
        <v>0</v>
      </c>
    </row>
    <row r="1903" spans="1:14" x14ac:dyDescent="0.25">
      <c r="A1903">
        <v>1333.13525</v>
      </c>
      <c r="B1903" s="1">
        <f>DATE(2013,12,24) + TIME(3,14,45)</f>
        <v>41632.135243055556</v>
      </c>
      <c r="C1903">
        <v>80</v>
      </c>
      <c r="D1903">
        <v>76.922515868999994</v>
      </c>
      <c r="E1903">
        <v>50</v>
      </c>
      <c r="F1903">
        <v>49.983100890999999</v>
      </c>
      <c r="G1903">
        <v>1328.7504882999999</v>
      </c>
      <c r="H1903">
        <v>1327.6602783000001</v>
      </c>
      <c r="I1903">
        <v>1338.0944824000001</v>
      </c>
      <c r="J1903">
        <v>1335.6586914</v>
      </c>
      <c r="K1903">
        <v>0</v>
      </c>
      <c r="L1903">
        <v>2400</v>
      </c>
      <c r="M1903">
        <v>2400</v>
      </c>
      <c r="N1903">
        <v>0</v>
      </c>
    </row>
    <row r="1904" spans="1:14" x14ac:dyDescent="0.25">
      <c r="A1904">
        <v>1334.8418320000001</v>
      </c>
      <c r="B1904" s="1">
        <f>DATE(2013,12,25) + TIME(20,12,14)</f>
        <v>41633.841828703706</v>
      </c>
      <c r="C1904">
        <v>80</v>
      </c>
      <c r="D1904">
        <v>76.846328735</v>
      </c>
      <c r="E1904">
        <v>50</v>
      </c>
      <c r="F1904">
        <v>49.983116150000001</v>
      </c>
      <c r="G1904">
        <v>1328.7158202999999</v>
      </c>
      <c r="H1904">
        <v>1327.614624</v>
      </c>
      <c r="I1904">
        <v>1338.0921631000001</v>
      </c>
      <c r="J1904">
        <v>1335.6555175999999</v>
      </c>
      <c r="K1904">
        <v>0</v>
      </c>
      <c r="L1904">
        <v>2400</v>
      </c>
      <c r="M1904">
        <v>2400</v>
      </c>
      <c r="N1904">
        <v>0</v>
      </c>
    </row>
    <row r="1905" spans="1:14" x14ac:dyDescent="0.25">
      <c r="A1905">
        <v>1336.5801959999999</v>
      </c>
      <c r="B1905" s="1">
        <f>DATE(2013,12,27) + TIME(13,55,28)</f>
        <v>41635.580185185187</v>
      </c>
      <c r="C1905">
        <v>80</v>
      </c>
      <c r="D1905">
        <v>76.769546508999994</v>
      </c>
      <c r="E1905">
        <v>50</v>
      </c>
      <c r="F1905">
        <v>49.983131409000002</v>
      </c>
      <c r="G1905">
        <v>1328.6806641000001</v>
      </c>
      <c r="H1905">
        <v>1327.5682373</v>
      </c>
      <c r="I1905">
        <v>1338.0898437999999</v>
      </c>
      <c r="J1905">
        <v>1335.6523437999999</v>
      </c>
      <c r="K1905">
        <v>0</v>
      </c>
      <c r="L1905">
        <v>2400</v>
      </c>
      <c r="M1905">
        <v>2400</v>
      </c>
      <c r="N1905">
        <v>0</v>
      </c>
    </row>
    <row r="1906" spans="1:14" x14ac:dyDescent="0.25">
      <c r="A1906">
        <v>1338.355292</v>
      </c>
      <c r="B1906" s="1">
        <f>DATE(2013,12,29) + TIME(8,31,37)</f>
        <v>41637.35528935185</v>
      </c>
      <c r="C1906">
        <v>80</v>
      </c>
      <c r="D1906">
        <v>76.692207335999996</v>
      </c>
      <c r="E1906">
        <v>50</v>
      </c>
      <c r="F1906">
        <v>49.983150481999999</v>
      </c>
      <c r="G1906">
        <v>1328.6451416</v>
      </c>
      <c r="H1906">
        <v>1327.5212402</v>
      </c>
      <c r="I1906">
        <v>1338.0875243999999</v>
      </c>
      <c r="J1906">
        <v>1335.6492920000001</v>
      </c>
      <c r="K1906">
        <v>0</v>
      </c>
      <c r="L1906">
        <v>2400</v>
      </c>
      <c r="M1906">
        <v>2400</v>
      </c>
      <c r="N1906">
        <v>0</v>
      </c>
    </row>
    <row r="1907" spans="1:14" x14ac:dyDescent="0.25">
      <c r="A1907">
        <v>1340.172106</v>
      </c>
      <c r="B1907" s="1">
        <f>DATE(2013,12,31) + TIME(4,7,49)</f>
        <v>41639.172094907408</v>
      </c>
      <c r="C1907">
        <v>80</v>
      </c>
      <c r="D1907">
        <v>76.614212035999998</v>
      </c>
      <c r="E1907">
        <v>50</v>
      </c>
      <c r="F1907">
        <v>49.983165741000001</v>
      </c>
      <c r="G1907">
        <v>1328.6088867000001</v>
      </c>
      <c r="H1907">
        <v>1327.4735106999999</v>
      </c>
      <c r="I1907">
        <v>1338.0852050999999</v>
      </c>
      <c r="J1907">
        <v>1335.6461182</v>
      </c>
      <c r="K1907">
        <v>0</v>
      </c>
      <c r="L1907">
        <v>2400</v>
      </c>
      <c r="M1907">
        <v>2400</v>
      </c>
      <c r="N1907">
        <v>0</v>
      </c>
    </row>
    <row r="1908" spans="1:14" x14ac:dyDescent="0.25">
      <c r="A1908">
        <v>1341</v>
      </c>
      <c r="B1908" s="1">
        <f>DATE(2014,1,1) + TIME(0,0,0)</f>
        <v>41640</v>
      </c>
      <c r="C1908">
        <v>80</v>
      </c>
      <c r="D1908">
        <v>76.558158875000004</v>
      </c>
      <c r="E1908">
        <v>50</v>
      </c>
      <c r="F1908">
        <v>49.983173370000003</v>
      </c>
      <c r="G1908">
        <v>1328.5738524999999</v>
      </c>
      <c r="H1908">
        <v>1327.4273682</v>
      </c>
      <c r="I1908">
        <v>1338.0827637</v>
      </c>
      <c r="J1908">
        <v>1335.6430664</v>
      </c>
      <c r="K1908">
        <v>0</v>
      </c>
      <c r="L1908">
        <v>2400</v>
      </c>
      <c r="M1908">
        <v>2400</v>
      </c>
      <c r="N1908">
        <v>0</v>
      </c>
    </row>
    <row r="1909" spans="1:14" x14ac:dyDescent="0.25">
      <c r="A1909">
        <v>1342.8638149999999</v>
      </c>
      <c r="B1909" s="1">
        <f>DATE(2014,1,2) + TIME(20,43,53)</f>
        <v>41641.863807870373</v>
      </c>
      <c r="C1909">
        <v>80</v>
      </c>
      <c r="D1909">
        <v>76.493331909000005</v>
      </c>
      <c r="E1909">
        <v>50</v>
      </c>
      <c r="F1909">
        <v>49.983192443999997</v>
      </c>
      <c r="G1909">
        <v>1328.5499268000001</v>
      </c>
      <c r="H1909">
        <v>1327.3951416</v>
      </c>
      <c r="I1909">
        <v>1338.0820312000001</v>
      </c>
      <c r="J1909">
        <v>1335.6414795000001</v>
      </c>
      <c r="K1909">
        <v>0</v>
      </c>
      <c r="L1909">
        <v>2400</v>
      </c>
      <c r="M1909">
        <v>2400</v>
      </c>
      <c r="N1909">
        <v>0</v>
      </c>
    </row>
    <row r="1910" spans="1:14" x14ac:dyDescent="0.25">
      <c r="A1910">
        <v>1344.806229</v>
      </c>
      <c r="B1910" s="1">
        <f>DATE(2014,1,4) + TIME(19,20,58)</f>
        <v>41643.806226851855</v>
      </c>
      <c r="C1910">
        <v>80</v>
      </c>
      <c r="D1910">
        <v>76.418022156000006</v>
      </c>
      <c r="E1910">
        <v>50</v>
      </c>
      <c r="F1910">
        <v>49.983207702999998</v>
      </c>
      <c r="G1910">
        <v>1328.5164795000001</v>
      </c>
      <c r="H1910">
        <v>1327.3513184000001</v>
      </c>
      <c r="I1910">
        <v>1338.0798339999999</v>
      </c>
      <c r="J1910">
        <v>1335.6385498</v>
      </c>
      <c r="K1910">
        <v>0</v>
      </c>
      <c r="L1910">
        <v>2400</v>
      </c>
      <c r="M1910">
        <v>2400</v>
      </c>
      <c r="N1910">
        <v>0</v>
      </c>
    </row>
    <row r="1911" spans="1:14" x14ac:dyDescent="0.25">
      <c r="A1911">
        <v>1346.8096559999999</v>
      </c>
      <c r="B1911" s="1">
        <f>DATE(2014,1,6) + TIME(19,25,54)</f>
        <v>41645.809652777774</v>
      </c>
      <c r="C1911">
        <v>80</v>
      </c>
      <c r="D1911">
        <v>76.337905883999994</v>
      </c>
      <c r="E1911">
        <v>50</v>
      </c>
      <c r="F1911">
        <v>49.983226776000002</v>
      </c>
      <c r="G1911">
        <v>1328.4790039</v>
      </c>
      <c r="H1911">
        <v>1327.3020019999999</v>
      </c>
      <c r="I1911">
        <v>1338.0775146000001</v>
      </c>
      <c r="J1911">
        <v>1335.6354980000001</v>
      </c>
      <c r="K1911">
        <v>0</v>
      </c>
      <c r="L1911">
        <v>2400</v>
      </c>
      <c r="M1911">
        <v>2400</v>
      </c>
      <c r="N1911">
        <v>0</v>
      </c>
    </row>
    <row r="1912" spans="1:14" x14ac:dyDescent="0.25">
      <c r="A1912">
        <v>1348.8811209999999</v>
      </c>
      <c r="B1912" s="1">
        <f>DATE(2014,1,8) + TIME(21,8,48)</f>
        <v>41647.881111111114</v>
      </c>
      <c r="C1912">
        <v>80</v>
      </c>
      <c r="D1912">
        <v>76.255119324000006</v>
      </c>
      <c r="E1912">
        <v>50</v>
      </c>
      <c r="F1912">
        <v>49.983245850000003</v>
      </c>
      <c r="G1912">
        <v>1328.4396973</v>
      </c>
      <c r="H1912">
        <v>1327.2502440999999</v>
      </c>
      <c r="I1912">
        <v>1338.0751952999999</v>
      </c>
      <c r="J1912">
        <v>1335.6324463000001</v>
      </c>
      <c r="K1912">
        <v>0</v>
      </c>
      <c r="L1912">
        <v>2400</v>
      </c>
      <c r="M1912">
        <v>2400</v>
      </c>
      <c r="N1912">
        <v>0</v>
      </c>
    </row>
    <row r="1913" spans="1:14" x14ac:dyDescent="0.25">
      <c r="A1913">
        <v>1351.027163</v>
      </c>
      <c r="B1913" s="1">
        <f>DATE(2014,1,11) + TIME(0,39,6)</f>
        <v>41650.02715277778</v>
      </c>
      <c r="C1913">
        <v>80</v>
      </c>
      <c r="D1913">
        <v>76.170188904</v>
      </c>
      <c r="E1913">
        <v>50</v>
      </c>
      <c r="F1913">
        <v>49.983261108000001</v>
      </c>
      <c r="G1913">
        <v>1328.3991699000001</v>
      </c>
      <c r="H1913">
        <v>1327.1966553</v>
      </c>
      <c r="I1913">
        <v>1338.0729980000001</v>
      </c>
      <c r="J1913">
        <v>1335.6293945</v>
      </c>
      <c r="K1913">
        <v>0</v>
      </c>
      <c r="L1913">
        <v>2400</v>
      </c>
      <c r="M1913">
        <v>2400</v>
      </c>
      <c r="N1913">
        <v>0</v>
      </c>
    </row>
    <row r="1914" spans="1:14" x14ac:dyDescent="0.25">
      <c r="A1914">
        <v>1353.2558120000001</v>
      </c>
      <c r="B1914" s="1">
        <f>DATE(2014,1,13) + TIME(6,8,22)</f>
        <v>41652.255810185183</v>
      </c>
      <c r="C1914">
        <v>80</v>
      </c>
      <c r="D1914">
        <v>76.083091736</v>
      </c>
      <c r="E1914">
        <v>50</v>
      </c>
      <c r="F1914">
        <v>49.983280182000001</v>
      </c>
      <c r="G1914">
        <v>1328.3574219</v>
      </c>
      <c r="H1914">
        <v>1327.1414795000001</v>
      </c>
      <c r="I1914">
        <v>1338.0706786999999</v>
      </c>
      <c r="J1914">
        <v>1335.6262207</v>
      </c>
      <c r="K1914">
        <v>0</v>
      </c>
      <c r="L1914">
        <v>2400</v>
      </c>
      <c r="M1914">
        <v>2400</v>
      </c>
      <c r="N1914">
        <v>0</v>
      </c>
    </row>
    <row r="1915" spans="1:14" x14ac:dyDescent="0.25">
      <c r="A1915">
        <v>1355.5631370000001</v>
      </c>
      <c r="B1915" s="1">
        <f>DATE(2014,1,15) + TIME(13,30,55)</f>
        <v>41654.563136574077</v>
      </c>
      <c r="C1915">
        <v>80</v>
      </c>
      <c r="D1915">
        <v>75.993736267000003</v>
      </c>
      <c r="E1915">
        <v>50</v>
      </c>
      <c r="F1915">
        <v>49.983303069999998</v>
      </c>
      <c r="G1915">
        <v>1328.3143310999999</v>
      </c>
      <c r="H1915">
        <v>1327.0845947</v>
      </c>
      <c r="I1915">
        <v>1338.0683594</v>
      </c>
      <c r="J1915">
        <v>1335.6230469</v>
      </c>
      <c r="K1915">
        <v>0</v>
      </c>
      <c r="L1915">
        <v>2400</v>
      </c>
      <c r="M1915">
        <v>2400</v>
      </c>
      <c r="N1915">
        <v>0</v>
      </c>
    </row>
    <row r="1916" spans="1:14" x14ac:dyDescent="0.25">
      <c r="A1916">
        <v>1357.930282</v>
      </c>
      <c r="B1916" s="1">
        <f>DATE(2014,1,17) + TIME(22,19,36)</f>
        <v>41656.930277777778</v>
      </c>
      <c r="C1916">
        <v>80</v>
      </c>
      <c r="D1916">
        <v>75.902336121000005</v>
      </c>
      <c r="E1916">
        <v>50</v>
      </c>
      <c r="F1916">
        <v>49.983322143999999</v>
      </c>
      <c r="G1916">
        <v>1328.2698975000001</v>
      </c>
      <c r="H1916">
        <v>1327.026001</v>
      </c>
      <c r="I1916">
        <v>1338.0660399999999</v>
      </c>
      <c r="J1916">
        <v>1335.6198730000001</v>
      </c>
      <c r="K1916">
        <v>0</v>
      </c>
      <c r="L1916">
        <v>2400</v>
      </c>
      <c r="M1916">
        <v>2400</v>
      </c>
      <c r="N1916">
        <v>0</v>
      </c>
    </row>
    <row r="1917" spans="1:14" x14ac:dyDescent="0.25">
      <c r="A1917">
        <v>1360.360475</v>
      </c>
      <c r="B1917" s="1">
        <f>DATE(2014,1,20) + TIME(8,39,5)</f>
        <v>41659.360474537039</v>
      </c>
      <c r="C1917">
        <v>80</v>
      </c>
      <c r="D1917">
        <v>75.809242248999993</v>
      </c>
      <c r="E1917">
        <v>50</v>
      </c>
      <c r="F1917">
        <v>49.983341217000003</v>
      </c>
      <c r="G1917">
        <v>1328.2246094</v>
      </c>
      <c r="H1917">
        <v>1326.9660644999999</v>
      </c>
      <c r="I1917">
        <v>1338.0635986</v>
      </c>
      <c r="J1917">
        <v>1335.6168213000001</v>
      </c>
      <c r="K1917">
        <v>0</v>
      </c>
      <c r="L1917">
        <v>2400</v>
      </c>
      <c r="M1917">
        <v>2400</v>
      </c>
      <c r="N1917">
        <v>0</v>
      </c>
    </row>
    <row r="1918" spans="1:14" x14ac:dyDescent="0.25">
      <c r="A1918">
        <v>1362.849316</v>
      </c>
      <c r="B1918" s="1">
        <f>DATE(2014,1,22) + TIME(20,23,0)</f>
        <v>41661.849305555559</v>
      </c>
      <c r="C1918">
        <v>80</v>
      </c>
      <c r="D1918">
        <v>75.714469910000005</v>
      </c>
      <c r="E1918">
        <v>50</v>
      </c>
      <c r="F1918">
        <v>49.983360290999997</v>
      </c>
      <c r="G1918">
        <v>1328.1783447</v>
      </c>
      <c r="H1918">
        <v>1326.9049072</v>
      </c>
      <c r="I1918">
        <v>1338.0612793</v>
      </c>
      <c r="J1918">
        <v>1335.6136475000001</v>
      </c>
      <c r="K1918">
        <v>0</v>
      </c>
      <c r="L1918">
        <v>2400</v>
      </c>
      <c r="M1918">
        <v>2400</v>
      </c>
      <c r="N1918">
        <v>0</v>
      </c>
    </row>
    <row r="1919" spans="1:14" x14ac:dyDescent="0.25">
      <c r="A1919">
        <v>1365.414327</v>
      </c>
      <c r="B1919" s="1">
        <f>DATE(2014,1,25) + TIME(9,56,37)</f>
        <v>41664.414317129631</v>
      </c>
      <c r="C1919">
        <v>80</v>
      </c>
      <c r="D1919">
        <v>75.617874146000005</v>
      </c>
      <c r="E1919">
        <v>50</v>
      </c>
      <c r="F1919">
        <v>49.983383179</v>
      </c>
      <c r="G1919">
        <v>1328.1312256000001</v>
      </c>
      <c r="H1919">
        <v>1326.8426514</v>
      </c>
      <c r="I1919">
        <v>1338.0589600000001</v>
      </c>
      <c r="J1919">
        <v>1335.6105957</v>
      </c>
      <c r="K1919">
        <v>0</v>
      </c>
      <c r="L1919">
        <v>2400</v>
      </c>
      <c r="M1919">
        <v>2400</v>
      </c>
      <c r="N1919">
        <v>0</v>
      </c>
    </row>
    <row r="1920" spans="1:14" x14ac:dyDescent="0.25">
      <c r="A1920">
        <v>1368.0725660000001</v>
      </c>
      <c r="B1920" s="1">
        <f>DATE(2014,1,28) + TIME(1,44,29)</f>
        <v>41667.072557870371</v>
      </c>
      <c r="C1920">
        <v>80</v>
      </c>
      <c r="D1920">
        <v>75.518821716000005</v>
      </c>
      <c r="E1920">
        <v>50</v>
      </c>
      <c r="F1920">
        <v>49.983402251999998</v>
      </c>
      <c r="G1920">
        <v>1328.0831298999999</v>
      </c>
      <c r="H1920">
        <v>1326.7790527</v>
      </c>
      <c r="I1920">
        <v>1338.0565185999999</v>
      </c>
      <c r="J1920">
        <v>1335.6074219</v>
      </c>
      <c r="K1920">
        <v>0</v>
      </c>
      <c r="L1920">
        <v>2400</v>
      </c>
      <c r="M1920">
        <v>2400</v>
      </c>
      <c r="N1920">
        <v>0</v>
      </c>
    </row>
    <row r="1921" spans="1:14" x14ac:dyDescent="0.25">
      <c r="A1921">
        <v>1370.7571969999999</v>
      </c>
      <c r="B1921" s="1">
        <f>DATE(2014,1,30) + TIME(18,10,21)</f>
        <v>41669.757187499999</v>
      </c>
      <c r="C1921">
        <v>80</v>
      </c>
      <c r="D1921">
        <v>75.417274474999999</v>
      </c>
      <c r="E1921">
        <v>50</v>
      </c>
      <c r="F1921">
        <v>49.983425140000001</v>
      </c>
      <c r="G1921">
        <v>1328.0339355000001</v>
      </c>
      <c r="H1921">
        <v>1326.7138672000001</v>
      </c>
      <c r="I1921">
        <v>1338.0540771000001</v>
      </c>
      <c r="J1921">
        <v>1335.6043701000001</v>
      </c>
      <c r="K1921">
        <v>0</v>
      </c>
      <c r="L1921">
        <v>2400</v>
      </c>
      <c r="M1921">
        <v>2400</v>
      </c>
      <c r="N1921">
        <v>0</v>
      </c>
    </row>
    <row r="1922" spans="1:14" x14ac:dyDescent="0.25">
      <c r="A1922">
        <v>1372</v>
      </c>
      <c r="B1922" s="1">
        <f>DATE(2014,2,1) + TIME(0,0,0)</f>
        <v>41671</v>
      </c>
      <c r="C1922">
        <v>80</v>
      </c>
      <c r="D1922">
        <v>75.335983275999993</v>
      </c>
      <c r="E1922">
        <v>50</v>
      </c>
      <c r="F1922">
        <v>49.98343277</v>
      </c>
      <c r="G1922">
        <v>1327.9857178</v>
      </c>
      <c r="H1922">
        <v>1326.6501464999999</v>
      </c>
      <c r="I1922">
        <v>1338.0515137</v>
      </c>
      <c r="J1922">
        <v>1335.6013184000001</v>
      </c>
      <c r="K1922">
        <v>0</v>
      </c>
      <c r="L1922">
        <v>2400</v>
      </c>
      <c r="M1922">
        <v>2400</v>
      </c>
      <c r="N1922">
        <v>0</v>
      </c>
    </row>
    <row r="1923" spans="1:14" x14ac:dyDescent="0.25">
      <c r="A1923">
        <v>1374.727879</v>
      </c>
      <c r="B1923" s="1">
        <f>DATE(2014,2,3) + TIME(17,28,8)</f>
        <v>41673.727870370371</v>
      </c>
      <c r="C1923">
        <v>80</v>
      </c>
      <c r="D1923">
        <v>75.258995056000003</v>
      </c>
      <c r="E1923">
        <v>50</v>
      </c>
      <c r="F1923">
        <v>49.983455657999997</v>
      </c>
      <c r="G1923">
        <v>1327.9523925999999</v>
      </c>
      <c r="H1923">
        <v>1326.6046143000001</v>
      </c>
      <c r="I1923">
        <v>1338.0507812000001</v>
      </c>
      <c r="J1923">
        <v>1335.5996094</v>
      </c>
      <c r="K1923">
        <v>0</v>
      </c>
      <c r="L1923">
        <v>2400</v>
      </c>
      <c r="M1923">
        <v>2400</v>
      </c>
      <c r="N1923">
        <v>0</v>
      </c>
    </row>
    <row r="1924" spans="1:14" x14ac:dyDescent="0.25">
      <c r="A1924">
        <v>1377.5562259999999</v>
      </c>
      <c r="B1924" s="1">
        <f>DATE(2014,2,6) + TIME(13,20,57)</f>
        <v>41676.556215277778</v>
      </c>
      <c r="C1924">
        <v>80</v>
      </c>
      <c r="D1924">
        <v>75.159614563000005</v>
      </c>
      <c r="E1924">
        <v>50</v>
      </c>
      <c r="F1924">
        <v>49.983474731000001</v>
      </c>
      <c r="G1924">
        <v>1327.9091797000001</v>
      </c>
      <c r="H1924">
        <v>1326.5483397999999</v>
      </c>
      <c r="I1924">
        <v>1338.0483397999999</v>
      </c>
      <c r="J1924">
        <v>1335.5969238</v>
      </c>
      <c r="K1924">
        <v>0</v>
      </c>
      <c r="L1924">
        <v>2400</v>
      </c>
      <c r="M1924">
        <v>2400</v>
      </c>
      <c r="N1924">
        <v>0</v>
      </c>
    </row>
    <row r="1925" spans="1:14" x14ac:dyDescent="0.25">
      <c r="A1925">
        <v>1380.421398</v>
      </c>
      <c r="B1925" s="1">
        <f>DATE(2014,2,9) + TIME(10,6,48)</f>
        <v>41679.421388888892</v>
      </c>
      <c r="C1925">
        <v>80</v>
      </c>
      <c r="D1925">
        <v>75.052253723000007</v>
      </c>
      <c r="E1925">
        <v>50</v>
      </c>
      <c r="F1925">
        <v>49.983493805000002</v>
      </c>
      <c r="G1925">
        <v>1327.8594971</v>
      </c>
      <c r="H1925">
        <v>1326.4826660000001</v>
      </c>
      <c r="I1925">
        <v>1338.0457764</v>
      </c>
      <c r="J1925">
        <v>1335.5939940999999</v>
      </c>
      <c r="K1925">
        <v>0</v>
      </c>
      <c r="L1925">
        <v>2400</v>
      </c>
      <c r="M1925">
        <v>2400</v>
      </c>
      <c r="N1925">
        <v>0</v>
      </c>
    </row>
    <row r="1926" spans="1:14" x14ac:dyDescent="0.25">
      <c r="A1926">
        <v>1383.339931</v>
      </c>
      <c r="B1926" s="1">
        <f>DATE(2014,2,12) + TIME(8,9,30)</f>
        <v>41682.339930555558</v>
      </c>
      <c r="C1926">
        <v>80</v>
      </c>
      <c r="D1926">
        <v>74.941238403</v>
      </c>
      <c r="E1926">
        <v>50</v>
      </c>
      <c r="F1926">
        <v>49.983516692999999</v>
      </c>
      <c r="G1926">
        <v>1327.8082274999999</v>
      </c>
      <c r="H1926">
        <v>1326.4145507999999</v>
      </c>
      <c r="I1926">
        <v>1338.0433350000001</v>
      </c>
      <c r="J1926">
        <v>1335.5910644999999</v>
      </c>
      <c r="K1926">
        <v>0</v>
      </c>
      <c r="L1926">
        <v>2400</v>
      </c>
      <c r="M1926">
        <v>2400</v>
      </c>
      <c r="N1926">
        <v>0</v>
      </c>
    </row>
    <row r="1927" spans="1:14" x14ac:dyDescent="0.25">
      <c r="A1927">
        <v>1386.331731</v>
      </c>
      <c r="B1927" s="1">
        <f>DATE(2014,2,15) + TIME(7,57,41)</f>
        <v>41685.331724537034</v>
      </c>
      <c r="C1927">
        <v>80</v>
      </c>
      <c r="D1927">
        <v>74.826728821000003</v>
      </c>
      <c r="E1927">
        <v>50</v>
      </c>
      <c r="F1927">
        <v>49.983535766999999</v>
      </c>
      <c r="G1927">
        <v>1327.7561035000001</v>
      </c>
      <c r="H1927">
        <v>1326.3454589999999</v>
      </c>
      <c r="I1927">
        <v>1338.0408935999999</v>
      </c>
      <c r="J1927">
        <v>1335.5882568</v>
      </c>
      <c r="K1927">
        <v>0</v>
      </c>
      <c r="L1927">
        <v>2400</v>
      </c>
      <c r="M1927">
        <v>2400</v>
      </c>
      <c r="N1927">
        <v>0</v>
      </c>
    </row>
    <row r="1928" spans="1:14" x14ac:dyDescent="0.25">
      <c r="A1928">
        <v>1389.418439</v>
      </c>
      <c r="B1928" s="1">
        <f>DATE(2014,2,18) + TIME(10,2,33)</f>
        <v>41688.418437499997</v>
      </c>
      <c r="C1928">
        <v>80</v>
      </c>
      <c r="D1928">
        <v>74.707885742000002</v>
      </c>
      <c r="E1928">
        <v>50</v>
      </c>
      <c r="F1928">
        <v>49.983554839999996</v>
      </c>
      <c r="G1928">
        <v>1327.7033690999999</v>
      </c>
      <c r="H1928">
        <v>1326.2753906</v>
      </c>
      <c r="I1928">
        <v>1338.0384521000001</v>
      </c>
      <c r="J1928">
        <v>1335.5853271000001</v>
      </c>
      <c r="K1928">
        <v>0</v>
      </c>
      <c r="L1928">
        <v>2400</v>
      </c>
      <c r="M1928">
        <v>2400</v>
      </c>
      <c r="N1928">
        <v>0</v>
      </c>
    </row>
    <row r="1929" spans="1:14" x14ac:dyDescent="0.25">
      <c r="A1929">
        <v>1392.6244039999999</v>
      </c>
      <c r="B1929" s="1">
        <f>DATE(2014,2,21) + TIME(14,59,8)</f>
        <v>41691.624398148146</v>
      </c>
      <c r="C1929">
        <v>80</v>
      </c>
      <c r="D1929">
        <v>74.583480835000003</v>
      </c>
      <c r="E1929">
        <v>50</v>
      </c>
      <c r="F1929">
        <v>49.983577728</v>
      </c>
      <c r="G1929">
        <v>1327.6496582</v>
      </c>
      <c r="H1929">
        <v>1326.2041016000001</v>
      </c>
      <c r="I1929">
        <v>1338.0358887</v>
      </c>
      <c r="J1929">
        <v>1335.5825195</v>
      </c>
      <c r="K1929">
        <v>0</v>
      </c>
      <c r="L1929">
        <v>2400</v>
      </c>
      <c r="M1929">
        <v>2400</v>
      </c>
      <c r="N1929">
        <v>0</v>
      </c>
    </row>
    <row r="1930" spans="1:14" x14ac:dyDescent="0.25">
      <c r="A1930">
        <v>1395.8873189999999</v>
      </c>
      <c r="B1930" s="1">
        <f>DATE(2014,2,24) + TIME(21,17,44)</f>
        <v>41694.887314814812</v>
      </c>
      <c r="C1930">
        <v>80</v>
      </c>
      <c r="D1930">
        <v>74.452674865999995</v>
      </c>
      <c r="E1930">
        <v>50</v>
      </c>
      <c r="F1930">
        <v>49.983596802000001</v>
      </c>
      <c r="G1930">
        <v>1327.5946045000001</v>
      </c>
      <c r="H1930">
        <v>1326.1309814000001</v>
      </c>
      <c r="I1930">
        <v>1338.0333252</v>
      </c>
      <c r="J1930">
        <v>1335.5797118999999</v>
      </c>
      <c r="K1930">
        <v>0</v>
      </c>
      <c r="L1930">
        <v>2400</v>
      </c>
      <c r="M1930">
        <v>2400</v>
      </c>
      <c r="N1930">
        <v>0</v>
      </c>
    </row>
    <row r="1931" spans="1:14" x14ac:dyDescent="0.25">
      <c r="A1931">
        <v>1399.191231</v>
      </c>
      <c r="B1931" s="1">
        <f>DATE(2014,2,28) + TIME(4,35,22)</f>
        <v>41698.19122685185</v>
      </c>
      <c r="C1931">
        <v>80</v>
      </c>
      <c r="D1931">
        <v>74.316543578999998</v>
      </c>
      <c r="E1931">
        <v>50</v>
      </c>
      <c r="F1931">
        <v>49.983619689999998</v>
      </c>
      <c r="G1931">
        <v>1327.5388184000001</v>
      </c>
      <c r="H1931">
        <v>1326.0566406</v>
      </c>
      <c r="I1931">
        <v>1338.0306396000001</v>
      </c>
      <c r="J1931">
        <v>1335.5767822</v>
      </c>
      <c r="K1931">
        <v>0</v>
      </c>
      <c r="L1931">
        <v>2400</v>
      </c>
      <c r="M1931">
        <v>2400</v>
      </c>
      <c r="N1931">
        <v>0</v>
      </c>
    </row>
    <row r="1932" spans="1:14" x14ac:dyDescent="0.25">
      <c r="A1932">
        <v>1400</v>
      </c>
      <c r="B1932" s="1">
        <f>DATE(2014,3,1) + TIME(0,0,0)</f>
        <v>41699</v>
      </c>
      <c r="C1932">
        <v>80</v>
      </c>
      <c r="D1932">
        <v>74.225372313999998</v>
      </c>
      <c r="E1932">
        <v>50</v>
      </c>
      <c r="F1932">
        <v>49.983623504999997</v>
      </c>
      <c r="G1932">
        <v>1327.4855957</v>
      </c>
      <c r="H1932">
        <v>1325.9866943</v>
      </c>
      <c r="I1932">
        <v>1338.027832</v>
      </c>
      <c r="J1932">
        <v>1335.5740966999999</v>
      </c>
      <c r="K1932">
        <v>0</v>
      </c>
      <c r="L1932">
        <v>2400</v>
      </c>
      <c r="M1932">
        <v>2400</v>
      </c>
      <c r="N1932">
        <v>0</v>
      </c>
    </row>
    <row r="1933" spans="1:14" x14ac:dyDescent="0.25">
      <c r="A1933">
        <v>1403.3658700000001</v>
      </c>
      <c r="B1933" s="1">
        <f>DATE(2014,3,4) + TIME(8,46,51)</f>
        <v>41702.365868055553</v>
      </c>
      <c r="C1933">
        <v>80</v>
      </c>
      <c r="D1933">
        <v>74.129791260000005</v>
      </c>
      <c r="E1933">
        <v>50</v>
      </c>
      <c r="F1933">
        <v>49.983646393000001</v>
      </c>
      <c r="G1933">
        <v>1327.4573975000001</v>
      </c>
      <c r="H1933">
        <v>1325.9464111</v>
      </c>
      <c r="I1933">
        <v>1338.0274658000001</v>
      </c>
      <c r="J1933">
        <v>1335.5731201000001</v>
      </c>
      <c r="K1933">
        <v>0</v>
      </c>
      <c r="L1933">
        <v>2400</v>
      </c>
      <c r="M1933">
        <v>2400</v>
      </c>
      <c r="N1933">
        <v>0</v>
      </c>
    </row>
    <row r="1934" spans="1:14" x14ac:dyDescent="0.25">
      <c r="A1934">
        <v>1406.787075</v>
      </c>
      <c r="B1934" s="1">
        <f>DATE(2014,3,7) + TIME(18,53,23)</f>
        <v>41705.78707175926</v>
      </c>
      <c r="C1934">
        <v>80</v>
      </c>
      <c r="D1934">
        <v>73.989349364999995</v>
      </c>
      <c r="E1934">
        <v>50</v>
      </c>
      <c r="F1934">
        <v>49.983665465999998</v>
      </c>
      <c r="G1934">
        <v>1327.4108887</v>
      </c>
      <c r="H1934">
        <v>1325.8858643000001</v>
      </c>
      <c r="I1934">
        <v>1338.0246582</v>
      </c>
      <c r="J1934">
        <v>1335.5706786999999</v>
      </c>
      <c r="K1934">
        <v>0</v>
      </c>
      <c r="L1934">
        <v>2400</v>
      </c>
      <c r="M1934">
        <v>2400</v>
      </c>
      <c r="N1934">
        <v>0</v>
      </c>
    </row>
    <row r="1935" spans="1:14" x14ac:dyDescent="0.25">
      <c r="A1935">
        <v>1410.2738959999999</v>
      </c>
      <c r="B1935" s="1">
        <f>DATE(2014,3,11) + TIME(6,34,24)</f>
        <v>41709.273888888885</v>
      </c>
      <c r="C1935">
        <v>80</v>
      </c>
      <c r="D1935">
        <v>73.835136414000004</v>
      </c>
      <c r="E1935">
        <v>50</v>
      </c>
      <c r="F1935">
        <v>49.983684539999999</v>
      </c>
      <c r="G1935">
        <v>1327.355957</v>
      </c>
      <c r="H1935">
        <v>1325.8128661999999</v>
      </c>
      <c r="I1935">
        <v>1338.0219727000001</v>
      </c>
      <c r="J1935">
        <v>1335.5679932</v>
      </c>
      <c r="K1935">
        <v>0</v>
      </c>
      <c r="L1935">
        <v>2400</v>
      </c>
      <c r="M1935">
        <v>2400</v>
      </c>
      <c r="N1935">
        <v>0</v>
      </c>
    </row>
    <row r="1936" spans="1:14" x14ac:dyDescent="0.25">
      <c r="A1936">
        <v>1413.819287</v>
      </c>
      <c r="B1936" s="1">
        <f>DATE(2014,3,14) + TIME(19,39,46)</f>
        <v>41712.819282407407</v>
      </c>
      <c r="C1936">
        <v>80</v>
      </c>
      <c r="D1936">
        <v>73.672103882000002</v>
      </c>
      <c r="E1936">
        <v>50</v>
      </c>
      <c r="F1936">
        <v>49.983703613000003</v>
      </c>
      <c r="G1936">
        <v>1327.2995605000001</v>
      </c>
      <c r="H1936">
        <v>1325.7375488</v>
      </c>
      <c r="I1936">
        <v>1338.0191649999999</v>
      </c>
      <c r="J1936">
        <v>1335.5653076000001</v>
      </c>
      <c r="K1936">
        <v>0</v>
      </c>
      <c r="L1936">
        <v>2400</v>
      </c>
      <c r="M1936">
        <v>2400</v>
      </c>
      <c r="N1936">
        <v>0</v>
      </c>
    </row>
    <row r="1937" spans="1:14" x14ac:dyDescent="0.25">
      <c r="A1937">
        <v>1417.4527909999999</v>
      </c>
      <c r="B1937" s="1">
        <f>DATE(2014,3,18) + TIME(10,52,1)</f>
        <v>41716.452789351853</v>
      </c>
      <c r="C1937">
        <v>80</v>
      </c>
      <c r="D1937">
        <v>73.500450134000005</v>
      </c>
      <c r="E1937">
        <v>50</v>
      </c>
      <c r="F1937">
        <v>49.983722686999997</v>
      </c>
      <c r="G1937">
        <v>1327.2426757999999</v>
      </c>
      <c r="H1937">
        <v>1325.661499</v>
      </c>
      <c r="I1937">
        <v>1338.0163574000001</v>
      </c>
      <c r="J1937">
        <v>1335.5627440999999</v>
      </c>
      <c r="K1937">
        <v>0</v>
      </c>
      <c r="L1937">
        <v>2400</v>
      </c>
      <c r="M1937">
        <v>2400</v>
      </c>
      <c r="N1937">
        <v>0</v>
      </c>
    </row>
    <row r="1938" spans="1:14" x14ac:dyDescent="0.25">
      <c r="A1938">
        <v>1421.1161139999999</v>
      </c>
      <c r="B1938" s="1">
        <f>DATE(2014,3,22) + TIME(2,47,12)</f>
        <v>41720.116111111114</v>
      </c>
      <c r="C1938">
        <v>80</v>
      </c>
      <c r="D1938">
        <v>73.319168090999995</v>
      </c>
      <c r="E1938">
        <v>50</v>
      </c>
      <c r="F1938">
        <v>49.983741760000001</v>
      </c>
      <c r="G1938">
        <v>1327.1854248</v>
      </c>
      <c r="H1938">
        <v>1325.5848389</v>
      </c>
      <c r="I1938">
        <v>1338.0134277</v>
      </c>
      <c r="J1938">
        <v>1335.5601807</v>
      </c>
      <c r="K1938">
        <v>0</v>
      </c>
      <c r="L1938">
        <v>2400</v>
      </c>
      <c r="M1938">
        <v>2400</v>
      </c>
      <c r="N1938">
        <v>0</v>
      </c>
    </row>
    <row r="1939" spans="1:14" x14ac:dyDescent="0.25">
      <c r="A1939">
        <v>1424.8353420000001</v>
      </c>
      <c r="B1939" s="1">
        <f>DATE(2014,3,25) + TIME(20,2,53)</f>
        <v>41723.835335648146</v>
      </c>
      <c r="C1939">
        <v>80</v>
      </c>
      <c r="D1939">
        <v>73.129280089999995</v>
      </c>
      <c r="E1939">
        <v>50</v>
      </c>
      <c r="F1939">
        <v>49.983760834000002</v>
      </c>
      <c r="G1939">
        <v>1327.1281738</v>
      </c>
      <c r="H1939">
        <v>1325.5081786999999</v>
      </c>
      <c r="I1939">
        <v>1338.0106201000001</v>
      </c>
      <c r="J1939">
        <v>1335.5576172000001</v>
      </c>
      <c r="K1939">
        <v>0</v>
      </c>
      <c r="L1939">
        <v>2400</v>
      </c>
      <c r="M1939">
        <v>2400</v>
      </c>
      <c r="N1939">
        <v>0</v>
      </c>
    </row>
    <row r="1940" spans="1:14" x14ac:dyDescent="0.25">
      <c r="A1940">
        <v>1428.6414339999999</v>
      </c>
      <c r="B1940" s="1">
        <f>DATE(2014,3,29) + TIME(15,23,39)</f>
        <v>41727.641423611109</v>
      </c>
      <c r="C1940">
        <v>80</v>
      </c>
      <c r="D1940">
        <v>72.929420471</v>
      </c>
      <c r="E1940">
        <v>50</v>
      </c>
      <c r="F1940">
        <v>49.983779906999999</v>
      </c>
      <c r="G1940">
        <v>1327.0710449000001</v>
      </c>
      <c r="H1940">
        <v>1325.4315185999999</v>
      </c>
      <c r="I1940">
        <v>1338.0075684000001</v>
      </c>
      <c r="J1940">
        <v>1335.5550536999999</v>
      </c>
      <c r="K1940">
        <v>0</v>
      </c>
      <c r="L1940">
        <v>2400</v>
      </c>
      <c r="M1940">
        <v>2400</v>
      </c>
      <c r="N1940">
        <v>0</v>
      </c>
    </row>
    <row r="1941" spans="1:14" x14ac:dyDescent="0.25">
      <c r="A1941">
        <v>1431</v>
      </c>
      <c r="B1941" s="1">
        <f>DATE(2014,4,1) + TIME(0,0,0)</f>
        <v>41730</v>
      </c>
      <c r="C1941">
        <v>80</v>
      </c>
      <c r="D1941">
        <v>72.735801696999999</v>
      </c>
      <c r="E1941">
        <v>50</v>
      </c>
      <c r="F1941">
        <v>49.983791351000001</v>
      </c>
      <c r="G1941">
        <v>1327.0144043</v>
      </c>
      <c r="H1941">
        <v>1325.355957</v>
      </c>
      <c r="I1941">
        <v>1338.0045166</v>
      </c>
      <c r="J1941">
        <v>1335.5526123</v>
      </c>
      <c r="K1941">
        <v>0</v>
      </c>
      <c r="L1941">
        <v>2400</v>
      </c>
      <c r="M1941">
        <v>2400</v>
      </c>
      <c r="N1941">
        <v>0</v>
      </c>
    </row>
    <row r="1942" spans="1:14" x14ac:dyDescent="0.25">
      <c r="A1942">
        <v>1434.844329</v>
      </c>
      <c r="B1942" s="1">
        <f>DATE(2014,4,4) + TIME(20,15,50)</f>
        <v>41733.844328703701</v>
      </c>
      <c r="C1942">
        <v>80</v>
      </c>
      <c r="D1942">
        <v>72.572685242000006</v>
      </c>
      <c r="E1942">
        <v>50</v>
      </c>
      <c r="F1942">
        <v>49.983810425000001</v>
      </c>
      <c r="G1942">
        <v>1326.9699707</v>
      </c>
      <c r="H1942">
        <v>1325.2941894999999</v>
      </c>
      <c r="I1942">
        <v>1338.0028076000001</v>
      </c>
      <c r="J1942">
        <v>1335.5509033000001</v>
      </c>
      <c r="K1942">
        <v>0</v>
      </c>
      <c r="L1942">
        <v>2400</v>
      </c>
      <c r="M1942">
        <v>2400</v>
      </c>
      <c r="N1942">
        <v>0</v>
      </c>
    </row>
    <row r="1943" spans="1:14" x14ac:dyDescent="0.25">
      <c r="A1943">
        <v>1438.8040269999999</v>
      </c>
      <c r="B1943" s="1">
        <f>DATE(2014,4,8) + TIME(19,17,47)</f>
        <v>41737.804016203707</v>
      </c>
      <c r="C1943">
        <v>80</v>
      </c>
      <c r="D1943">
        <v>72.352890015</v>
      </c>
      <c r="E1943">
        <v>50</v>
      </c>
      <c r="F1943">
        <v>49.983829497999999</v>
      </c>
      <c r="G1943">
        <v>1326.9207764</v>
      </c>
      <c r="H1943">
        <v>1325.2293701000001</v>
      </c>
      <c r="I1943">
        <v>1337.9996338000001</v>
      </c>
      <c r="J1943">
        <v>1335.5485839999999</v>
      </c>
      <c r="K1943">
        <v>0</v>
      </c>
      <c r="L1943">
        <v>2400</v>
      </c>
      <c r="M1943">
        <v>2400</v>
      </c>
      <c r="N1943">
        <v>0</v>
      </c>
    </row>
    <row r="1944" spans="1:14" x14ac:dyDescent="0.25">
      <c r="A1944">
        <v>1442.821103</v>
      </c>
      <c r="B1944" s="1">
        <f>DATE(2014,4,12) + TIME(19,42,23)</f>
        <v>41741.821099537039</v>
      </c>
      <c r="C1944">
        <v>80</v>
      </c>
      <c r="D1944">
        <v>72.111549377000003</v>
      </c>
      <c r="E1944">
        <v>50</v>
      </c>
      <c r="F1944">
        <v>49.983848571999999</v>
      </c>
      <c r="G1944">
        <v>1326.8653564000001</v>
      </c>
      <c r="H1944">
        <v>1325.1547852000001</v>
      </c>
      <c r="I1944">
        <v>1337.9964600000001</v>
      </c>
      <c r="J1944">
        <v>1335.5461425999999</v>
      </c>
      <c r="K1944">
        <v>0</v>
      </c>
      <c r="L1944">
        <v>2400</v>
      </c>
      <c r="M1944">
        <v>2400</v>
      </c>
      <c r="N1944">
        <v>0</v>
      </c>
    </row>
    <row r="1945" spans="1:14" x14ac:dyDescent="0.25">
      <c r="A1945">
        <v>1446.903245</v>
      </c>
      <c r="B1945" s="1">
        <f>DATE(2014,4,16) + TIME(21,40,40)</f>
        <v>41745.903240740743</v>
      </c>
      <c r="C1945">
        <v>80</v>
      </c>
      <c r="D1945">
        <v>71.856719971000004</v>
      </c>
      <c r="E1945">
        <v>50</v>
      </c>
      <c r="F1945">
        <v>49.983863831000001</v>
      </c>
      <c r="G1945">
        <v>1326.8089600000001</v>
      </c>
      <c r="H1945">
        <v>1325.0786132999999</v>
      </c>
      <c r="I1945">
        <v>1337.9932861</v>
      </c>
      <c r="J1945">
        <v>1335.5437012</v>
      </c>
      <c r="K1945">
        <v>0</v>
      </c>
      <c r="L1945">
        <v>2400</v>
      </c>
      <c r="M1945">
        <v>2400</v>
      </c>
      <c r="N1945">
        <v>0</v>
      </c>
    </row>
    <row r="1946" spans="1:14" x14ac:dyDescent="0.25">
      <c r="A1946">
        <v>1451.0707339999999</v>
      </c>
      <c r="B1946" s="1">
        <f>DATE(2014,4,21) + TIME(1,41,51)</f>
        <v>41750.070729166669</v>
      </c>
      <c r="C1946">
        <v>80</v>
      </c>
      <c r="D1946">
        <v>71.587577820000007</v>
      </c>
      <c r="E1946">
        <v>50</v>
      </c>
      <c r="F1946">
        <v>49.983882903999998</v>
      </c>
      <c r="G1946">
        <v>1326.7528076000001</v>
      </c>
      <c r="H1946">
        <v>1325.0026855000001</v>
      </c>
      <c r="I1946">
        <v>1337.9899902</v>
      </c>
      <c r="J1946">
        <v>1335.5413818</v>
      </c>
      <c r="K1946">
        <v>0</v>
      </c>
      <c r="L1946">
        <v>2400</v>
      </c>
      <c r="M1946">
        <v>2400</v>
      </c>
      <c r="N1946">
        <v>0</v>
      </c>
    </row>
    <row r="1947" spans="1:14" x14ac:dyDescent="0.25">
      <c r="A1947">
        <v>1455.294022</v>
      </c>
      <c r="B1947" s="1">
        <f>DATE(2014,4,25) + TIME(7,3,23)</f>
        <v>41754.294016203705</v>
      </c>
      <c r="C1947">
        <v>80</v>
      </c>
      <c r="D1947">
        <v>71.304161071999999</v>
      </c>
      <c r="E1947">
        <v>50</v>
      </c>
      <c r="F1947">
        <v>49.983901977999999</v>
      </c>
      <c r="G1947">
        <v>1326.6968993999999</v>
      </c>
      <c r="H1947">
        <v>1324.9268798999999</v>
      </c>
      <c r="I1947">
        <v>1337.9865723</v>
      </c>
      <c r="J1947">
        <v>1335.5389404</v>
      </c>
      <c r="K1947">
        <v>0</v>
      </c>
      <c r="L1947">
        <v>2400</v>
      </c>
      <c r="M1947">
        <v>2400</v>
      </c>
      <c r="N1947">
        <v>0</v>
      </c>
    </row>
    <row r="1948" spans="1:14" x14ac:dyDescent="0.25">
      <c r="A1948">
        <v>1459.606442</v>
      </c>
      <c r="B1948" s="1">
        <f>DATE(2014,4,29) + TIME(14,33,16)</f>
        <v>41758.606435185182</v>
      </c>
      <c r="C1948">
        <v>80</v>
      </c>
      <c r="D1948">
        <v>71.006072997999993</v>
      </c>
      <c r="E1948">
        <v>50</v>
      </c>
      <c r="F1948">
        <v>49.983917236000003</v>
      </c>
      <c r="G1948">
        <v>1326.6413574000001</v>
      </c>
      <c r="H1948">
        <v>1324.8516846</v>
      </c>
      <c r="I1948">
        <v>1337.9831543</v>
      </c>
      <c r="J1948">
        <v>1335.536499</v>
      </c>
      <c r="K1948">
        <v>0</v>
      </c>
      <c r="L1948">
        <v>2400</v>
      </c>
      <c r="M1948">
        <v>2400</v>
      </c>
      <c r="N1948">
        <v>0</v>
      </c>
    </row>
    <row r="1949" spans="1:14" x14ac:dyDescent="0.25">
      <c r="A1949">
        <v>1461</v>
      </c>
      <c r="B1949" s="1">
        <f>DATE(2014,5,1) + TIME(0,0,0)</f>
        <v>41760</v>
      </c>
      <c r="C1949">
        <v>80</v>
      </c>
      <c r="D1949">
        <v>70.758522033999995</v>
      </c>
      <c r="E1949">
        <v>50</v>
      </c>
      <c r="F1949">
        <v>49.983921051000003</v>
      </c>
      <c r="G1949">
        <v>1326.5874022999999</v>
      </c>
      <c r="H1949">
        <v>1324.7799072</v>
      </c>
      <c r="I1949">
        <v>1337.9797363</v>
      </c>
      <c r="J1949">
        <v>1335.5341797000001</v>
      </c>
      <c r="K1949">
        <v>0</v>
      </c>
      <c r="L1949">
        <v>2400</v>
      </c>
      <c r="M1949">
        <v>2400</v>
      </c>
      <c r="N1949">
        <v>0</v>
      </c>
    </row>
    <row r="1950" spans="1:14" x14ac:dyDescent="0.25">
      <c r="A1950">
        <v>1461.0000010000001</v>
      </c>
      <c r="B1950" s="1">
        <f>DATE(2014,5,1) + TIME(0,0,0)</f>
        <v>41760</v>
      </c>
      <c r="C1950">
        <v>80</v>
      </c>
      <c r="D1950">
        <v>70.758590698000006</v>
      </c>
      <c r="E1950">
        <v>50</v>
      </c>
      <c r="F1950">
        <v>49.983905792000002</v>
      </c>
      <c r="G1950">
        <v>1329.145874</v>
      </c>
      <c r="H1950">
        <v>1326.6026611</v>
      </c>
      <c r="I1950">
        <v>1335.5244141000001</v>
      </c>
      <c r="J1950">
        <v>1334.1348877</v>
      </c>
      <c r="K1950">
        <v>2400</v>
      </c>
      <c r="L1950">
        <v>0</v>
      </c>
      <c r="M1950">
        <v>0</v>
      </c>
      <c r="N1950">
        <v>2400</v>
      </c>
    </row>
    <row r="1951" spans="1:14" x14ac:dyDescent="0.25">
      <c r="A1951">
        <v>1461.000004</v>
      </c>
      <c r="B1951" s="1">
        <f>DATE(2014,5,1) + TIME(0,0,0)</f>
        <v>41760</v>
      </c>
      <c r="C1951">
        <v>80</v>
      </c>
      <c r="D1951">
        <v>70.758766174000002</v>
      </c>
      <c r="E1951">
        <v>50</v>
      </c>
      <c r="F1951">
        <v>49.983856201000002</v>
      </c>
      <c r="G1951">
        <v>1329.1788329999999</v>
      </c>
      <c r="H1951">
        <v>1326.6472168</v>
      </c>
      <c r="I1951">
        <v>1335.4954834</v>
      </c>
      <c r="J1951">
        <v>1334.105957</v>
      </c>
      <c r="K1951">
        <v>2400</v>
      </c>
      <c r="L1951">
        <v>0</v>
      </c>
      <c r="M1951">
        <v>0</v>
      </c>
      <c r="N1951">
        <v>2400</v>
      </c>
    </row>
    <row r="1952" spans="1:14" x14ac:dyDescent="0.25">
      <c r="A1952">
        <v>1461.0000130000001</v>
      </c>
      <c r="B1952" s="1">
        <f>DATE(2014,5,1) + TIME(0,0,1)</f>
        <v>41760.000011574077</v>
      </c>
      <c r="C1952">
        <v>80</v>
      </c>
      <c r="D1952">
        <v>70.759292603000006</v>
      </c>
      <c r="E1952">
        <v>50</v>
      </c>
      <c r="F1952">
        <v>49.983726501</v>
      </c>
      <c r="G1952">
        <v>1329.2733154</v>
      </c>
      <c r="H1952">
        <v>1326.7727050999999</v>
      </c>
      <c r="I1952">
        <v>1335.4119873</v>
      </c>
      <c r="J1952">
        <v>1334.0225829999999</v>
      </c>
      <c r="K1952">
        <v>2400</v>
      </c>
      <c r="L1952">
        <v>0</v>
      </c>
      <c r="M1952">
        <v>0</v>
      </c>
      <c r="N1952">
        <v>2400</v>
      </c>
    </row>
    <row r="1953" spans="1:14" x14ac:dyDescent="0.25">
      <c r="A1953">
        <v>1461.0000399999999</v>
      </c>
      <c r="B1953" s="1">
        <f>DATE(2014,5,1) + TIME(0,0,3)</f>
        <v>41760.000034722223</v>
      </c>
      <c r="C1953">
        <v>80</v>
      </c>
      <c r="D1953">
        <v>70.760688782000003</v>
      </c>
      <c r="E1953">
        <v>50</v>
      </c>
      <c r="F1953">
        <v>49.983367919999999</v>
      </c>
      <c r="G1953">
        <v>1329.5230713000001</v>
      </c>
      <c r="H1953">
        <v>1327.0915527</v>
      </c>
      <c r="I1953">
        <v>1335.1887207</v>
      </c>
      <c r="J1953">
        <v>1333.7993164</v>
      </c>
      <c r="K1953">
        <v>2400</v>
      </c>
      <c r="L1953">
        <v>0</v>
      </c>
      <c r="M1953">
        <v>0</v>
      </c>
      <c r="N1953">
        <v>2400</v>
      </c>
    </row>
    <row r="1954" spans="1:14" x14ac:dyDescent="0.25">
      <c r="A1954">
        <v>1461.000121</v>
      </c>
      <c r="B1954" s="1">
        <f>DATE(2014,5,1) + TIME(0,0,10)</f>
        <v>41760.000115740739</v>
      </c>
      <c r="C1954">
        <v>80</v>
      </c>
      <c r="D1954">
        <v>70.764007567999997</v>
      </c>
      <c r="E1954">
        <v>50</v>
      </c>
      <c r="F1954">
        <v>49.982563018999997</v>
      </c>
      <c r="G1954">
        <v>1330.0784911999999</v>
      </c>
      <c r="H1954">
        <v>1327.7443848</v>
      </c>
      <c r="I1954">
        <v>1334.6837158000001</v>
      </c>
      <c r="J1954">
        <v>1333.2943115</v>
      </c>
      <c r="K1954">
        <v>2400</v>
      </c>
      <c r="L1954">
        <v>0</v>
      </c>
      <c r="M1954">
        <v>0</v>
      </c>
      <c r="N1954">
        <v>2400</v>
      </c>
    </row>
    <row r="1955" spans="1:14" x14ac:dyDescent="0.25">
      <c r="A1955">
        <v>1461.000364</v>
      </c>
      <c r="B1955" s="1">
        <f>DATE(2014,5,1) + TIME(0,0,31)</f>
        <v>41760.000358796293</v>
      </c>
      <c r="C1955">
        <v>80</v>
      </c>
      <c r="D1955">
        <v>70.771270752000007</v>
      </c>
      <c r="E1955">
        <v>50</v>
      </c>
      <c r="F1955">
        <v>49.981197356999999</v>
      </c>
      <c r="G1955">
        <v>1331.0180664</v>
      </c>
      <c r="H1955">
        <v>1328.7320557</v>
      </c>
      <c r="I1955">
        <v>1333.8291016000001</v>
      </c>
      <c r="J1955">
        <v>1332.4395752</v>
      </c>
      <c r="K1955">
        <v>2400</v>
      </c>
      <c r="L1955">
        <v>0</v>
      </c>
      <c r="M1955">
        <v>0</v>
      </c>
      <c r="N1955">
        <v>2400</v>
      </c>
    </row>
    <row r="1956" spans="1:14" x14ac:dyDescent="0.25">
      <c r="A1956">
        <v>1461.0010930000001</v>
      </c>
      <c r="B1956" s="1">
        <f>DATE(2014,5,1) + TIME(0,1,34)</f>
        <v>41760.001087962963</v>
      </c>
      <c r="C1956">
        <v>80</v>
      </c>
      <c r="D1956">
        <v>70.788352966000005</v>
      </c>
      <c r="E1956">
        <v>50</v>
      </c>
      <c r="F1956">
        <v>49.979480743000003</v>
      </c>
      <c r="G1956">
        <v>1332.2092285000001</v>
      </c>
      <c r="H1956">
        <v>1329.8953856999999</v>
      </c>
      <c r="I1956">
        <v>1332.7729492000001</v>
      </c>
      <c r="J1956">
        <v>1331.3835449000001</v>
      </c>
      <c r="K1956">
        <v>2400</v>
      </c>
      <c r="L1956">
        <v>0</v>
      </c>
      <c r="M1956">
        <v>0</v>
      </c>
      <c r="N1956">
        <v>2400</v>
      </c>
    </row>
    <row r="1957" spans="1:14" x14ac:dyDescent="0.25">
      <c r="A1957">
        <v>1461.0032799999999</v>
      </c>
      <c r="B1957" s="1">
        <f>DATE(2014,5,1) + TIME(0,4,43)</f>
        <v>41760.003275462965</v>
      </c>
      <c r="C1957">
        <v>80</v>
      </c>
      <c r="D1957">
        <v>70.834053040000001</v>
      </c>
      <c r="E1957">
        <v>50</v>
      </c>
      <c r="F1957">
        <v>49.977607726999999</v>
      </c>
      <c r="G1957">
        <v>1333.4699707</v>
      </c>
      <c r="H1957">
        <v>1331.114624</v>
      </c>
      <c r="I1957">
        <v>1331.6781006000001</v>
      </c>
      <c r="J1957">
        <v>1330.2890625</v>
      </c>
      <c r="K1957">
        <v>2400</v>
      </c>
      <c r="L1957">
        <v>0</v>
      </c>
      <c r="M1957">
        <v>0</v>
      </c>
      <c r="N1957">
        <v>2400</v>
      </c>
    </row>
    <row r="1958" spans="1:14" x14ac:dyDescent="0.25">
      <c r="A1958">
        <v>1461.0098410000001</v>
      </c>
      <c r="B1958" s="1">
        <f>DATE(2014,5,1) + TIME(0,14,10)</f>
        <v>41760.009837962964</v>
      </c>
      <c r="C1958">
        <v>80</v>
      </c>
      <c r="D1958">
        <v>70.964614867999998</v>
      </c>
      <c r="E1958">
        <v>50</v>
      </c>
      <c r="F1958">
        <v>49.975452423</v>
      </c>
      <c r="G1958">
        <v>1334.7392577999999</v>
      </c>
      <c r="H1958">
        <v>1332.3540039</v>
      </c>
      <c r="I1958">
        <v>1330.5799560999999</v>
      </c>
      <c r="J1958">
        <v>1329.1890868999999</v>
      </c>
      <c r="K1958">
        <v>2400</v>
      </c>
      <c r="L1958">
        <v>0</v>
      </c>
      <c r="M1958">
        <v>0</v>
      </c>
      <c r="N1958">
        <v>2400</v>
      </c>
    </row>
    <row r="1959" spans="1:14" x14ac:dyDescent="0.25">
      <c r="A1959">
        <v>1461.029524</v>
      </c>
      <c r="B1959" s="1">
        <f>DATE(2014,5,1) + TIME(0,42,30)</f>
        <v>41760.029513888891</v>
      </c>
      <c r="C1959">
        <v>80</v>
      </c>
      <c r="D1959">
        <v>71.338378906000003</v>
      </c>
      <c r="E1959">
        <v>50</v>
      </c>
      <c r="F1959">
        <v>49.972442627</v>
      </c>
      <c r="G1959">
        <v>1336.0042725000001</v>
      </c>
      <c r="H1959">
        <v>1333.6007079999999</v>
      </c>
      <c r="I1959">
        <v>1329.4735106999999</v>
      </c>
      <c r="J1959">
        <v>1328.0623779</v>
      </c>
      <c r="K1959">
        <v>2400</v>
      </c>
      <c r="L1959">
        <v>0</v>
      </c>
      <c r="M1959">
        <v>0</v>
      </c>
      <c r="N1959">
        <v>2400</v>
      </c>
    </row>
    <row r="1960" spans="1:14" x14ac:dyDescent="0.25">
      <c r="A1960">
        <v>1461.0533869999999</v>
      </c>
      <c r="B1960" s="1">
        <f>DATE(2014,5,1) + TIME(1,16,52)</f>
        <v>41760.053379629629</v>
      </c>
      <c r="C1960">
        <v>80</v>
      </c>
      <c r="D1960">
        <v>71.771903992000006</v>
      </c>
      <c r="E1960">
        <v>50</v>
      </c>
      <c r="F1960">
        <v>49.969871521000002</v>
      </c>
      <c r="G1960">
        <v>1336.7547606999999</v>
      </c>
      <c r="H1960">
        <v>1334.3366699000001</v>
      </c>
      <c r="I1960">
        <v>1328.8253173999999</v>
      </c>
      <c r="J1960">
        <v>1327.3830565999999</v>
      </c>
      <c r="K1960">
        <v>2400</v>
      </c>
      <c r="L1960">
        <v>0</v>
      </c>
      <c r="M1960">
        <v>0</v>
      </c>
      <c r="N1960">
        <v>2400</v>
      </c>
    </row>
    <row r="1961" spans="1:14" x14ac:dyDescent="0.25">
      <c r="A1961">
        <v>1461.0779769999999</v>
      </c>
      <c r="B1961" s="1">
        <f>DATE(2014,5,1) + TIME(1,52,17)</f>
        <v>41760.077974537038</v>
      </c>
      <c r="C1961">
        <v>80</v>
      </c>
      <c r="D1961">
        <v>72.198806762999993</v>
      </c>
      <c r="E1961">
        <v>50</v>
      </c>
      <c r="F1961">
        <v>49.967628478999998</v>
      </c>
      <c r="G1961">
        <v>1337.2249756000001</v>
      </c>
      <c r="H1961">
        <v>1334.7967529</v>
      </c>
      <c r="I1961">
        <v>1328.4237060999999</v>
      </c>
      <c r="J1961">
        <v>1326.9506836</v>
      </c>
      <c r="K1961">
        <v>2400</v>
      </c>
      <c r="L1961">
        <v>0</v>
      </c>
      <c r="M1961">
        <v>0</v>
      </c>
      <c r="N1961">
        <v>2400</v>
      </c>
    </row>
    <row r="1962" spans="1:14" x14ac:dyDescent="0.25">
      <c r="A1962">
        <v>1461.103255</v>
      </c>
      <c r="B1962" s="1">
        <f>DATE(2014,5,1) + TIME(2,28,41)</f>
        <v>41760.103252314817</v>
      </c>
      <c r="C1962">
        <v>80</v>
      </c>
      <c r="D1962">
        <v>72.616996764999996</v>
      </c>
      <c r="E1962">
        <v>50</v>
      </c>
      <c r="F1962">
        <v>49.965522765999999</v>
      </c>
      <c r="G1962">
        <v>1337.5510254000001</v>
      </c>
      <c r="H1962">
        <v>1335.1171875</v>
      </c>
      <c r="I1962">
        <v>1328.1462402</v>
      </c>
      <c r="J1962">
        <v>1326.6455077999999</v>
      </c>
      <c r="K1962">
        <v>2400</v>
      </c>
      <c r="L1962">
        <v>0</v>
      </c>
      <c r="M1962">
        <v>0</v>
      </c>
      <c r="N1962">
        <v>2400</v>
      </c>
    </row>
    <row r="1963" spans="1:14" x14ac:dyDescent="0.25">
      <c r="A1963">
        <v>1461.129203</v>
      </c>
      <c r="B1963" s="1">
        <f>DATE(2014,5,1) + TIME(3,6,3)</f>
        <v>41760.129201388889</v>
      </c>
      <c r="C1963">
        <v>80</v>
      </c>
      <c r="D1963">
        <v>73.025032042999996</v>
      </c>
      <c r="E1963">
        <v>50</v>
      </c>
      <c r="F1963">
        <v>49.963478088000002</v>
      </c>
      <c r="G1963">
        <v>1337.793457</v>
      </c>
      <c r="H1963">
        <v>1335.3562012</v>
      </c>
      <c r="I1963">
        <v>1327.9415283000001</v>
      </c>
      <c r="J1963">
        <v>1326.4169922000001</v>
      </c>
      <c r="K1963">
        <v>2400</v>
      </c>
      <c r="L1963">
        <v>0</v>
      </c>
      <c r="M1963">
        <v>0</v>
      </c>
      <c r="N1963">
        <v>2400</v>
      </c>
    </row>
    <row r="1964" spans="1:14" x14ac:dyDescent="0.25">
      <c r="A1964">
        <v>1461.1558239999999</v>
      </c>
      <c r="B1964" s="1">
        <f>DATE(2014,5,1) + TIME(3,44,23)</f>
        <v>41760.155821759261</v>
      </c>
      <c r="C1964">
        <v>80</v>
      </c>
      <c r="D1964">
        <v>73.421989440999994</v>
      </c>
      <c r="E1964">
        <v>50</v>
      </c>
      <c r="F1964">
        <v>49.961463928000001</v>
      </c>
      <c r="G1964">
        <v>1337.9827881000001</v>
      </c>
      <c r="H1964">
        <v>1335.5437012</v>
      </c>
      <c r="I1964">
        <v>1327.7836914</v>
      </c>
      <c r="J1964">
        <v>1326.2390137</v>
      </c>
      <c r="K1964">
        <v>2400</v>
      </c>
      <c r="L1964">
        <v>0</v>
      </c>
      <c r="M1964">
        <v>0</v>
      </c>
      <c r="N1964">
        <v>2400</v>
      </c>
    </row>
    <row r="1965" spans="1:14" x14ac:dyDescent="0.25">
      <c r="A1965">
        <v>1461.1831299999999</v>
      </c>
      <c r="B1965" s="1">
        <f>DATE(2014,5,1) + TIME(4,23,42)</f>
        <v>41760.183125000003</v>
      </c>
      <c r="C1965">
        <v>80</v>
      </c>
      <c r="D1965">
        <v>73.807289123999993</v>
      </c>
      <c r="E1965">
        <v>50</v>
      </c>
      <c r="F1965">
        <v>49.959457397000001</v>
      </c>
      <c r="G1965">
        <v>1338.1363524999999</v>
      </c>
      <c r="H1965">
        <v>1335.6961670000001</v>
      </c>
      <c r="I1965">
        <v>1327.6582031</v>
      </c>
      <c r="J1965">
        <v>1326.0963135</v>
      </c>
      <c r="K1965">
        <v>2400</v>
      </c>
      <c r="L1965">
        <v>0</v>
      </c>
      <c r="M1965">
        <v>0</v>
      </c>
      <c r="N1965">
        <v>2400</v>
      </c>
    </row>
    <row r="1966" spans="1:14" x14ac:dyDescent="0.25">
      <c r="A1966">
        <v>1461.211141</v>
      </c>
      <c r="B1966" s="1">
        <f>DATE(2014,5,1) + TIME(5,4,2)</f>
        <v>41760.211134259262</v>
      </c>
      <c r="C1966">
        <v>80</v>
      </c>
      <c r="D1966">
        <v>74.180541992000002</v>
      </c>
      <c r="E1966">
        <v>50</v>
      </c>
      <c r="F1966">
        <v>49.957443237</v>
      </c>
      <c r="G1966">
        <v>1338.2647704999999</v>
      </c>
      <c r="H1966">
        <v>1335.8237305</v>
      </c>
      <c r="I1966">
        <v>1327.5561522999999</v>
      </c>
      <c r="J1966">
        <v>1325.9796143000001</v>
      </c>
      <c r="K1966">
        <v>2400</v>
      </c>
      <c r="L1966">
        <v>0</v>
      </c>
      <c r="M1966">
        <v>0</v>
      </c>
      <c r="N1966">
        <v>2400</v>
      </c>
    </row>
    <row r="1967" spans="1:14" x14ac:dyDescent="0.25">
      <c r="A1967">
        <v>1461.239885</v>
      </c>
      <c r="B1967" s="1">
        <f>DATE(2014,5,1) + TIME(5,45,26)</f>
        <v>41760.239884259259</v>
      </c>
      <c r="C1967">
        <v>80</v>
      </c>
      <c r="D1967">
        <v>74.541496276999993</v>
      </c>
      <c r="E1967">
        <v>50</v>
      </c>
      <c r="F1967">
        <v>49.955410004000001</v>
      </c>
      <c r="G1967">
        <v>1338.375</v>
      </c>
      <c r="H1967">
        <v>1335.9329834</v>
      </c>
      <c r="I1967">
        <v>1327.4716797000001</v>
      </c>
      <c r="J1967">
        <v>1325.8825684000001</v>
      </c>
      <c r="K1967">
        <v>2400</v>
      </c>
      <c r="L1967">
        <v>0</v>
      </c>
      <c r="M1967">
        <v>0</v>
      </c>
      <c r="N1967">
        <v>2400</v>
      </c>
    </row>
    <row r="1968" spans="1:14" x14ac:dyDescent="0.25">
      <c r="A1968">
        <v>1461.2693870000001</v>
      </c>
      <c r="B1968" s="1">
        <f>DATE(2014,5,1) + TIME(6,27,55)</f>
        <v>41760.269386574073</v>
      </c>
      <c r="C1968">
        <v>80</v>
      </c>
      <c r="D1968">
        <v>74.889930724999999</v>
      </c>
      <c r="E1968">
        <v>50</v>
      </c>
      <c r="F1968">
        <v>49.953357697000001</v>
      </c>
      <c r="G1968">
        <v>1338.4714355000001</v>
      </c>
      <c r="H1968">
        <v>1336.0283202999999</v>
      </c>
      <c r="I1968">
        <v>1327.4011230000001</v>
      </c>
      <c r="J1968">
        <v>1325.8010254000001</v>
      </c>
      <c r="K1968">
        <v>2400</v>
      </c>
      <c r="L1968">
        <v>0</v>
      </c>
      <c r="M1968">
        <v>0</v>
      </c>
      <c r="N1968">
        <v>2400</v>
      </c>
    </row>
    <row r="1969" spans="1:14" x14ac:dyDescent="0.25">
      <c r="A1969">
        <v>1461.2996880000001</v>
      </c>
      <c r="B1969" s="1">
        <f>DATE(2014,5,1) + TIME(7,11,33)</f>
        <v>41760.299687500003</v>
      </c>
      <c r="C1969">
        <v>80</v>
      </c>
      <c r="D1969">
        <v>75.225654602000006</v>
      </c>
      <c r="E1969">
        <v>50</v>
      </c>
      <c r="F1969">
        <v>49.951278686999999</v>
      </c>
      <c r="G1969">
        <v>1338.5573730000001</v>
      </c>
      <c r="H1969">
        <v>1336.1129149999999</v>
      </c>
      <c r="I1969">
        <v>1327.3415527</v>
      </c>
      <c r="J1969">
        <v>1325.7319336</v>
      </c>
      <c r="K1969">
        <v>2400</v>
      </c>
      <c r="L1969">
        <v>0</v>
      </c>
      <c r="M1969">
        <v>0</v>
      </c>
      <c r="N1969">
        <v>2400</v>
      </c>
    </row>
    <row r="1970" spans="1:14" x14ac:dyDescent="0.25">
      <c r="A1970">
        <v>1461.3308280000001</v>
      </c>
      <c r="B1970" s="1">
        <f>DATE(2014,5,1) + TIME(7,56,23)</f>
        <v>41760.330821759257</v>
      </c>
      <c r="C1970">
        <v>80</v>
      </c>
      <c r="D1970">
        <v>75.548690796000002</v>
      </c>
      <c r="E1970">
        <v>50</v>
      </c>
      <c r="F1970">
        <v>49.949165344000001</v>
      </c>
      <c r="G1970">
        <v>1338.6351318</v>
      </c>
      <c r="H1970">
        <v>1336.1889647999999</v>
      </c>
      <c r="I1970">
        <v>1327.2910156</v>
      </c>
      <c r="J1970">
        <v>1325.6729736</v>
      </c>
      <c r="K1970">
        <v>2400</v>
      </c>
      <c r="L1970">
        <v>0</v>
      </c>
      <c r="M1970">
        <v>0</v>
      </c>
      <c r="N1970">
        <v>2400</v>
      </c>
    </row>
    <row r="1971" spans="1:14" x14ac:dyDescent="0.25">
      <c r="A1971">
        <v>1461.3628510000001</v>
      </c>
      <c r="B1971" s="1">
        <f>DATE(2014,5,1) + TIME(8,42,30)</f>
        <v>41760.362847222219</v>
      </c>
      <c r="C1971">
        <v>80</v>
      </c>
      <c r="D1971">
        <v>75.859069824000002</v>
      </c>
      <c r="E1971">
        <v>50</v>
      </c>
      <c r="F1971">
        <v>49.947021483999997</v>
      </c>
      <c r="G1971">
        <v>1338.7062988</v>
      </c>
      <c r="H1971">
        <v>1336.2580565999999</v>
      </c>
      <c r="I1971">
        <v>1327.2481689000001</v>
      </c>
      <c r="J1971">
        <v>1325.6225586</v>
      </c>
      <c r="K1971">
        <v>2400</v>
      </c>
      <c r="L1971">
        <v>0</v>
      </c>
      <c r="M1971">
        <v>0</v>
      </c>
      <c r="N1971">
        <v>2400</v>
      </c>
    </row>
    <row r="1972" spans="1:14" x14ac:dyDescent="0.25">
      <c r="A1972">
        <v>1461.395806</v>
      </c>
      <c r="B1972" s="1">
        <f>DATE(2014,5,1) + TIME(9,29,57)</f>
        <v>41760.395798611113</v>
      </c>
      <c r="C1972">
        <v>80</v>
      </c>
      <c r="D1972">
        <v>76.156806946000003</v>
      </c>
      <c r="E1972">
        <v>50</v>
      </c>
      <c r="F1972">
        <v>49.944835662999999</v>
      </c>
      <c r="G1972">
        <v>1338.7722168</v>
      </c>
      <c r="H1972">
        <v>1336.3215332</v>
      </c>
      <c r="I1972">
        <v>1327.2115478999999</v>
      </c>
      <c r="J1972">
        <v>1325.5793457</v>
      </c>
      <c r="K1972">
        <v>2400</v>
      </c>
      <c r="L1972">
        <v>0</v>
      </c>
      <c r="M1972">
        <v>0</v>
      </c>
      <c r="N1972">
        <v>2400</v>
      </c>
    </row>
    <row r="1973" spans="1:14" x14ac:dyDescent="0.25">
      <c r="A1973">
        <v>1461.4297449999999</v>
      </c>
      <c r="B1973" s="1">
        <f>DATE(2014,5,1) + TIME(10,18,49)</f>
        <v>41760.4297337963</v>
      </c>
      <c r="C1973">
        <v>80</v>
      </c>
      <c r="D1973">
        <v>76.441894531000003</v>
      </c>
      <c r="E1973">
        <v>50</v>
      </c>
      <c r="F1973">
        <v>49.942607879999997</v>
      </c>
      <c r="G1973">
        <v>1338.8338623</v>
      </c>
      <c r="H1973">
        <v>1336.3801269999999</v>
      </c>
      <c r="I1973">
        <v>1327.1805420000001</v>
      </c>
      <c r="J1973">
        <v>1325.5423584</v>
      </c>
      <c r="K1973">
        <v>2400</v>
      </c>
      <c r="L1973">
        <v>0</v>
      </c>
      <c r="M1973">
        <v>0</v>
      </c>
      <c r="N1973">
        <v>2400</v>
      </c>
    </row>
    <row r="1974" spans="1:14" x14ac:dyDescent="0.25">
      <c r="A1974">
        <v>1461.464723</v>
      </c>
      <c r="B1974" s="1">
        <f>DATE(2014,5,1) + TIME(11,9,12)</f>
        <v>41760.464722222219</v>
      </c>
      <c r="C1974">
        <v>80</v>
      </c>
      <c r="D1974">
        <v>76.714370728000006</v>
      </c>
      <c r="E1974">
        <v>50</v>
      </c>
      <c r="F1974">
        <v>49.940334319999998</v>
      </c>
      <c r="G1974">
        <v>1338.8918457</v>
      </c>
      <c r="H1974">
        <v>1336.4348144999999</v>
      </c>
      <c r="I1974">
        <v>1327.1542969</v>
      </c>
      <c r="J1974">
        <v>1325.5107422000001</v>
      </c>
      <c r="K1974">
        <v>2400</v>
      </c>
      <c r="L1974">
        <v>0</v>
      </c>
      <c r="M1974">
        <v>0</v>
      </c>
      <c r="N1974">
        <v>2400</v>
      </c>
    </row>
    <row r="1975" spans="1:14" x14ac:dyDescent="0.25">
      <c r="A1975">
        <v>1461.5008029999999</v>
      </c>
      <c r="B1975" s="1">
        <f>DATE(2014,5,1) + TIME(12,1,9)</f>
        <v>41760.500798611109</v>
      </c>
      <c r="C1975">
        <v>80</v>
      </c>
      <c r="D1975">
        <v>76.974258422999995</v>
      </c>
      <c r="E1975">
        <v>50</v>
      </c>
      <c r="F1975">
        <v>49.938011168999999</v>
      </c>
      <c r="G1975">
        <v>1338.9468993999999</v>
      </c>
      <c r="H1975">
        <v>1336.4860839999999</v>
      </c>
      <c r="I1975">
        <v>1327.1322021000001</v>
      </c>
      <c r="J1975">
        <v>1325.4836425999999</v>
      </c>
      <c r="K1975">
        <v>2400</v>
      </c>
      <c r="L1975">
        <v>0</v>
      </c>
      <c r="M1975">
        <v>0</v>
      </c>
      <c r="N1975">
        <v>2400</v>
      </c>
    </row>
    <row r="1976" spans="1:14" x14ac:dyDescent="0.25">
      <c r="A1976">
        <v>1461.538051</v>
      </c>
      <c r="B1976" s="1">
        <f>DATE(2014,5,1) + TIME(12,54,47)</f>
        <v>41760.538043981483</v>
      </c>
      <c r="C1976">
        <v>80</v>
      </c>
      <c r="D1976">
        <v>77.221633910999998</v>
      </c>
      <c r="E1976">
        <v>50</v>
      </c>
      <c r="F1976">
        <v>49.935638427999997</v>
      </c>
      <c r="G1976">
        <v>1338.9992675999999</v>
      </c>
      <c r="H1976">
        <v>1336.5343018000001</v>
      </c>
      <c r="I1976">
        <v>1327.1136475000001</v>
      </c>
      <c r="J1976">
        <v>1325.4608154</v>
      </c>
      <c r="K1976">
        <v>2400</v>
      </c>
      <c r="L1976">
        <v>0</v>
      </c>
      <c r="M1976">
        <v>0</v>
      </c>
      <c r="N1976">
        <v>2400</v>
      </c>
    </row>
    <row r="1977" spans="1:14" x14ac:dyDescent="0.25">
      <c r="A1977">
        <v>1461.5765409999999</v>
      </c>
      <c r="B1977" s="1">
        <f>DATE(2014,5,1) + TIME(13,50,13)</f>
        <v>41760.576539351852</v>
      </c>
      <c r="C1977">
        <v>80</v>
      </c>
      <c r="D1977">
        <v>77.456558228000006</v>
      </c>
      <c r="E1977">
        <v>50</v>
      </c>
      <c r="F1977">
        <v>49.933208466000004</v>
      </c>
      <c r="G1977">
        <v>1339.0494385</v>
      </c>
      <c r="H1977">
        <v>1336.5799560999999</v>
      </c>
      <c r="I1977">
        <v>1327.0983887</v>
      </c>
      <c r="J1977">
        <v>1325.4414062000001</v>
      </c>
      <c r="K1977">
        <v>2400</v>
      </c>
      <c r="L1977">
        <v>0</v>
      </c>
      <c r="M1977">
        <v>0</v>
      </c>
      <c r="N1977">
        <v>2400</v>
      </c>
    </row>
    <row r="1978" spans="1:14" x14ac:dyDescent="0.25">
      <c r="A1978">
        <v>1461.616305</v>
      </c>
      <c r="B1978" s="1">
        <f>DATE(2014,5,1) + TIME(14,47,28)</f>
        <v>41760.616296296299</v>
      </c>
      <c r="C1978">
        <v>80</v>
      </c>
      <c r="D1978">
        <v>77.678886414000004</v>
      </c>
      <c r="E1978">
        <v>50</v>
      </c>
      <c r="F1978">
        <v>49.930721282999997</v>
      </c>
      <c r="G1978">
        <v>1339.0976562000001</v>
      </c>
      <c r="H1978">
        <v>1336.6234131000001</v>
      </c>
      <c r="I1978">
        <v>1327.0858154</v>
      </c>
      <c r="J1978">
        <v>1325.425293</v>
      </c>
      <c r="K1978">
        <v>2400</v>
      </c>
      <c r="L1978">
        <v>0</v>
      </c>
      <c r="M1978">
        <v>0</v>
      </c>
      <c r="N1978">
        <v>2400</v>
      </c>
    </row>
    <row r="1979" spans="1:14" x14ac:dyDescent="0.25">
      <c r="A1979">
        <v>1461.657375</v>
      </c>
      <c r="B1979" s="1">
        <f>DATE(2014,5,1) + TIME(15,46,37)</f>
        <v>41760.657372685186</v>
      </c>
      <c r="C1979">
        <v>80</v>
      </c>
      <c r="D1979">
        <v>77.888542174999998</v>
      </c>
      <c r="E1979">
        <v>50</v>
      </c>
      <c r="F1979">
        <v>49.928173065000003</v>
      </c>
      <c r="G1979">
        <v>1339.1441649999999</v>
      </c>
      <c r="H1979">
        <v>1336.6646728999999</v>
      </c>
      <c r="I1979">
        <v>1327.0756836</v>
      </c>
      <c r="J1979">
        <v>1325.4118652</v>
      </c>
      <c r="K1979">
        <v>2400</v>
      </c>
      <c r="L1979">
        <v>0</v>
      </c>
      <c r="M1979">
        <v>0</v>
      </c>
      <c r="N1979">
        <v>2400</v>
      </c>
    </row>
    <row r="1980" spans="1:14" x14ac:dyDescent="0.25">
      <c r="A1980">
        <v>1461.69983</v>
      </c>
      <c r="B1980" s="1">
        <f>DATE(2014,5,1) + TIME(16,47,45)</f>
        <v>41760.699826388889</v>
      </c>
      <c r="C1980">
        <v>80</v>
      </c>
      <c r="D1980">
        <v>78.085700989000003</v>
      </c>
      <c r="E1980">
        <v>50</v>
      </c>
      <c r="F1980">
        <v>49.925563812</v>
      </c>
      <c r="G1980">
        <v>1339.1889647999999</v>
      </c>
      <c r="H1980">
        <v>1336.7041016000001</v>
      </c>
      <c r="I1980">
        <v>1327.067749</v>
      </c>
      <c r="J1980">
        <v>1325.4008789</v>
      </c>
      <c r="K1980">
        <v>2400</v>
      </c>
      <c r="L1980">
        <v>0</v>
      </c>
      <c r="M1980">
        <v>0</v>
      </c>
      <c r="N1980">
        <v>2400</v>
      </c>
    </row>
    <row r="1981" spans="1:14" x14ac:dyDescent="0.25">
      <c r="A1981">
        <v>1461.743755</v>
      </c>
      <c r="B1981" s="1">
        <f>DATE(2014,5,1) + TIME(17,51,0)</f>
        <v>41760.743750000001</v>
      </c>
      <c r="C1981">
        <v>80</v>
      </c>
      <c r="D1981">
        <v>78.270576477000006</v>
      </c>
      <c r="E1981">
        <v>50</v>
      </c>
      <c r="F1981">
        <v>49.922889709000003</v>
      </c>
      <c r="G1981">
        <v>1339.2322998</v>
      </c>
      <c r="H1981">
        <v>1336.7418213000001</v>
      </c>
      <c r="I1981">
        <v>1327.0616454999999</v>
      </c>
      <c r="J1981">
        <v>1325.3919678</v>
      </c>
      <c r="K1981">
        <v>2400</v>
      </c>
      <c r="L1981">
        <v>0</v>
      </c>
      <c r="M1981">
        <v>0</v>
      </c>
      <c r="N1981">
        <v>2400</v>
      </c>
    </row>
    <row r="1982" spans="1:14" x14ac:dyDescent="0.25">
      <c r="A1982">
        <v>1461.7892420000001</v>
      </c>
      <c r="B1982" s="1">
        <f>DATE(2014,5,1) + TIME(18,56,30)</f>
        <v>41760.789236111108</v>
      </c>
      <c r="C1982">
        <v>80</v>
      </c>
      <c r="D1982">
        <v>78.443397521999998</v>
      </c>
      <c r="E1982">
        <v>50</v>
      </c>
      <c r="F1982">
        <v>49.920143127000003</v>
      </c>
      <c r="G1982">
        <v>1339.2744141000001</v>
      </c>
      <c r="H1982">
        <v>1336.7779541</v>
      </c>
      <c r="I1982">
        <v>1327.057251</v>
      </c>
      <c r="J1982">
        <v>1325.3850098</v>
      </c>
      <c r="K1982">
        <v>2400</v>
      </c>
      <c r="L1982">
        <v>0</v>
      </c>
      <c r="M1982">
        <v>0</v>
      </c>
      <c r="N1982">
        <v>2400</v>
      </c>
    </row>
    <row r="1983" spans="1:14" x14ac:dyDescent="0.25">
      <c r="A1983">
        <v>1461.8363899999999</v>
      </c>
      <c r="B1983" s="1">
        <f>DATE(2014,5,1) + TIME(20,4,24)</f>
        <v>41760.836388888885</v>
      </c>
      <c r="C1983">
        <v>80</v>
      </c>
      <c r="D1983">
        <v>78.604423522999994</v>
      </c>
      <c r="E1983">
        <v>50</v>
      </c>
      <c r="F1983">
        <v>49.917324065999999</v>
      </c>
      <c r="G1983">
        <v>1339.3150635</v>
      </c>
      <c r="H1983">
        <v>1336.8127440999999</v>
      </c>
      <c r="I1983">
        <v>1327.0541992000001</v>
      </c>
      <c r="J1983">
        <v>1325.3795166</v>
      </c>
      <c r="K1983">
        <v>2400</v>
      </c>
      <c r="L1983">
        <v>0</v>
      </c>
      <c r="M1983">
        <v>0</v>
      </c>
      <c r="N1983">
        <v>2400</v>
      </c>
    </row>
    <row r="1984" spans="1:14" x14ac:dyDescent="0.25">
      <c r="A1984">
        <v>1461.8853059999999</v>
      </c>
      <c r="B1984" s="1">
        <f>DATE(2014,5,1) + TIME(21,14,50)</f>
        <v>41760.885300925926</v>
      </c>
      <c r="C1984">
        <v>80</v>
      </c>
      <c r="D1984">
        <v>78.753921508999994</v>
      </c>
      <c r="E1984">
        <v>50</v>
      </c>
      <c r="F1984">
        <v>49.914421081999997</v>
      </c>
      <c r="G1984">
        <v>1339.3547363</v>
      </c>
      <c r="H1984">
        <v>1336.8460693</v>
      </c>
      <c r="I1984">
        <v>1327.0522461</v>
      </c>
      <c r="J1984">
        <v>1325.3753661999999</v>
      </c>
      <c r="K1984">
        <v>2400</v>
      </c>
      <c r="L1984">
        <v>0</v>
      </c>
      <c r="M1984">
        <v>0</v>
      </c>
      <c r="N1984">
        <v>2400</v>
      </c>
    </row>
    <row r="1985" spans="1:14" x14ac:dyDescent="0.25">
      <c r="A1985">
        <v>1461.9361100000001</v>
      </c>
      <c r="B1985" s="1">
        <f>DATE(2014,5,1) + TIME(22,27,59)</f>
        <v>41760.936099537037</v>
      </c>
      <c r="C1985">
        <v>80</v>
      </c>
      <c r="D1985">
        <v>78.892211914000001</v>
      </c>
      <c r="E1985">
        <v>50</v>
      </c>
      <c r="F1985">
        <v>49.911434174</v>
      </c>
      <c r="G1985">
        <v>1339.3931885</v>
      </c>
      <c r="H1985">
        <v>1336.8782959</v>
      </c>
      <c r="I1985">
        <v>1327.0513916</v>
      </c>
      <c r="J1985">
        <v>1325.3724365</v>
      </c>
      <c r="K1985">
        <v>2400</v>
      </c>
      <c r="L1985">
        <v>0</v>
      </c>
      <c r="M1985">
        <v>0</v>
      </c>
      <c r="N1985">
        <v>2400</v>
      </c>
    </row>
    <row r="1986" spans="1:14" x14ac:dyDescent="0.25">
      <c r="A1986">
        <v>1461.9889519999999</v>
      </c>
      <c r="B1986" s="1">
        <f>DATE(2014,5,1) + TIME(23,44,5)</f>
        <v>41760.988946759258</v>
      </c>
      <c r="C1986">
        <v>80</v>
      </c>
      <c r="D1986">
        <v>79.019676208000007</v>
      </c>
      <c r="E1986">
        <v>50</v>
      </c>
      <c r="F1986">
        <v>49.908355712999999</v>
      </c>
      <c r="G1986">
        <v>1339.4306641000001</v>
      </c>
      <c r="H1986">
        <v>1336.9091797000001</v>
      </c>
      <c r="I1986">
        <v>1327.0512695</v>
      </c>
      <c r="J1986">
        <v>1325.3704834</v>
      </c>
      <c r="K1986">
        <v>2400</v>
      </c>
      <c r="L1986">
        <v>0</v>
      </c>
      <c r="M1986">
        <v>0</v>
      </c>
      <c r="N1986">
        <v>2400</v>
      </c>
    </row>
    <row r="1987" spans="1:14" x14ac:dyDescent="0.25">
      <c r="A1987">
        <v>1462.04395</v>
      </c>
      <c r="B1987" s="1">
        <f>DATE(2014,5,2) + TIME(1,3,17)</f>
        <v>41761.043946759259</v>
      </c>
      <c r="C1987">
        <v>80</v>
      </c>
      <c r="D1987">
        <v>79.136596679999997</v>
      </c>
      <c r="E1987">
        <v>50</v>
      </c>
      <c r="F1987">
        <v>49.905178069999998</v>
      </c>
      <c r="G1987">
        <v>1339.4670410000001</v>
      </c>
      <c r="H1987">
        <v>1336.9390868999999</v>
      </c>
      <c r="I1987">
        <v>1327.0518798999999</v>
      </c>
      <c r="J1987">
        <v>1325.3692627</v>
      </c>
      <c r="K1987">
        <v>2400</v>
      </c>
      <c r="L1987">
        <v>0</v>
      </c>
      <c r="M1987">
        <v>0</v>
      </c>
      <c r="N1987">
        <v>2400</v>
      </c>
    </row>
    <row r="1988" spans="1:14" x14ac:dyDescent="0.25">
      <c r="A1988">
        <v>1462.101259</v>
      </c>
      <c r="B1988" s="1">
        <f>DATE(2014,5,2) + TIME(2,25,48)</f>
        <v>41761.10125</v>
      </c>
      <c r="C1988">
        <v>80</v>
      </c>
      <c r="D1988">
        <v>79.243377686000002</v>
      </c>
      <c r="E1988">
        <v>50</v>
      </c>
      <c r="F1988">
        <v>49.901893616000002</v>
      </c>
      <c r="G1988">
        <v>1339.5024414</v>
      </c>
      <c r="H1988">
        <v>1336.9678954999999</v>
      </c>
      <c r="I1988">
        <v>1327.0531006000001</v>
      </c>
      <c r="J1988">
        <v>1325.3686522999999</v>
      </c>
      <c r="K1988">
        <v>2400</v>
      </c>
      <c r="L1988">
        <v>0</v>
      </c>
      <c r="M1988">
        <v>0</v>
      </c>
      <c r="N1988">
        <v>2400</v>
      </c>
    </row>
    <row r="1989" spans="1:14" x14ac:dyDescent="0.25">
      <c r="A1989">
        <v>1462.1610470000001</v>
      </c>
      <c r="B1989" s="1">
        <f>DATE(2014,5,2) + TIME(3,51,54)</f>
        <v>41761.161041666666</v>
      </c>
      <c r="C1989">
        <v>80</v>
      </c>
      <c r="D1989">
        <v>79.340415954999997</v>
      </c>
      <c r="E1989">
        <v>50</v>
      </c>
      <c r="F1989">
        <v>49.898502350000001</v>
      </c>
      <c r="G1989">
        <v>1339.5368652</v>
      </c>
      <c r="H1989">
        <v>1336.9956055</v>
      </c>
      <c r="I1989">
        <v>1327.0546875</v>
      </c>
      <c r="J1989">
        <v>1325.3686522999999</v>
      </c>
      <c r="K1989">
        <v>2400</v>
      </c>
      <c r="L1989">
        <v>0</v>
      </c>
      <c r="M1989">
        <v>0</v>
      </c>
      <c r="N1989">
        <v>2400</v>
      </c>
    </row>
    <row r="1990" spans="1:14" x14ac:dyDescent="0.25">
      <c r="A1990">
        <v>1462.2235000000001</v>
      </c>
      <c r="B1990" s="1">
        <f>DATE(2014,5,2) + TIME(5,21,50)</f>
        <v>41761.223495370374</v>
      </c>
      <c r="C1990">
        <v>80</v>
      </c>
      <c r="D1990">
        <v>79.428146362000007</v>
      </c>
      <c r="E1990">
        <v>50</v>
      </c>
      <c r="F1990">
        <v>49.894985198999997</v>
      </c>
      <c r="G1990">
        <v>1339.5703125</v>
      </c>
      <c r="H1990">
        <v>1337.0223389</v>
      </c>
      <c r="I1990">
        <v>1327.0566406</v>
      </c>
      <c r="J1990">
        <v>1325.3688964999999</v>
      </c>
      <c r="K1990">
        <v>2400</v>
      </c>
      <c r="L1990">
        <v>0</v>
      </c>
      <c r="M1990">
        <v>0</v>
      </c>
      <c r="N1990">
        <v>2400</v>
      </c>
    </row>
    <row r="1991" spans="1:14" x14ac:dyDescent="0.25">
      <c r="A1991">
        <v>1462.2888270000001</v>
      </c>
      <c r="B1991" s="1">
        <f>DATE(2014,5,2) + TIME(6,55,54)</f>
        <v>41761.288819444446</v>
      </c>
      <c r="C1991">
        <v>80</v>
      </c>
      <c r="D1991">
        <v>79.507019043</v>
      </c>
      <c r="E1991">
        <v>50</v>
      </c>
      <c r="F1991">
        <v>49.891342162999997</v>
      </c>
      <c r="G1991">
        <v>1339.6027832</v>
      </c>
      <c r="H1991">
        <v>1337.0480957</v>
      </c>
      <c r="I1991">
        <v>1327.0588379000001</v>
      </c>
      <c r="J1991">
        <v>1325.3696289</v>
      </c>
      <c r="K1991">
        <v>2400</v>
      </c>
      <c r="L1991">
        <v>0</v>
      </c>
      <c r="M1991">
        <v>0</v>
      </c>
      <c r="N1991">
        <v>2400</v>
      </c>
    </row>
    <row r="1992" spans="1:14" x14ac:dyDescent="0.25">
      <c r="A1992">
        <v>1462.3572569999999</v>
      </c>
      <c r="B1992" s="1">
        <f>DATE(2014,5,2) + TIME(8,34,26)</f>
        <v>41761.357245370367</v>
      </c>
      <c r="C1992">
        <v>80</v>
      </c>
      <c r="D1992">
        <v>79.577522278000004</v>
      </c>
      <c r="E1992">
        <v>50</v>
      </c>
      <c r="F1992">
        <v>49.887561798</v>
      </c>
      <c r="G1992">
        <v>1339.6341553</v>
      </c>
      <c r="H1992">
        <v>1337.072876</v>
      </c>
      <c r="I1992">
        <v>1327.0612793</v>
      </c>
      <c r="J1992">
        <v>1325.3704834</v>
      </c>
      <c r="K1992">
        <v>2400</v>
      </c>
      <c r="L1992">
        <v>0</v>
      </c>
      <c r="M1992">
        <v>0</v>
      </c>
      <c r="N1992">
        <v>2400</v>
      </c>
    </row>
    <row r="1993" spans="1:14" x14ac:dyDescent="0.25">
      <c r="A1993">
        <v>1462.4290470000001</v>
      </c>
      <c r="B1993" s="1">
        <f>DATE(2014,5,2) + TIME(10,17,49)</f>
        <v>41761.429039351853</v>
      </c>
      <c r="C1993">
        <v>80</v>
      </c>
      <c r="D1993">
        <v>79.640129088999998</v>
      </c>
      <c r="E1993">
        <v>50</v>
      </c>
      <c r="F1993">
        <v>49.883628844999997</v>
      </c>
      <c r="G1993">
        <v>1339.6646728999999</v>
      </c>
      <c r="H1993">
        <v>1337.0968018000001</v>
      </c>
      <c r="I1993">
        <v>1327.0637207</v>
      </c>
      <c r="J1993">
        <v>1325.3713379000001</v>
      </c>
      <c r="K1993">
        <v>2400</v>
      </c>
      <c r="L1993">
        <v>0</v>
      </c>
      <c r="M1993">
        <v>0</v>
      </c>
      <c r="N1993">
        <v>2400</v>
      </c>
    </row>
    <row r="1994" spans="1:14" x14ac:dyDescent="0.25">
      <c r="A1994">
        <v>1462.504488</v>
      </c>
      <c r="B1994" s="1">
        <f>DATE(2014,5,2) + TIME(12,6,27)</f>
        <v>41761.504479166666</v>
      </c>
      <c r="C1994">
        <v>80</v>
      </c>
      <c r="D1994">
        <v>79.695358275999993</v>
      </c>
      <c r="E1994">
        <v>50</v>
      </c>
      <c r="F1994">
        <v>49.87953186</v>
      </c>
      <c r="G1994">
        <v>1339.6942139</v>
      </c>
      <c r="H1994">
        <v>1337.119751</v>
      </c>
      <c r="I1994">
        <v>1327.0661620999999</v>
      </c>
      <c r="J1994">
        <v>1325.3724365</v>
      </c>
      <c r="K1994">
        <v>2400</v>
      </c>
      <c r="L1994">
        <v>0</v>
      </c>
      <c r="M1994">
        <v>0</v>
      </c>
      <c r="N1994">
        <v>2400</v>
      </c>
    </row>
    <row r="1995" spans="1:14" x14ac:dyDescent="0.25">
      <c r="A1995">
        <v>1462.5839060000001</v>
      </c>
      <c r="B1995" s="1">
        <f>DATE(2014,5,2) + TIME(14,0,49)</f>
        <v>41761.58390046296</v>
      </c>
      <c r="C1995">
        <v>80</v>
      </c>
      <c r="D1995">
        <v>79.743721007999994</v>
      </c>
      <c r="E1995">
        <v>50</v>
      </c>
      <c r="F1995">
        <v>49.875259399000001</v>
      </c>
      <c r="G1995">
        <v>1339.7227783000001</v>
      </c>
      <c r="H1995">
        <v>1337.1417236</v>
      </c>
      <c r="I1995">
        <v>1327.0686035000001</v>
      </c>
      <c r="J1995">
        <v>1325.3734131000001</v>
      </c>
      <c r="K1995">
        <v>2400</v>
      </c>
      <c r="L1995">
        <v>0</v>
      </c>
      <c r="M1995">
        <v>0</v>
      </c>
      <c r="N1995">
        <v>2400</v>
      </c>
    </row>
    <row r="1996" spans="1:14" x14ac:dyDescent="0.25">
      <c r="A1996">
        <v>1462.6677090000001</v>
      </c>
      <c r="B1996" s="1">
        <f>DATE(2014,5,2) + TIME(16,1,30)</f>
        <v>41761.667708333334</v>
      </c>
      <c r="C1996">
        <v>80</v>
      </c>
      <c r="D1996">
        <v>79.785751343000001</v>
      </c>
      <c r="E1996">
        <v>50</v>
      </c>
      <c r="F1996">
        <v>49.870792389000002</v>
      </c>
      <c r="G1996">
        <v>1339.7502440999999</v>
      </c>
      <c r="H1996">
        <v>1337.1628418</v>
      </c>
      <c r="I1996">
        <v>1327.0709228999999</v>
      </c>
      <c r="J1996">
        <v>1325.3743896000001</v>
      </c>
      <c r="K1996">
        <v>2400</v>
      </c>
      <c r="L1996">
        <v>0</v>
      </c>
      <c r="M1996">
        <v>0</v>
      </c>
      <c r="N1996">
        <v>2400</v>
      </c>
    </row>
    <row r="1997" spans="1:14" x14ac:dyDescent="0.25">
      <c r="A1997">
        <v>1462.75632</v>
      </c>
      <c r="B1997" s="1">
        <f>DATE(2014,5,2) + TIME(18,9,6)</f>
        <v>41761.756319444445</v>
      </c>
      <c r="C1997">
        <v>80</v>
      </c>
      <c r="D1997">
        <v>79.821968079000001</v>
      </c>
      <c r="E1997">
        <v>50</v>
      </c>
      <c r="F1997">
        <v>49.866111754999999</v>
      </c>
      <c r="G1997">
        <v>1339.7768555</v>
      </c>
      <c r="H1997">
        <v>1337.1831055</v>
      </c>
      <c r="I1997">
        <v>1327.0732422000001</v>
      </c>
      <c r="J1997">
        <v>1325.3752440999999</v>
      </c>
      <c r="K1997">
        <v>2400</v>
      </c>
      <c r="L1997">
        <v>0</v>
      </c>
      <c r="M1997">
        <v>0</v>
      </c>
      <c r="N1997">
        <v>2400</v>
      </c>
    </row>
    <row r="1998" spans="1:14" x14ac:dyDescent="0.25">
      <c r="A1998">
        <v>1462.8502040000001</v>
      </c>
      <c r="B1998" s="1">
        <f>DATE(2014,5,2) + TIME(20,24,17)</f>
        <v>41761.85019675926</v>
      </c>
      <c r="C1998">
        <v>80</v>
      </c>
      <c r="D1998">
        <v>79.852882385000001</v>
      </c>
      <c r="E1998">
        <v>50</v>
      </c>
      <c r="F1998">
        <v>49.861202239999997</v>
      </c>
      <c r="G1998">
        <v>1339.8023682</v>
      </c>
      <c r="H1998">
        <v>1337.2023925999999</v>
      </c>
      <c r="I1998">
        <v>1327.0753173999999</v>
      </c>
      <c r="J1998">
        <v>1325.3760986</v>
      </c>
      <c r="K1998">
        <v>2400</v>
      </c>
      <c r="L1998">
        <v>0</v>
      </c>
      <c r="M1998">
        <v>0</v>
      </c>
      <c r="N1998">
        <v>2400</v>
      </c>
    </row>
    <row r="1999" spans="1:14" x14ac:dyDescent="0.25">
      <c r="A1999">
        <v>1462.94993</v>
      </c>
      <c r="B1999" s="1">
        <f>DATE(2014,5,2) + TIME(22,47,53)</f>
        <v>41761.949918981481</v>
      </c>
      <c r="C1999">
        <v>80</v>
      </c>
      <c r="D1999">
        <v>79.878997803000004</v>
      </c>
      <c r="E1999">
        <v>50</v>
      </c>
      <c r="F1999">
        <v>49.856037139999998</v>
      </c>
      <c r="G1999">
        <v>1339.8267822</v>
      </c>
      <c r="H1999">
        <v>1337.2208252</v>
      </c>
      <c r="I1999">
        <v>1327.0772704999999</v>
      </c>
      <c r="J1999">
        <v>1325.3767089999999</v>
      </c>
      <c r="K1999">
        <v>2400</v>
      </c>
      <c r="L1999">
        <v>0</v>
      </c>
      <c r="M1999">
        <v>0</v>
      </c>
      <c r="N1999">
        <v>2400</v>
      </c>
    </row>
    <row r="2000" spans="1:14" x14ac:dyDescent="0.25">
      <c r="A2000">
        <v>1463.054801</v>
      </c>
      <c r="B2000" s="1">
        <f>DATE(2014,5,3) + TIME(1,18,54)</f>
        <v>41762.054791666669</v>
      </c>
      <c r="C2000">
        <v>80</v>
      </c>
      <c r="D2000">
        <v>79.900619507000002</v>
      </c>
      <c r="E2000">
        <v>50</v>
      </c>
      <c r="F2000">
        <v>49.850650786999999</v>
      </c>
      <c r="G2000">
        <v>1339.8502197</v>
      </c>
      <c r="H2000">
        <v>1337.2382812000001</v>
      </c>
      <c r="I2000">
        <v>1327.0791016000001</v>
      </c>
      <c r="J2000">
        <v>1325.3771973</v>
      </c>
      <c r="K2000">
        <v>2400</v>
      </c>
      <c r="L2000">
        <v>0</v>
      </c>
      <c r="M2000">
        <v>0</v>
      </c>
      <c r="N2000">
        <v>2400</v>
      </c>
    </row>
    <row r="2001" spans="1:14" x14ac:dyDescent="0.25">
      <c r="A2001">
        <v>1463.161294</v>
      </c>
      <c r="B2001" s="1">
        <f>DATE(2014,5,3) + TIME(3,52,15)</f>
        <v>41762.16128472222</v>
      </c>
      <c r="C2001">
        <v>80</v>
      </c>
      <c r="D2001">
        <v>79.917831421000002</v>
      </c>
      <c r="E2001">
        <v>50</v>
      </c>
      <c r="F2001">
        <v>49.845207213999998</v>
      </c>
      <c r="G2001">
        <v>1339.8726807</v>
      </c>
      <c r="H2001">
        <v>1337.2548827999999</v>
      </c>
      <c r="I2001">
        <v>1327.0806885</v>
      </c>
      <c r="J2001">
        <v>1325.3774414</v>
      </c>
      <c r="K2001">
        <v>2400</v>
      </c>
      <c r="L2001">
        <v>0</v>
      </c>
      <c r="M2001">
        <v>0</v>
      </c>
      <c r="N2001">
        <v>2400</v>
      </c>
    </row>
    <row r="2002" spans="1:14" x14ac:dyDescent="0.25">
      <c r="A2002">
        <v>1463.26992</v>
      </c>
      <c r="B2002" s="1">
        <f>DATE(2014,5,3) + TIME(6,28,41)</f>
        <v>41762.269918981481</v>
      </c>
      <c r="C2002">
        <v>80</v>
      </c>
      <c r="D2002">
        <v>79.931541443</v>
      </c>
      <c r="E2002">
        <v>50</v>
      </c>
      <c r="F2002">
        <v>49.839679717999999</v>
      </c>
      <c r="G2002">
        <v>1339.8929443</v>
      </c>
      <c r="H2002">
        <v>1337.2698975000001</v>
      </c>
      <c r="I2002">
        <v>1327.0820312000001</v>
      </c>
      <c r="J2002">
        <v>1325.3776855000001</v>
      </c>
      <c r="K2002">
        <v>2400</v>
      </c>
      <c r="L2002">
        <v>0</v>
      </c>
      <c r="M2002">
        <v>0</v>
      </c>
      <c r="N2002">
        <v>2400</v>
      </c>
    </row>
    <row r="2003" spans="1:14" x14ac:dyDescent="0.25">
      <c r="A2003">
        <v>1463.381036</v>
      </c>
      <c r="B2003" s="1">
        <f>DATE(2014,5,3) + TIME(9,8,41)</f>
        <v>41762.381030092591</v>
      </c>
      <c r="C2003">
        <v>80</v>
      </c>
      <c r="D2003">
        <v>79.942436217999997</v>
      </c>
      <c r="E2003">
        <v>50</v>
      </c>
      <c r="F2003">
        <v>49.834056854000004</v>
      </c>
      <c r="G2003">
        <v>1339.911499</v>
      </c>
      <c r="H2003">
        <v>1337.2834473</v>
      </c>
      <c r="I2003">
        <v>1327.0832519999999</v>
      </c>
      <c r="J2003">
        <v>1325.3776855000001</v>
      </c>
      <c r="K2003">
        <v>2400</v>
      </c>
      <c r="L2003">
        <v>0</v>
      </c>
      <c r="M2003">
        <v>0</v>
      </c>
      <c r="N2003">
        <v>2400</v>
      </c>
    </row>
    <row r="2004" spans="1:14" x14ac:dyDescent="0.25">
      <c r="A2004">
        <v>1463.4950289999999</v>
      </c>
      <c r="B2004" s="1">
        <f>DATE(2014,5,3) + TIME(11,52,50)</f>
        <v>41762.495023148149</v>
      </c>
      <c r="C2004">
        <v>80</v>
      </c>
      <c r="D2004">
        <v>79.951072693</v>
      </c>
      <c r="E2004">
        <v>50</v>
      </c>
      <c r="F2004">
        <v>49.828319550000003</v>
      </c>
      <c r="G2004">
        <v>1339.9283447</v>
      </c>
      <c r="H2004">
        <v>1337.2958983999999</v>
      </c>
      <c r="I2004">
        <v>1327.0843506000001</v>
      </c>
      <c r="J2004">
        <v>1325.3775635</v>
      </c>
      <c r="K2004">
        <v>2400</v>
      </c>
      <c r="L2004">
        <v>0</v>
      </c>
      <c r="M2004">
        <v>0</v>
      </c>
      <c r="N2004">
        <v>2400</v>
      </c>
    </row>
    <row r="2005" spans="1:14" x14ac:dyDescent="0.25">
      <c r="A2005">
        <v>1463.611836</v>
      </c>
      <c r="B2005" s="1">
        <f>DATE(2014,5,3) + TIME(14,41,2)</f>
        <v>41762.611828703702</v>
      </c>
      <c r="C2005">
        <v>80</v>
      </c>
      <c r="D2005">
        <v>79.957862853999998</v>
      </c>
      <c r="E2005">
        <v>50</v>
      </c>
      <c r="F2005">
        <v>49.822471618999998</v>
      </c>
      <c r="G2005">
        <v>1339.9438477000001</v>
      </c>
      <c r="H2005">
        <v>1337.3071289</v>
      </c>
      <c r="I2005">
        <v>1327.0852050999999</v>
      </c>
      <c r="J2005">
        <v>1325.3773193</v>
      </c>
      <c r="K2005">
        <v>2400</v>
      </c>
      <c r="L2005">
        <v>0</v>
      </c>
      <c r="M2005">
        <v>0</v>
      </c>
      <c r="N2005">
        <v>2400</v>
      </c>
    </row>
    <row r="2006" spans="1:14" x14ac:dyDescent="0.25">
      <c r="A2006">
        <v>1463.730016</v>
      </c>
      <c r="B2006" s="1">
        <f>DATE(2014,5,3) + TIME(17,31,13)</f>
        <v>41762.730011574073</v>
      </c>
      <c r="C2006">
        <v>80</v>
      </c>
      <c r="D2006">
        <v>79.963134765999996</v>
      </c>
      <c r="E2006">
        <v>50</v>
      </c>
      <c r="F2006">
        <v>49.816574097</v>
      </c>
      <c r="G2006">
        <v>1339.9580077999999</v>
      </c>
      <c r="H2006">
        <v>1337.3173827999999</v>
      </c>
      <c r="I2006">
        <v>1327.0858154</v>
      </c>
      <c r="J2006">
        <v>1325.3769531</v>
      </c>
      <c r="K2006">
        <v>2400</v>
      </c>
      <c r="L2006">
        <v>0</v>
      </c>
      <c r="M2006">
        <v>0</v>
      </c>
      <c r="N2006">
        <v>2400</v>
      </c>
    </row>
    <row r="2007" spans="1:14" x14ac:dyDescent="0.25">
      <c r="A2007">
        <v>1463.8498729999999</v>
      </c>
      <c r="B2007" s="1">
        <f>DATE(2014,5,3) + TIME(20,23,49)</f>
        <v>41762.849872685183</v>
      </c>
      <c r="C2007">
        <v>80</v>
      </c>
      <c r="D2007">
        <v>79.967231749999996</v>
      </c>
      <c r="E2007">
        <v>50</v>
      </c>
      <c r="F2007">
        <v>49.810619354000004</v>
      </c>
      <c r="G2007">
        <v>1339.9707031</v>
      </c>
      <c r="H2007">
        <v>1337.3265381000001</v>
      </c>
      <c r="I2007">
        <v>1327.0864257999999</v>
      </c>
      <c r="J2007">
        <v>1325.3765868999999</v>
      </c>
      <c r="K2007">
        <v>2400</v>
      </c>
      <c r="L2007">
        <v>0</v>
      </c>
      <c r="M2007">
        <v>0</v>
      </c>
      <c r="N2007">
        <v>2400</v>
      </c>
    </row>
    <row r="2008" spans="1:14" x14ac:dyDescent="0.25">
      <c r="A2008">
        <v>1463.9716570000001</v>
      </c>
      <c r="B2008" s="1">
        <f>DATE(2014,5,3) + TIME(23,19,11)</f>
        <v>41762.971655092595</v>
      </c>
      <c r="C2008">
        <v>80</v>
      </c>
      <c r="D2008">
        <v>79.970397949000002</v>
      </c>
      <c r="E2008">
        <v>50</v>
      </c>
      <c r="F2008">
        <v>49.804592133</v>
      </c>
      <c r="G2008">
        <v>1339.9820557</v>
      </c>
      <c r="H2008">
        <v>1337.3348389</v>
      </c>
      <c r="I2008">
        <v>1327.0869141000001</v>
      </c>
      <c r="J2008">
        <v>1325.3760986</v>
      </c>
      <c r="K2008">
        <v>2400</v>
      </c>
      <c r="L2008">
        <v>0</v>
      </c>
      <c r="M2008">
        <v>0</v>
      </c>
      <c r="N2008">
        <v>2400</v>
      </c>
    </row>
    <row r="2009" spans="1:14" x14ac:dyDescent="0.25">
      <c r="A2009">
        <v>1464.0956160000001</v>
      </c>
      <c r="B2009" s="1">
        <f>DATE(2014,5,4) + TIME(2,17,41)</f>
        <v>41763.095613425925</v>
      </c>
      <c r="C2009">
        <v>80</v>
      </c>
      <c r="D2009">
        <v>79.972854613999999</v>
      </c>
      <c r="E2009">
        <v>50</v>
      </c>
      <c r="F2009">
        <v>49.798480988000001</v>
      </c>
      <c r="G2009">
        <v>1339.9923096</v>
      </c>
      <c r="H2009">
        <v>1337.3421631000001</v>
      </c>
      <c r="I2009">
        <v>1327.0872803</v>
      </c>
      <c r="J2009">
        <v>1325.3756103999999</v>
      </c>
      <c r="K2009">
        <v>2400</v>
      </c>
      <c r="L2009">
        <v>0</v>
      </c>
      <c r="M2009">
        <v>0</v>
      </c>
      <c r="N2009">
        <v>2400</v>
      </c>
    </row>
    <row r="2010" spans="1:14" x14ac:dyDescent="0.25">
      <c r="A2010">
        <v>1464.222</v>
      </c>
      <c r="B2010" s="1">
        <f>DATE(2014,5,4) + TIME(5,19,40)</f>
        <v>41763.221990740742</v>
      </c>
      <c r="C2010">
        <v>80</v>
      </c>
      <c r="D2010">
        <v>79.974754333000007</v>
      </c>
      <c r="E2010">
        <v>50</v>
      </c>
      <c r="F2010">
        <v>49.792278289999999</v>
      </c>
      <c r="G2010">
        <v>1340.0014647999999</v>
      </c>
      <c r="H2010">
        <v>1337.3487548999999</v>
      </c>
      <c r="I2010">
        <v>1327.0876464999999</v>
      </c>
      <c r="J2010">
        <v>1325.3751221</v>
      </c>
      <c r="K2010">
        <v>2400</v>
      </c>
      <c r="L2010">
        <v>0</v>
      </c>
      <c r="M2010">
        <v>0</v>
      </c>
      <c r="N2010">
        <v>2400</v>
      </c>
    </row>
    <row r="2011" spans="1:14" x14ac:dyDescent="0.25">
      <c r="A2011">
        <v>1464.3510980000001</v>
      </c>
      <c r="B2011" s="1">
        <f>DATE(2014,5,4) + TIME(8,25,34)</f>
        <v>41763.351087962961</v>
      </c>
      <c r="C2011">
        <v>80</v>
      </c>
      <c r="D2011">
        <v>79.976226807000003</v>
      </c>
      <c r="E2011">
        <v>50</v>
      </c>
      <c r="F2011">
        <v>49.785972594999997</v>
      </c>
      <c r="G2011">
        <v>1340.0097656</v>
      </c>
      <c r="H2011">
        <v>1337.3546143000001</v>
      </c>
      <c r="I2011">
        <v>1327.0877685999999</v>
      </c>
      <c r="J2011">
        <v>1325.3745117000001</v>
      </c>
      <c r="K2011">
        <v>2400</v>
      </c>
      <c r="L2011">
        <v>0</v>
      </c>
      <c r="M2011">
        <v>0</v>
      </c>
      <c r="N2011">
        <v>2400</v>
      </c>
    </row>
    <row r="2012" spans="1:14" x14ac:dyDescent="0.25">
      <c r="A2012">
        <v>1464.4832180000001</v>
      </c>
      <c r="B2012" s="1">
        <f>DATE(2014,5,4) + TIME(11,35,50)</f>
        <v>41763.483217592591</v>
      </c>
      <c r="C2012">
        <v>80</v>
      </c>
      <c r="D2012">
        <v>79.977355957</v>
      </c>
      <c r="E2012">
        <v>50</v>
      </c>
      <c r="F2012">
        <v>49.779548644999998</v>
      </c>
      <c r="G2012">
        <v>1340.0170897999999</v>
      </c>
      <c r="H2012">
        <v>1337.3598632999999</v>
      </c>
      <c r="I2012">
        <v>1327.0880127</v>
      </c>
      <c r="J2012">
        <v>1325.3739014</v>
      </c>
      <c r="K2012">
        <v>2400</v>
      </c>
      <c r="L2012">
        <v>0</v>
      </c>
      <c r="M2012">
        <v>0</v>
      </c>
      <c r="N2012">
        <v>2400</v>
      </c>
    </row>
    <row r="2013" spans="1:14" x14ac:dyDescent="0.25">
      <c r="A2013">
        <v>1464.618694</v>
      </c>
      <c r="B2013" s="1">
        <f>DATE(2014,5,4) + TIME(14,50,55)</f>
        <v>41763.618692129632</v>
      </c>
      <c r="C2013">
        <v>80</v>
      </c>
      <c r="D2013">
        <v>79.978233337000006</v>
      </c>
      <c r="E2013">
        <v>50</v>
      </c>
      <c r="F2013">
        <v>49.772994994999998</v>
      </c>
      <c r="G2013">
        <v>1340.0236815999999</v>
      </c>
      <c r="H2013">
        <v>1337.3645019999999</v>
      </c>
      <c r="I2013">
        <v>1327.0880127</v>
      </c>
      <c r="J2013">
        <v>1325.3731689000001</v>
      </c>
      <c r="K2013">
        <v>2400</v>
      </c>
      <c r="L2013">
        <v>0</v>
      </c>
      <c r="M2013">
        <v>0</v>
      </c>
      <c r="N2013">
        <v>2400</v>
      </c>
    </row>
    <row r="2014" spans="1:14" x14ac:dyDescent="0.25">
      <c r="A2014">
        <v>1464.7578900000001</v>
      </c>
      <c r="B2014" s="1">
        <f>DATE(2014,5,4) + TIME(18,11,21)</f>
        <v>41763.757881944446</v>
      </c>
      <c r="C2014">
        <v>80</v>
      </c>
      <c r="D2014">
        <v>79.978904724000003</v>
      </c>
      <c r="E2014">
        <v>50</v>
      </c>
      <c r="F2014">
        <v>49.766292571999998</v>
      </c>
      <c r="G2014">
        <v>1340.0294189000001</v>
      </c>
      <c r="H2014">
        <v>1337.3685303</v>
      </c>
      <c r="I2014">
        <v>1327.0881348</v>
      </c>
      <c r="J2014">
        <v>1325.3725586</v>
      </c>
      <c r="K2014">
        <v>2400</v>
      </c>
      <c r="L2014">
        <v>0</v>
      </c>
      <c r="M2014">
        <v>0</v>
      </c>
      <c r="N2014">
        <v>2400</v>
      </c>
    </row>
    <row r="2015" spans="1:14" x14ac:dyDescent="0.25">
      <c r="A2015">
        <v>1464.9012049999999</v>
      </c>
      <c r="B2015" s="1">
        <f>DATE(2014,5,4) + TIME(21,37,44)</f>
        <v>41763.901203703703</v>
      </c>
      <c r="C2015">
        <v>80</v>
      </c>
      <c r="D2015">
        <v>79.979431152000004</v>
      </c>
      <c r="E2015">
        <v>50</v>
      </c>
      <c r="F2015">
        <v>49.759429932000003</v>
      </c>
      <c r="G2015">
        <v>1340.0344238</v>
      </c>
      <c r="H2015">
        <v>1337.3720702999999</v>
      </c>
      <c r="I2015">
        <v>1327.0881348</v>
      </c>
      <c r="J2015">
        <v>1325.3718262</v>
      </c>
      <c r="K2015">
        <v>2400</v>
      </c>
      <c r="L2015">
        <v>0</v>
      </c>
      <c r="M2015">
        <v>0</v>
      </c>
      <c r="N2015">
        <v>2400</v>
      </c>
    </row>
    <row r="2016" spans="1:14" x14ac:dyDescent="0.25">
      <c r="A2016">
        <v>1465.049086</v>
      </c>
      <c r="B2016" s="1">
        <f>DATE(2014,5,5) + TIME(1,10,41)</f>
        <v>41764.049085648148</v>
      </c>
      <c r="C2016">
        <v>80</v>
      </c>
      <c r="D2016">
        <v>79.979827881000006</v>
      </c>
      <c r="E2016">
        <v>50</v>
      </c>
      <c r="F2016">
        <v>49.752388000000003</v>
      </c>
      <c r="G2016">
        <v>1340.0388184000001</v>
      </c>
      <c r="H2016">
        <v>1337.3751221</v>
      </c>
      <c r="I2016">
        <v>1327.0880127</v>
      </c>
      <c r="J2016">
        <v>1325.3710937999999</v>
      </c>
      <c r="K2016">
        <v>2400</v>
      </c>
      <c r="L2016">
        <v>0</v>
      </c>
      <c r="M2016">
        <v>0</v>
      </c>
      <c r="N2016">
        <v>2400</v>
      </c>
    </row>
    <row r="2017" spans="1:14" x14ac:dyDescent="0.25">
      <c r="A2017">
        <v>1465.2020239999999</v>
      </c>
      <c r="B2017" s="1">
        <f>DATE(2014,5,5) + TIME(4,50,54)</f>
        <v>41764.202013888891</v>
      </c>
      <c r="C2017">
        <v>80</v>
      </c>
      <c r="D2017">
        <v>79.980140685999999</v>
      </c>
      <c r="E2017">
        <v>50</v>
      </c>
      <c r="F2017">
        <v>49.745143890000001</v>
      </c>
      <c r="G2017">
        <v>1340.0426024999999</v>
      </c>
      <c r="H2017">
        <v>1337.3778076000001</v>
      </c>
      <c r="I2017">
        <v>1327.0880127</v>
      </c>
      <c r="J2017">
        <v>1325.3702393000001</v>
      </c>
      <c r="K2017">
        <v>2400</v>
      </c>
      <c r="L2017">
        <v>0</v>
      </c>
      <c r="M2017">
        <v>0</v>
      </c>
      <c r="N2017">
        <v>2400</v>
      </c>
    </row>
    <row r="2018" spans="1:14" x14ac:dyDescent="0.25">
      <c r="A2018">
        <v>1465.3606119999999</v>
      </c>
      <c r="B2018" s="1">
        <f>DATE(2014,5,5) + TIME(8,39,16)</f>
        <v>41764.360601851855</v>
      </c>
      <c r="C2018">
        <v>80</v>
      </c>
      <c r="D2018">
        <v>79.980384826999995</v>
      </c>
      <c r="E2018">
        <v>50</v>
      </c>
      <c r="F2018">
        <v>49.737678528000004</v>
      </c>
      <c r="G2018">
        <v>1340.0457764</v>
      </c>
      <c r="H2018">
        <v>1337.3800048999999</v>
      </c>
      <c r="I2018">
        <v>1327.0878906</v>
      </c>
      <c r="J2018">
        <v>1325.3695068</v>
      </c>
      <c r="K2018">
        <v>2400</v>
      </c>
      <c r="L2018">
        <v>0</v>
      </c>
      <c r="M2018">
        <v>0</v>
      </c>
      <c r="N2018">
        <v>2400</v>
      </c>
    </row>
    <row r="2019" spans="1:14" x14ac:dyDescent="0.25">
      <c r="A2019">
        <v>1465.5255179999999</v>
      </c>
      <c r="B2019" s="1">
        <f>DATE(2014,5,5) + TIME(12,36,44)</f>
        <v>41764.525509259256</v>
      </c>
      <c r="C2019">
        <v>80</v>
      </c>
      <c r="D2019">
        <v>79.980567932</v>
      </c>
      <c r="E2019">
        <v>50</v>
      </c>
      <c r="F2019">
        <v>49.729961394999997</v>
      </c>
      <c r="G2019">
        <v>1340.0484618999999</v>
      </c>
      <c r="H2019">
        <v>1337.3819579999999</v>
      </c>
      <c r="I2019">
        <v>1327.0876464999999</v>
      </c>
      <c r="J2019">
        <v>1325.3687743999999</v>
      </c>
      <c r="K2019">
        <v>2400</v>
      </c>
      <c r="L2019">
        <v>0</v>
      </c>
      <c r="M2019">
        <v>0</v>
      </c>
      <c r="N2019">
        <v>2400</v>
      </c>
    </row>
    <row r="2020" spans="1:14" x14ac:dyDescent="0.25">
      <c r="A2020">
        <v>1465.69661</v>
      </c>
      <c r="B2020" s="1">
        <f>DATE(2014,5,5) + TIME(16,43,7)</f>
        <v>41764.696608796294</v>
      </c>
      <c r="C2020">
        <v>80</v>
      </c>
      <c r="D2020">
        <v>79.980712890999996</v>
      </c>
      <c r="E2020">
        <v>50</v>
      </c>
      <c r="F2020">
        <v>49.722000121999997</v>
      </c>
      <c r="G2020">
        <v>1340.0506591999999</v>
      </c>
      <c r="H2020">
        <v>1337.3834228999999</v>
      </c>
      <c r="I2020">
        <v>1327.0875243999999</v>
      </c>
      <c r="J2020">
        <v>1325.3679199000001</v>
      </c>
      <c r="K2020">
        <v>2400</v>
      </c>
      <c r="L2020">
        <v>0</v>
      </c>
      <c r="M2020">
        <v>0</v>
      </c>
      <c r="N2020">
        <v>2400</v>
      </c>
    </row>
    <row r="2021" spans="1:14" x14ac:dyDescent="0.25">
      <c r="A2021">
        <v>1465.871592</v>
      </c>
      <c r="B2021" s="1">
        <f>DATE(2014,5,5) + TIME(20,55,5)</f>
        <v>41764.87158564815</v>
      </c>
      <c r="C2021">
        <v>80</v>
      </c>
      <c r="D2021">
        <v>79.980827332000004</v>
      </c>
      <c r="E2021">
        <v>50</v>
      </c>
      <c r="F2021">
        <v>49.713882446</v>
      </c>
      <c r="G2021">
        <v>1340.0523682</v>
      </c>
      <c r="H2021">
        <v>1337.3845214999999</v>
      </c>
      <c r="I2021">
        <v>1327.0872803</v>
      </c>
      <c r="J2021">
        <v>1325.3670654</v>
      </c>
      <c r="K2021">
        <v>2400</v>
      </c>
      <c r="L2021">
        <v>0</v>
      </c>
      <c r="M2021">
        <v>0</v>
      </c>
      <c r="N2021">
        <v>2400</v>
      </c>
    </row>
    <row r="2022" spans="1:14" x14ac:dyDescent="0.25">
      <c r="A2022">
        <v>1466.0508359999999</v>
      </c>
      <c r="B2022" s="1">
        <f>DATE(2014,5,6) + TIME(1,13,12)</f>
        <v>41765.050833333335</v>
      </c>
      <c r="C2022">
        <v>80</v>
      </c>
      <c r="D2022">
        <v>79.980918884000005</v>
      </c>
      <c r="E2022">
        <v>50</v>
      </c>
      <c r="F2022">
        <v>49.705596923999998</v>
      </c>
      <c r="G2022">
        <v>1340.0534668</v>
      </c>
      <c r="H2022">
        <v>1337.3852539</v>
      </c>
      <c r="I2022">
        <v>1327.0870361</v>
      </c>
      <c r="J2022">
        <v>1325.3662108999999</v>
      </c>
      <c r="K2022">
        <v>2400</v>
      </c>
      <c r="L2022">
        <v>0</v>
      </c>
      <c r="M2022">
        <v>0</v>
      </c>
      <c r="N2022">
        <v>2400</v>
      </c>
    </row>
    <row r="2023" spans="1:14" x14ac:dyDescent="0.25">
      <c r="A2023">
        <v>1466.234719</v>
      </c>
      <c r="B2023" s="1">
        <f>DATE(2014,5,6) + TIME(5,37,59)</f>
        <v>41765.234710648147</v>
      </c>
      <c r="C2023">
        <v>80</v>
      </c>
      <c r="D2023">
        <v>79.980979919000006</v>
      </c>
      <c r="E2023">
        <v>50</v>
      </c>
      <c r="F2023">
        <v>49.697132111000002</v>
      </c>
      <c r="G2023">
        <v>1340.0541992000001</v>
      </c>
      <c r="H2023">
        <v>1337.3857422000001</v>
      </c>
      <c r="I2023">
        <v>1327.0867920000001</v>
      </c>
      <c r="J2023">
        <v>1325.3653564000001</v>
      </c>
      <c r="K2023">
        <v>2400</v>
      </c>
      <c r="L2023">
        <v>0</v>
      </c>
      <c r="M2023">
        <v>0</v>
      </c>
      <c r="N2023">
        <v>2400</v>
      </c>
    </row>
    <row r="2024" spans="1:14" x14ac:dyDescent="0.25">
      <c r="A2024">
        <v>1466.423657</v>
      </c>
      <c r="B2024" s="1">
        <f>DATE(2014,5,6) + TIME(10,10,3)</f>
        <v>41765.423645833333</v>
      </c>
      <c r="C2024">
        <v>80</v>
      </c>
      <c r="D2024">
        <v>79.981033324999999</v>
      </c>
      <c r="E2024">
        <v>50</v>
      </c>
      <c r="F2024">
        <v>49.688468933000003</v>
      </c>
      <c r="G2024">
        <v>1340.0544434000001</v>
      </c>
      <c r="H2024">
        <v>1337.3858643000001</v>
      </c>
      <c r="I2024">
        <v>1327.0865478999999</v>
      </c>
      <c r="J2024">
        <v>1325.3645019999999</v>
      </c>
      <c r="K2024">
        <v>2400</v>
      </c>
      <c r="L2024">
        <v>0</v>
      </c>
      <c r="M2024">
        <v>0</v>
      </c>
      <c r="N2024">
        <v>2400</v>
      </c>
    </row>
    <row r="2025" spans="1:14" x14ac:dyDescent="0.25">
      <c r="A2025">
        <v>1466.6180400000001</v>
      </c>
      <c r="B2025" s="1">
        <f>DATE(2014,5,6) + TIME(14,49,58)</f>
        <v>41765.618032407408</v>
      </c>
      <c r="C2025">
        <v>80</v>
      </c>
      <c r="D2025">
        <v>79.981079101999995</v>
      </c>
      <c r="E2025">
        <v>50</v>
      </c>
      <c r="F2025">
        <v>49.679595947000003</v>
      </c>
      <c r="G2025">
        <v>1340.0541992000001</v>
      </c>
      <c r="H2025">
        <v>1337.3857422000001</v>
      </c>
      <c r="I2025">
        <v>1327.0861815999999</v>
      </c>
      <c r="J2025">
        <v>1325.3635254000001</v>
      </c>
      <c r="K2025">
        <v>2400</v>
      </c>
      <c r="L2025">
        <v>0</v>
      </c>
      <c r="M2025">
        <v>0</v>
      </c>
      <c r="N2025">
        <v>2400</v>
      </c>
    </row>
    <row r="2026" spans="1:14" x14ac:dyDescent="0.25">
      <c r="A2026">
        <v>1466.8183320000001</v>
      </c>
      <c r="B2026" s="1">
        <f>DATE(2014,5,6) + TIME(19,38,23)</f>
        <v>41765.81832175926</v>
      </c>
      <c r="C2026">
        <v>80</v>
      </c>
      <c r="D2026">
        <v>79.981109618999994</v>
      </c>
      <c r="E2026">
        <v>50</v>
      </c>
      <c r="F2026">
        <v>49.670497894</v>
      </c>
      <c r="G2026">
        <v>1340.0535889</v>
      </c>
      <c r="H2026">
        <v>1337.3852539</v>
      </c>
      <c r="I2026">
        <v>1327.0858154</v>
      </c>
      <c r="J2026">
        <v>1325.3626709</v>
      </c>
      <c r="K2026">
        <v>2400</v>
      </c>
      <c r="L2026">
        <v>0</v>
      </c>
      <c r="M2026">
        <v>0</v>
      </c>
      <c r="N2026">
        <v>2400</v>
      </c>
    </row>
    <row r="2027" spans="1:14" x14ac:dyDescent="0.25">
      <c r="A2027">
        <v>1467.025083</v>
      </c>
      <c r="B2027" s="1">
        <f>DATE(2014,5,7) + TIME(0,36,7)</f>
        <v>41766.025081018517</v>
      </c>
      <c r="C2027">
        <v>80</v>
      </c>
      <c r="D2027">
        <v>79.981132506999998</v>
      </c>
      <c r="E2027">
        <v>50</v>
      </c>
      <c r="F2027">
        <v>49.661151885999999</v>
      </c>
      <c r="G2027">
        <v>1340.0513916</v>
      </c>
      <c r="H2027">
        <v>1337.3836670000001</v>
      </c>
      <c r="I2027">
        <v>1327.0854492000001</v>
      </c>
      <c r="J2027">
        <v>1325.3616943</v>
      </c>
      <c r="K2027">
        <v>2400</v>
      </c>
      <c r="L2027">
        <v>0</v>
      </c>
      <c r="M2027">
        <v>0</v>
      </c>
      <c r="N2027">
        <v>2400</v>
      </c>
    </row>
    <row r="2028" spans="1:14" x14ac:dyDescent="0.25">
      <c r="A2028">
        <v>1467.23902</v>
      </c>
      <c r="B2028" s="1">
        <f>DATE(2014,5,7) + TIME(5,44,11)</f>
        <v>41766.239016203705</v>
      </c>
      <c r="C2028">
        <v>80</v>
      </c>
      <c r="D2028">
        <v>79.981155396000005</v>
      </c>
      <c r="E2028">
        <v>50</v>
      </c>
      <c r="F2028">
        <v>49.651535033999998</v>
      </c>
      <c r="G2028">
        <v>1340.0487060999999</v>
      </c>
      <c r="H2028">
        <v>1337.3817139</v>
      </c>
      <c r="I2028">
        <v>1327.0849608999999</v>
      </c>
      <c r="J2028">
        <v>1325.3607178</v>
      </c>
      <c r="K2028">
        <v>2400</v>
      </c>
      <c r="L2028">
        <v>0</v>
      </c>
      <c r="M2028">
        <v>0</v>
      </c>
      <c r="N2028">
        <v>2400</v>
      </c>
    </row>
    <row r="2029" spans="1:14" x14ac:dyDescent="0.25">
      <c r="A2029">
        <v>1467.4608250000001</v>
      </c>
      <c r="B2029" s="1">
        <f>DATE(2014,5,7) + TIME(11,3,35)</f>
        <v>41766.460821759261</v>
      </c>
      <c r="C2029">
        <v>80</v>
      </c>
      <c r="D2029">
        <v>79.981163025000001</v>
      </c>
      <c r="E2029">
        <v>50</v>
      </c>
      <c r="F2029">
        <v>49.641620635999999</v>
      </c>
      <c r="G2029">
        <v>1340.0458983999999</v>
      </c>
      <c r="H2029">
        <v>1337.3796387</v>
      </c>
      <c r="I2029">
        <v>1327.0844727000001</v>
      </c>
      <c r="J2029">
        <v>1325.3597411999999</v>
      </c>
      <c r="K2029">
        <v>2400</v>
      </c>
      <c r="L2029">
        <v>0</v>
      </c>
      <c r="M2029">
        <v>0</v>
      </c>
      <c r="N2029">
        <v>2400</v>
      </c>
    </row>
    <row r="2030" spans="1:14" x14ac:dyDescent="0.25">
      <c r="A2030">
        <v>1467.6861329999999</v>
      </c>
      <c r="B2030" s="1">
        <f>DATE(2014,5,7) + TIME(16,28,1)</f>
        <v>41766.686122685183</v>
      </c>
      <c r="C2030">
        <v>80</v>
      </c>
      <c r="D2030">
        <v>79.981178283999995</v>
      </c>
      <c r="E2030">
        <v>50</v>
      </c>
      <c r="F2030">
        <v>49.631565094000003</v>
      </c>
      <c r="G2030">
        <v>1340.0428466999999</v>
      </c>
      <c r="H2030">
        <v>1337.3774414</v>
      </c>
      <c r="I2030">
        <v>1327.0839844</v>
      </c>
      <c r="J2030">
        <v>1325.3587646000001</v>
      </c>
      <c r="K2030">
        <v>2400</v>
      </c>
      <c r="L2030">
        <v>0</v>
      </c>
      <c r="M2030">
        <v>0</v>
      </c>
      <c r="N2030">
        <v>2400</v>
      </c>
    </row>
    <row r="2031" spans="1:14" x14ac:dyDescent="0.25">
      <c r="A2031">
        <v>1467.9138</v>
      </c>
      <c r="B2031" s="1">
        <f>DATE(2014,5,7) + TIME(21,55,52)</f>
        <v>41766.9137962963</v>
      </c>
      <c r="C2031">
        <v>80</v>
      </c>
      <c r="D2031">
        <v>79.981185913000004</v>
      </c>
      <c r="E2031">
        <v>50</v>
      </c>
      <c r="F2031">
        <v>49.621414184999999</v>
      </c>
      <c r="G2031">
        <v>1340.0396728999999</v>
      </c>
      <c r="H2031">
        <v>1337.3751221</v>
      </c>
      <c r="I2031">
        <v>1327.0834961</v>
      </c>
      <c r="J2031">
        <v>1325.3577881000001</v>
      </c>
      <c r="K2031">
        <v>2400</v>
      </c>
      <c r="L2031">
        <v>0</v>
      </c>
      <c r="M2031">
        <v>0</v>
      </c>
      <c r="N2031">
        <v>2400</v>
      </c>
    </row>
    <row r="2032" spans="1:14" x14ac:dyDescent="0.25">
      <c r="A2032">
        <v>1468.1444349999999</v>
      </c>
      <c r="B2032" s="1">
        <f>DATE(2014,5,8) + TIME(3,27,59)</f>
        <v>41767.144432870373</v>
      </c>
      <c r="C2032">
        <v>80</v>
      </c>
      <c r="D2032">
        <v>79.981185913000004</v>
      </c>
      <c r="E2032">
        <v>50</v>
      </c>
      <c r="F2032">
        <v>49.611152648999997</v>
      </c>
      <c r="G2032">
        <v>1340.0362548999999</v>
      </c>
      <c r="H2032">
        <v>1337.3726807</v>
      </c>
      <c r="I2032">
        <v>1327.0830077999999</v>
      </c>
      <c r="J2032">
        <v>1325.3566894999999</v>
      </c>
      <c r="K2032">
        <v>2400</v>
      </c>
      <c r="L2032">
        <v>0</v>
      </c>
      <c r="M2032">
        <v>0</v>
      </c>
      <c r="N2032">
        <v>2400</v>
      </c>
    </row>
    <row r="2033" spans="1:14" x14ac:dyDescent="0.25">
      <c r="A2033">
        <v>1468.378643</v>
      </c>
      <c r="B2033" s="1">
        <f>DATE(2014,5,8) + TIME(9,5,14)</f>
        <v>41767.378634259258</v>
      </c>
      <c r="C2033">
        <v>80</v>
      </c>
      <c r="D2033">
        <v>79.981193542</v>
      </c>
      <c r="E2033">
        <v>50</v>
      </c>
      <c r="F2033">
        <v>49.600765228</v>
      </c>
      <c r="G2033">
        <v>1340.0328368999999</v>
      </c>
      <c r="H2033">
        <v>1337.3702393000001</v>
      </c>
      <c r="I2033">
        <v>1327.0825195</v>
      </c>
      <c r="J2033">
        <v>1325.3557129000001</v>
      </c>
      <c r="K2033">
        <v>2400</v>
      </c>
      <c r="L2033">
        <v>0</v>
      </c>
      <c r="M2033">
        <v>0</v>
      </c>
      <c r="N2033">
        <v>2400</v>
      </c>
    </row>
    <row r="2034" spans="1:14" x14ac:dyDescent="0.25">
      <c r="A2034">
        <v>1468.6170420000001</v>
      </c>
      <c r="B2034" s="1">
        <f>DATE(2014,5,8) + TIME(14,48,32)</f>
        <v>41767.617037037038</v>
      </c>
      <c r="C2034">
        <v>80</v>
      </c>
      <c r="D2034">
        <v>79.981193542</v>
      </c>
      <c r="E2034">
        <v>50</v>
      </c>
      <c r="F2034">
        <v>49.590232849000003</v>
      </c>
      <c r="G2034">
        <v>1340.0291748</v>
      </c>
      <c r="H2034">
        <v>1337.3676757999999</v>
      </c>
      <c r="I2034">
        <v>1327.0819091999999</v>
      </c>
      <c r="J2034">
        <v>1325.3546143000001</v>
      </c>
      <c r="K2034">
        <v>2400</v>
      </c>
      <c r="L2034">
        <v>0</v>
      </c>
      <c r="M2034">
        <v>0</v>
      </c>
      <c r="N2034">
        <v>2400</v>
      </c>
    </row>
    <row r="2035" spans="1:14" x14ac:dyDescent="0.25">
      <c r="A2035">
        <v>1468.860285</v>
      </c>
      <c r="B2035" s="1">
        <f>DATE(2014,5,8) + TIME(20,38,48)</f>
        <v>41767.860277777778</v>
      </c>
      <c r="C2035">
        <v>80</v>
      </c>
      <c r="D2035">
        <v>79.981193542</v>
      </c>
      <c r="E2035">
        <v>50</v>
      </c>
      <c r="F2035">
        <v>49.579532622999999</v>
      </c>
      <c r="G2035">
        <v>1340.0255127</v>
      </c>
      <c r="H2035">
        <v>1337.3651123</v>
      </c>
      <c r="I2035">
        <v>1327.0812988</v>
      </c>
      <c r="J2035">
        <v>1325.3536377</v>
      </c>
      <c r="K2035">
        <v>2400</v>
      </c>
      <c r="L2035">
        <v>0</v>
      </c>
      <c r="M2035">
        <v>0</v>
      </c>
      <c r="N2035">
        <v>2400</v>
      </c>
    </row>
    <row r="2036" spans="1:14" x14ac:dyDescent="0.25">
      <c r="A2036">
        <v>1469.109062</v>
      </c>
      <c r="B2036" s="1">
        <f>DATE(2014,5,9) + TIME(2,37,2)</f>
        <v>41768.109050925923</v>
      </c>
      <c r="C2036">
        <v>80</v>
      </c>
      <c r="D2036">
        <v>79.981185913000004</v>
      </c>
      <c r="E2036">
        <v>50</v>
      </c>
      <c r="F2036">
        <v>49.568641663000001</v>
      </c>
      <c r="G2036">
        <v>1340.0217285000001</v>
      </c>
      <c r="H2036">
        <v>1337.3624268000001</v>
      </c>
      <c r="I2036">
        <v>1327.0808105000001</v>
      </c>
      <c r="J2036">
        <v>1325.3525391000001</v>
      </c>
      <c r="K2036">
        <v>2400</v>
      </c>
      <c r="L2036">
        <v>0</v>
      </c>
      <c r="M2036">
        <v>0</v>
      </c>
      <c r="N2036">
        <v>2400</v>
      </c>
    </row>
    <row r="2037" spans="1:14" x14ac:dyDescent="0.25">
      <c r="A2037">
        <v>1469.3641170000001</v>
      </c>
      <c r="B2037" s="1">
        <f>DATE(2014,5,9) + TIME(8,44,19)</f>
        <v>41768.364108796297</v>
      </c>
      <c r="C2037">
        <v>80</v>
      </c>
      <c r="D2037">
        <v>79.981185913000004</v>
      </c>
      <c r="E2037">
        <v>50</v>
      </c>
      <c r="F2037">
        <v>49.557540893999999</v>
      </c>
      <c r="G2037">
        <v>1340.0177002</v>
      </c>
      <c r="H2037">
        <v>1337.3596190999999</v>
      </c>
      <c r="I2037">
        <v>1327.0802002</v>
      </c>
      <c r="J2037">
        <v>1325.3513184000001</v>
      </c>
      <c r="K2037">
        <v>2400</v>
      </c>
      <c r="L2037">
        <v>0</v>
      </c>
      <c r="M2037">
        <v>0</v>
      </c>
      <c r="N2037">
        <v>2400</v>
      </c>
    </row>
    <row r="2038" spans="1:14" x14ac:dyDescent="0.25">
      <c r="A2038">
        <v>1469.6262650000001</v>
      </c>
      <c r="B2038" s="1">
        <f>DATE(2014,5,9) + TIME(15,1,49)</f>
        <v>41768.626261574071</v>
      </c>
      <c r="C2038">
        <v>80</v>
      </c>
      <c r="D2038">
        <v>79.981185913000004</v>
      </c>
      <c r="E2038">
        <v>50</v>
      </c>
      <c r="F2038">
        <v>49.546195984000001</v>
      </c>
      <c r="G2038">
        <v>1340.0136719</v>
      </c>
      <c r="H2038">
        <v>1337.3568115</v>
      </c>
      <c r="I2038">
        <v>1327.0795897999999</v>
      </c>
      <c r="J2038">
        <v>1325.3502197</v>
      </c>
      <c r="K2038">
        <v>2400</v>
      </c>
      <c r="L2038">
        <v>0</v>
      </c>
      <c r="M2038">
        <v>0</v>
      </c>
      <c r="N2038">
        <v>2400</v>
      </c>
    </row>
    <row r="2039" spans="1:14" x14ac:dyDescent="0.25">
      <c r="A2039">
        <v>1469.896495</v>
      </c>
      <c r="B2039" s="1">
        <f>DATE(2014,5,9) + TIME(21,30,57)</f>
        <v>41768.896493055552</v>
      </c>
      <c r="C2039">
        <v>80</v>
      </c>
      <c r="D2039">
        <v>79.981178283999995</v>
      </c>
      <c r="E2039">
        <v>50</v>
      </c>
      <c r="F2039">
        <v>49.534576416</v>
      </c>
      <c r="G2039">
        <v>1340.0095214999999</v>
      </c>
      <c r="H2039">
        <v>1337.3540039</v>
      </c>
      <c r="I2039">
        <v>1327.0788574000001</v>
      </c>
      <c r="J2039">
        <v>1325.348999</v>
      </c>
      <c r="K2039">
        <v>2400</v>
      </c>
      <c r="L2039">
        <v>0</v>
      </c>
      <c r="M2039">
        <v>0</v>
      </c>
      <c r="N2039">
        <v>2400</v>
      </c>
    </row>
    <row r="2040" spans="1:14" x14ac:dyDescent="0.25">
      <c r="A2040">
        <v>1470.1718020000001</v>
      </c>
      <c r="B2040" s="1">
        <f>DATE(2014,5,10) + TIME(4,7,23)</f>
        <v>41769.171793981484</v>
      </c>
      <c r="C2040">
        <v>80</v>
      </c>
      <c r="D2040">
        <v>79.981178283999995</v>
      </c>
      <c r="E2040">
        <v>50</v>
      </c>
      <c r="F2040">
        <v>49.522773743000002</v>
      </c>
      <c r="G2040">
        <v>1340.005249</v>
      </c>
      <c r="H2040">
        <v>1337.3509521000001</v>
      </c>
      <c r="I2040">
        <v>1327.0782471</v>
      </c>
      <c r="J2040">
        <v>1325.3477783000001</v>
      </c>
      <c r="K2040">
        <v>2400</v>
      </c>
      <c r="L2040">
        <v>0</v>
      </c>
      <c r="M2040">
        <v>0</v>
      </c>
      <c r="N2040">
        <v>2400</v>
      </c>
    </row>
    <row r="2041" spans="1:14" x14ac:dyDescent="0.25">
      <c r="A2041">
        <v>1470.452096</v>
      </c>
      <c r="B2041" s="1">
        <f>DATE(2014,5,10) + TIME(10,51,1)</f>
        <v>41769.452094907407</v>
      </c>
      <c r="C2041">
        <v>80</v>
      </c>
      <c r="D2041">
        <v>79.981170653999996</v>
      </c>
      <c r="E2041">
        <v>50</v>
      </c>
      <c r="F2041">
        <v>49.510799407999997</v>
      </c>
      <c r="G2041">
        <v>1340.0009766000001</v>
      </c>
      <c r="H2041">
        <v>1337.3480225000001</v>
      </c>
      <c r="I2041">
        <v>1327.0775146000001</v>
      </c>
      <c r="J2041">
        <v>1325.3465576000001</v>
      </c>
      <c r="K2041">
        <v>2400</v>
      </c>
      <c r="L2041">
        <v>0</v>
      </c>
      <c r="M2041">
        <v>0</v>
      </c>
      <c r="N2041">
        <v>2400</v>
      </c>
    </row>
    <row r="2042" spans="1:14" x14ac:dyDescent="0.25">
      <c r="A2042">
        <v>1470.738024</v>
      </c>
      <c r="B2042" s="1">
        <f>DATE(2014,5,10) + TIME(17,42,45)</f>
        <v>41769.738020833334</v>
      </c>
      <c r="C2042">
        <v>80</v>
      </c>
      <c r="D2042">
        <v>79.981163025000001</v>
      </c>
      <c r="E2042">
        <v>50</v>
      </c>
      <c r="F2042">
        <v>49.498638153000002</v>
      </c>
      <c r="G2042">
        <v>1339.996582</v>
      </c>
      <c r="H2042">
        <v>1337.3449707</v>
      </c>
      <c r="I2042">
        <v>1327.0767822</v>
      </c>
      <c r="J2042">
        <v>1325.3453368999999</v>
      </c>
      <c r="K2042">
        <v>2400</v>
      </c>
      <c r="L2042">
        <v>0</v>
      </c>
      <c r="M2042">
        <v>0</v>
      </c>
      <c r="N2042">
        <v>2400</v>
      </c>
    </row>
    <row r="2043" spans="1:14" x14ac:dyDescent="0.25">
      <c r="A2043">
        <v>1471.0302710000001</v>
      </c>
      <c r="B2043" s="1">
        <f>DATE(2014,5,11) + TIME(0,43,35)</f>
        <v>41770.030266203707</v>
      </c>
      <c r="C2043">
        <v>80</v>
      </c>
      <c r="D2043">
        <v>79.981163025000001</v>
      </c>
      <c r="E2043">
        <v>50</v>
      </c>
      <c r="F2043">
        <v>49.486263274999999</v>
      </c>
      <c r="G2043">
        <v>1339.9920654</v>
      </c>
      <c r="H2043">
        <v>1337.3419189000001</v>
      </c>
      <c r="I2043">
        <v>1327.0760498</v>
      </c>
      <c r="J2043">
        <v>1325.3439940999999</v>
      </c>
      <c r="K2043">
        <v>2400</v>
      </c>
      <c r="L2043">
        <v>0</v>
      </c>
      <c r="M2043">
        <v>0</v>
      </c>
      <c r="N2043">
        <v>2400</v>
      </c>
    </row>
    <row r="2044" spans="1:14" x14ac:dyDescent="0.25">
      <c r="A2044">
        <v>1471.3295780000001</v>
      </c>
      <c r="B2044" s="1">
        <f>DATE(2014,5,11) + TIME(7,54,35)</f>
        <v>41770.329571759263</v>
      </c>
      <c r="C2044">
        <v>80</v>
      </c>
      <c r="D2044">
        <v>79.981155396000005</v>
      </c>
      <c r="E2044">
        <v>50</v>
      </c>
      <c r="F2044">
        <v>49.473659515000001</v>
      </c>
      <c r="G2044">
        <v>1339.9875488</v>
      </c>
      <c r="H2044">
        <v>1337.3388672000001</v>
      </c>
      <c r="I2044">
        <v>1327.0753173999999</v>
      </c>
      <c r="J2044">
        <v>1325.3426514</v>
      </c>
      <c r="K2044">
        <v>2400</v>
      </c>
      <c r="L2044">
        <v>0</v>
      </c>
      <c r="M2044">
        <v>0</v>
      </c>
      <c r="N2044">
        <v>2400</v>
      </c>
    </row>
    <row r="2045" spans="1:14" x14ac:dyDescent="0.25">
      <c r="A2045">
        <v>1471.636082</v>
      </c>
      <c r="B2045" s="1">
        <f>DATE(2014,5,11) + TIME(15,15,57)</f>
        <v>41770.636076388888</v>
      </c>
      <c r="C2045">
        <v>80</v>
      </c>
      <c r="D2045">
        <v>79.981147766000007</v>
      </c>
      <c r="E2045">
        <v>50</v>
      </c>
      <c r="F2045">
        <v>49.460819244</v>
      </c>
      <c r="G2045">
        <v>1339.9830322</v>
      </c>
      <c r="H2045">
        <v>1337.3356934000001</v>
      </c>
      <c r="I2045">
        <v>1327.0744629000001</v>
      </c>
      <c r="J2045">
        <v>1325.3411865</v>
      </c>
      <c r="K2045">
        <v>2400</v>
      </c>
      <c r="L2045">
        <v>0</v>
      </c>
      <c r="M2045">
        <v>0</v>
      </c>
      <c r="N2045">
        <v>2400</v>
      </c>
    </row>
    <row r="2046" spans="1:14" x14ac:dyDescent="0.25">
      <c r="A2046">
        <v>1471.947408</v>
      </c>
      <c r="B2046" s="1">
        <f>DATE(2014,5,11) + TIME(22,44,16)</f>
        <v>41770.94740740741</v>
      </c>
      <c r="C2046">
        <v>80</v>
      </c>
      <c r="D2046">
        <v>79.981140136999997</v>
      </c>
      <c r="E2046">
        <v>50</v>
      </c>
      <c r="F2046">
        <v>49.447814940999997</v>
      </c>
      <c r="G2046">
        <v>1339.9783935999999</v>
      </c>
      <c r="H2046">
        <v>1337.3326416</v>
      </c>
      <c r="I2046">
        <v>1327.0736084</v>
      </c>
      <c r="J2046">
        <v>1325.3397216999999</v>
      </c>
      <c r="K2046">
        <v>2400</v>
      </c>
      <c r="L2046">
        <v>0</v>
      </c>
      <c r="M2046">
        <v>0</v>
      </c>
      <c r="N2046">
        <v>2400</v>
      </c>
    </row>
    <row r="2047" spans="1:14" x14ac:dyDescent="0.25">
      <c r="A2047">
        <v>1472.2642619999999</v>
      </c>
      <c r="B2047" s="1">
        <f>DATE(2014,5,12) + TIME(6,20,32)</f>
        <v>41771.26425925926</v>
      </c>
      <c r="C2047">
        <v>80</v>
      </c>
      <c r="D2047">
        <v>79.981132506999998</v>
      </c>
      <c r="E2047">
        <v>50</v>
      </c>
      <c r="F2047">
        <v>49.434635161999999</v>
      </c>
      <c r="G2047">
        <v>1339.9736327999999</v>
      </c>
      <c r="H2047">
        <v>1337.3294678</v>
      </c>
      <c r="I2047">
        <v>1327.0727539</v>
      </c>
      <c r="J2047">
        <v>1325.3382568</v>
      </c>
      <c r="K2047">
        <v>2400</v>
      </c>
      <c r="L2047">
        <v>0</v>
      </c>
      <c r="M2047">
        <v>0</v>
      </c>
      <c r="N2047">
        <v>2400</v>
      </c>
    </row>
    <row r="2048" spans="1:14" x14ac:dyDescent="0.25">
      <c r="A2048">
        <v>1472.5873409999999</v>
      </c>
      <c r="B2048" s="1">
        <f>DATE(2014,5,12) + TIME(14,5,46)</f>
        <v>41771.587337962963</v>
      </c>
      <c r="C2048">
        <v>80</v>
      </c>
      <c r="D2048">
        <v>79.981124878000003</v>
      </c>
      <c r="E2048">
        <v>50</v>
      </c>
      <c r="F2048">
        <v>49.421260834000002</v>
      </c>
      <c r="G2048">
        <v>1339.9688721</v>
      </c>
      <c r="H2048">
        <v>1337.3261719</v>
      </c>
      <c r="I2048">
        <v>1327.0718993999999</v>
      </c>
      <c r="J2048">
        <v>1325.3367920000001</v>
      </c>
      <c r="K2048">
        <v>2400</v>
      </c>
      <c r="L2048">
        <v>0</v>
      </c>
      <c r="M2048">
        <v>0</v>
      </c>
      <c r="N2048">
        <v>2400</v>
      </c>
    </row>
    <row r="2049" spans="1:14" x14ac:dyDescent="0.25">
      <c r="A2049">
        <v>1472.9173960000001</v>
      </c>
      <c r="B2049" s="1">
        <f>DATE(2014,5,12) + TIME(22,1,2)</f>
        <v>41771.917384259257</v>
      </c>
      <c r="C2049">
        <v>80</v>
      </c>
      <c r="D2049">
        <v>79.981124878000003</v>
      </c>
      <c r="E2049">
        <v>50</v>
      </c>
      <c r="F2049">
        <v>49.407669067</v>
      </c>
      <c r="G2049">
        <v>1339.9641113</v>
      </c>
      <c r="H2049">
        <v>1337.3229980000001</v>
      </c>
      <c r="I2049">
        <v>1327.0710449000001</v>
      </c>
      <c r="J2049">
        <v>1325.3352050999999</v>
      </c>
      <c r="K2049">
        <v>2400</v>
      </c>
      <c r="L2049">
        <v>0</v>
      </c>
      <c r="M2049">
        <v>0</v>
      </c>
      <c r="N2049">
        <v>2400</v>
      </c>
    </row>
    <row r="2050" spans="1:14" x14ac:dyDescent="0.25">
      <c r="A2050">
        <v>1473.2552370000001</v>
      </c>
      <c r="B2050" s="1">
        <f>DATE(2014,5,13) + TIME(6,7,32)</f>
        <v>41772.255231481482</v>
      </c>
      <c r="C2050">
        <v>80</v>
      </c>
      <c r="D2050">
        <v>79.981117248999993</v>
      </c>
      <c r="E2050">
        <v>50</v>
      </c>
      <c r="F2050">
        <v>49.393836974999999</v>
      </c>
      <c r="G2050">
        <v>1339.9593506000001</v>
      </c>
      <c r="H2050">
        <v>1337.3198242000001</v>
      </c>
      <c r="I2050">
        <v>1327.0700684000001</v>
      </c>
      <c r="J2050">
        <v>1325.3336182</v>
      </c>
      <c r="K2050">
        <v>2400</v>
      </c>
      <c r="L2050">
        <v>0</v>
      </c>
      <c r="M2050">
        <v>0</v>
      </c>
      <c r="N2050">
        <v>2400</v>
      </c>
    </row>
    <row r="2051" spans="1:14" x14ac:dyDescent="0.25">
      <c r="A2051">
        <v>1473.601746</v>
      </c>
      <c r="B2051" s="1">
        <f>DATE(2014,5,13) + TIME(14,26,30)</f>
        <v>41772.601736111108</v>
      </c>
      <c r="C2051">
        <v>80</v>
      </c>
      <c r="D2051">
        <v>79.981109618999994</v>
      </c>
      <c r="E2051">
        <v>50</v>
      </c>
      <c r="F2051">
        <v>49.379737853999998</v>
      </c>
      <c r="G2051">
        <v>1339.9544678</v>
      </c>
      <c r="H2051">
        <v>1337.3165283000001</v>
      </c>
      <c r="I2051">
        <v>1327.0690918</v>
      </c>
      <c r="J2051">
        <v>1325.3320312000001</v>
      </c>
      <c r="K2051">
        <v>2400</v>
      </c>
      <c r="L2051">
        <v>0</v>
      </c>
      <c r="M2051">
        <v>0</v>
      </c>
      <c r="N2051">
        <v>2400</v>
      </c>
    </row>
    <row r="2052" spans="1:14" x14ac:dyDescent="0.25">
      <c r="A2052">
        <v>1473.9540569999999</v>
      </c>
      <c r="B2052" s="1">
        <f>DATE(2014,5,13) + TIME(22,53,50)</f>
        <v>41772.954050925924</v>
      </c>
      <c r="C2052">
        <v>80</v>
      </c>
      <c r="D2052">
        <v>79.981101989999999</v>
      </c>
      <c r="E2052">
        <v>50</v>
      </c>
      <c r="F2052">
        <v>49.365451813</v>
      </c>
      <c r="G2052">
        <v>1339.9495850000001</v>
      </c>
      <c r="H2052">
        <v>1337.3132324000001</v>
      </c>
      <c r="I2052">
        <v>1327.0681152</v>
      </c>
      <c r="J2052">
        <v>1325.3303223</v>
      </c>
      <c r="K2052">
        <v>2400</v>
      </c>
      <c r="L2052">
        <v>0</v>
      </c>
      <c r="M2052">
        <v>0</v>
      </c>
      <c r="N2052">
        <v>2400</v>
      </c>
    </row>
    <row r="2053" spans="1:14" x14ac:dyDescent="0.25">
      <c r="A2053">
        <v>1474.310849</v>
      </c>
      <c r="B2053" s="1">
        <f>DATE(2014,5,14) + TIME(7,27,37)</f>
        <v>41773.310844907406</v>
      </c>
      <c r="C2053">
        <v>80</v>
      </c>
      <c r="D2053">
        <v>79.98109436</v>
      </c>
      <c r="E2053">
        <v>50</v>
      </c>
      <c r="F2053">
        <v>49.351028442</v>
      </c>
      <c r="G2053">
        <v>1339.9447021000001</v>
      </c>
      <c r="H2053">
        <v>1337.3100586</v>
      </c>
      <c r="I2053">
        <v>1327.0671387</v>
      </c>
      <c r="J2053">
        <v>1325.3284911999999</v>
      </c>
      <c r="K2053">
        <v>2400</v>
      </c>
      <c r="L2053">
        <v>0</v>
      </c>
      <c r="M2053">
        <v>0</v>
      </c>
      <c r="N2053">
        <v>2400</v>
      </c>
    </row>
    <row r="2054" spans="1:14" x14ac:dyDescent="0.25">
      <c r="A2054">
        <v>1474.6730560000001</v>
      </c>
      <c r="B2054" s="1">
        <f>DATE(2014,5,14) + TIME(16,9,12)</f>
        <v>41773.673055555555</v>
      </c>
      <c r="C2054">
        <v>80</v>
      </c>
      <c r="D2054">
        <v>79.981086731000005</v>
      </c>
      <c r="E2054">
        <v>50</v>
      </c>
      <c r="F2054">
        <v>49.336444855000003</v>
      </c>
      <c r="G2054">
        <v>1339.9398193</v>
      </c>
      <c r="H2054">
        <v>1337.3067627</v>
      </c>
      <c r="I2054">
        <v>1327.0660399999999</v>
      </c>
      <c r="J2054">
        <v>1325.3267822</v>
      </c>
      <c r="K2054">
        <v>2400</v>
      </c>
      <c r="L2054">
        <v>0</v>
      </c>
      <c r="M2054">
        <v>0</v>
      </c>
      <c r="N2054">
        <v>2400</v>
      </c>
    </row>
    <row r="2055" spans="1:14" x14ac:dyDescent="0.25">
      <c r="A2055">
        <v>1475.041626</v>
      </c>
      <c r="B2055" s="1">
        <f>DATE(2014,5,15) + TIME(0,59,56)</f>
        <v>41774.041620370372</v>
      </c>
      <c r="C2055">
        <v>80</v>
      </c>
      <c r="D2055">
        <v>79.981079101999995</v>
      </c>
      <c r="E2055">
        <v>50</v>
      </c>
      <c r="F2055">
        <v>49.321681976000001</v>
      </c>
      <c r="G2055">
        <v>1339.9348144999999</v>
      </c>
      <c r="H2055">
        <v>1337.3034668</v>
      </c>
      <c r="I2055">
        <v>1327.0649414</v>
      </c>
      <c r="J2055">
        <v>1325.3249512</v>
      </c>
      <c r="K2055">
        <v>2400</v>
      </c>
      <c r="L2055">
        <v>0</v>
      </c>
      <c r="M2055">
        <v>0</v>
      </c>
      <c r="N2055">
        <v>2400</v>
      </c>
    </row>
    <row r="2056" spans="1:14" x14ac:dyDescent="0.25">
      <c r="A2056">
        <v>1475.417557</v>
      </c>
      <c r="B2056" s="1">
        <f>DATE(2014,5,15) + TIME(10,1,16)</f>
        <v>41774.417546296296</v>
      </c>
      <c r="C2056">
        <v>80</v>
      </c>
      <c r="D2056">
        <v>79.981071471999996</v>
      </c>
      <c r="E2056">
        <v>50</v>
      </c>
      <c r="F2056">
        <v>49.306713104000004</v>
      </c>
      <c r="G2056">
        <v>1339.9299315999999</v>
      </c>
      <c r="H2056">
        <v>1337.300293</v>
      </c>
      <c r="I2056">
        <v>1327.0638428</v>
      </c>
      <c r="J2056">
        <v>1325.3229980000001</v>
      </c>
      <c r="K2056">
        <v>2400</v>
      </c>
      <c r="L2056">
        <v>0</v>
      </c>
      <c r="M2056">
        <v>0</v>
      </c>
      <c r="N2056">
        <v>2400</v>
      </c>
    </row>
    <row r="2057" spans="1:14" x14ac:dyDescent="0.25">
      <c r="A2057">
        <v>1475.8019300000001</v>
      </c>
      <c r="B2057" s="1">
        <f>DATE(2014,5,15) + TIME(19,14,46)</f>
        <v>41774.801921296297</v>
      </c>
      <c r="C2057">
        <v>80</v>
      </c>
      <c r="D2057">
        <v>79.981063843000001</v>
      </c>
      <c r="E2057">
        <v>50</v>
      </c>
      <c r="F2057">
        <v>49.291507721000002</v>
      </c>
      <c r="G2057">
        <v>1339.9249268000001</v>
      </c>
      <c r="H2057">
        <v>1337.2969971</v>
      </c>
      <c r="I2057">
        <v>1327.0626221</v>
      </c>
      <c r="J2057">
        <v>1325.3210449000001</v>
      </c>
      <c r="K2057">
        <v>2400</v>
      </c>
      <c r="L2057">
        <v>0</v>
      </c>
      <c r="M2057">
        <v>0</v>
      </c>
      <c r="N2057">
        <v>2400</v>
      </c>
    </row>
    <row r="2058" spans="1:14" x14ac:dyDescent="0.25">
      <c r="A2058">
        <v>1476.195901</v>
      </c>
      <c r="B2058" s="1">
        <f>DATE(2014,5,16) + TIME(4,42,5)</f>
        <v>41775.195891203701</v>
      </c>
      <c r="C2058">
        <v>80</v>
      </c>
      <c r="D2058">
        <v>79.981056213000002</v>
      </c>
      <c r="E2058">
        <v>50</v>
      </c>
      <c r="F2058">
        <v>49.276031494000001</v>
      </c>
      <c r="G2058">
        <v>1339.9199219</v>
      </c>
      <c r="H2058">
        <v>1337.2937012</v>
      </c>
      <c r="I2058">
        <v>1327.0614014</v>
      </c>
      <c r="J2058">
        <v>1325.3190918</v>
      </c>
      <c r="K2058">
        <v>2400</v>
      </c>
      <c r="L2058">
        <v>0</v>
      </c>
      <c r="M2058">
        <v>0</v>
      </c>
      <c r="N2058">
        <v>2400</v>
      </c>
    </row>
    <row r="2059" spans="1:14" x14ac:dyDescent="0.25">
      <c r="A2059">
        <v>1476.6007279999999</v>
      </c>
      <c r="B2059" s="1">
        <f>DATE(2014,5,16) + TIME(14,25,2)</f>
        <v>41775.600717592592</v>
      </c>
      <c r="C2059">
        <v>80</v>
      </c>
      <c r="D2059">
        <v>79.981048584000007</v>
      </c>
      <c r="E2059">
        <v>50</v>
      </c>
      <c r="F2059">
        <v>49.260246277</v>
      </c>
      <c r="G2059">
        <v>1339.9149170000001</v>
      </c>
      <c r="H2059">
        <v>1337.2904053</v>
      </c>
      <c r="I2059">
        <v>1327.0601807</v>
      </c>
      <c r="J2059">
        <v>1325.3170166</v>
      </c>
      <c r="K2059">
        <v>2400</v>
      </c>
      <c r="L2059">
        <v>0</v>
      </c>
      <c r="M2059">
        <v>0</v>
      </c>
      <c r="N2059">
        <v>2400</v>
      </c>
    </row>
    <row r="2060" spans="1:14" x14ac:dyDescent="0.25">
      <c r="A2060">
        <v>1477.017979</v>
      </c>
      <c r="B2060" s="1">
        <f>DATE(2014,5,17) + TIME(0,25,53)</f>
        <v>41776.017974537041</v>
      </c>
      <c r="C2060">
        <v>80</v>
      </c>
      <c r="D2060">
        <v>79.981040954999997</v>
      </c>
      <c r="E2060">
        <v>50</v>
      </c>
      <c r="F2060">
        <v>49.244102478000002</v>
      </c>
      <c r="G2060">
        <v>1339.9099120999999</v>
      </c>
      <c r="H2060">
        <v>1337.2871094</v>
      </c>
      <c r="I2060">
        <v>1327.0589600000001</v>
      </c>
      <c r="J2060">
        <v>1325.3148193</v>
      </c>
      <c r="K2060">
        <v>2400</v>
      </c>
      <c r="L2060">
        <v>0</v>
      </c>
      <c r="M2060">
        <v>0</v>
      </c>
      <c r="N2060">
        <v>2400</v>
      </c>
    </row>
    <row r="2061" spans="1:14" x14ac:dyDescent="0.25">
      <c r="A2061">
        <v>1477.4469329999999</v>
      </c>
      <c r="B2061" s="1">
        <f>DATE(2014,5,17) + TIME(10,43,35)</f>
        <v>41776.446932870371</v>
      </c>
      <c r="C2061">
        <v>80</v>
      </c>
      <c r="D2061">
        <v>79.981033324999999</v>
      </c>
      <c r="E2061">
        <v>50</v>
      </c>
      <c r="F2061">
        <v>49.227615356000001</v>
      </c>
      <c r="G2061">
        <v>1339.9046631000001</v>
      </c>
      <c r="H2061">
        <v>1337.2838135</v>
      </c>
      <c r="I2061">
        <v>1327.0576172000001</v>
      </c>
      <c r="J2061">
        <v>1325.3125</v>
      </c>
      <c r="K2061">
        <v>2400</v>
      </c>
      <c r="L2061">
        <v>0</v>
      </c>
      <c r="M2061">
        <v>0</v>
      </c>
      <c r="N2061">
        <v>2400</v>
      </c>
    </row>
    <row r="2062" spans="1:14" x14ac:dyDescent="0.25">
      <c r="A2062">
        <v>1477.8806259999999</v>
      </c>
      <c r="B2062" s="1">
        <f>DATE(2014,5,17) + TIME(21,8,6)</f>
        <v>41776.880624999998</v>
      </c>
      <c r="C2062">
        <v>80</v>
      </c>
      <c r="D2062">
        <v>79.981025696000003</v>
      </c>
      <c r="E2062">
        <v>50</v>
      </c>
      <c r="F2062">
        <v>49.210956572999997</v>
      </c>
      <c r="G2062">
        <v>1339.8995361</v>
      </c>
      <c r="H2062">
        <v>1337.2803954999999</v>
      </c>
      <c r="I2062">
        <v>1327.0561522999999</v>
      </c>
      <c r="J2062">
        <v>1325.3101807</v>
      </c>
      <c r="K2062">
        <v>2400</v>
      </c>
      <c r="L2062">
        <v>0</v>
      </c>
      <c r="M2062">
        <v>0</v>
      </c>
      <c r="N2062">
        <v>2400</v>
      </c>
    </row>
    <row r="2063" spans="1:14" x14ac:dyDescent="0.25">
      <c r="A2063">
        <v>1478.319994</v>
      </c>
      <c r="B2063" s="1">
        <f>DATE(2014,5,18) + TIME(7,40,47)</f>
        <v>41777.319988425923</v>
      </c>
      <c r="C2063">
        <v>80</v>
      </c>
      <c r="D2063">
        <v>79.981018066000004</v>
      </c>
      <c r="E2063">
        <v>50</v>
      </c>
      <c r="F2063">
        <v>49.194133759000003</v>
      </c>
      <c r="G2063">
        <v>1339.8942870999999</v>
      </c>
      <c r="H2063">
        <v>1337.2770995999999</v>
      </c>
      <c r="I2063">
        <v>1327.0546875</v>
      </c>
      <c r="J2063">
        <v>1325.3078613</v>
      </c>
      <c r="K2063">
        <v>2400</v>
      </c>
      <c r="L2063">
        <v>0</v>
      </c>
      <c r="M2063">
        <v>0</v>
      </c>
      <c r="N2063">
        <v>2400</v>
      </c>
    </row>
    <row r="2064" spans="1:14" x14ac:dyDescent="0.25">
      <c r="A2064">
        <v>1478.7660310000001</v>
      </c>
      <c r="B2064" s="1">
        <f>DATE(2014,5,18) + TIME(18,23,5)</f>
        <v>41777.766030092593</v>
      </c>
      <c r="C2064">
        <v>80</v>
      </c>
      <c r="D2064">
        <v>79.981002808</v>
      </c>
      <c r="E2064">
        <v>50</v>
      </c>
      <c r="F2064">
        <v>49.177139281999999</v>
      </c>
      <c r="G2064">
        <v>1339.8891602000001</v>
      </c>
      <c r="H2064">
        <v>1337.2738036999999</v>
      </c>
      <c r="I2064">
        <v>1327.0532227000001</v>
      </c>
      <c r="J2064">
        <v>1325.3052978999999</v>
      </c>
      <c r="K2064">
        <v>2400</v>
      </c>
      <c r="L2064">
        <v>0</v>
      </c>
      <c r="M2064">
        <v>0</v>
      </c>
      <c r="N2064">
        <v>2400</v>
      </c>
    </row>
    <row r="2065" spans="1:14" x14ac:dyDescent="0.25">
      <c r="A2065">
        <v>1479.219775</v>
      </c>
      <c r="B2065" s="1">
        <f>DATE(2014,5,19) + TIME(5,16,28)</f>
        <v>41778.219768518517</v>
      </c>
      <c r="C2065">
        <v>80</v>
      </c>
      <c r="D2065">
        <v>79.980995178000001</v>
      </c>
      <c r="E2065">
        <v>50</v>
      </c>
      <c r="F2065">
        <v>49.159946441999999</v>
      </c>
      <c r="G2065">
        <v>1339.8839111</v>
      </c>
      <c r="H2065">
        <v>1337.2703856999999</v>
      </c>
      <c r="I2065">
        <v>1327.0516356999999</v>
      </c>
      <c r="J2065">
        <v>1325.3028564000001</v>
      </c>
      <c r="K2065">
        <v>2400</v>
      </c>
      <c r="L2065">
        <v>0</v>
      </c>
      <c r="M2065">
        <v>0</v>
      </c>
      <c r="N2065">
        <v>2400</v>
      </c>
    </row>
    <row r="2066" spans="1:14" x14ac:dyDescent="0.25">
      <c r="A2066">
        <v>1479.680018</v>
      </c>
      <c r="B2066" s="1">
        <f>DATE(2014,5,19) + TIME(16,19,13)</f>
        <v>41778.680011574077</v>
      </c>
      <c r="C2066">
        <v>80</v>
      </c>
      <c r="D2066">
        <v>79.980987549000005</v>
      </c>
      <c r="E2066">
        <v>50</v>
      </c>
      <c r="F2066">
        <v>49.142597197999997</v>
      </c>
      <c r="G2066">
        <v>1339.8787841999999</v>
      </c>
      <c r="H2066">
        <v>1337.2670897999999</v>
      </c>
      <c r="I2066">
        <v>1327.0501709</v>
      </c>
      <c r="J2066">
        <v>1325.3001709</v>
      </c>
      <c r="K2066">
        <v>2400</v>
      </c>
      <c r="L2066">
        <v>0</v>
      </c>
      <c r="M2066">
        <v>0</v>
      </c>
      <c r="N2066">
        <v>2400</v>
      </c>
    </row>
    <row r="2067" spans="1:14" x14ac:dyDescent="0.25">
      <c r="A2067">
        <v>1480.1462979999999</v>
      </c>
      <c r="B2067" s="1">
        <f>DATE(2014,5,20) + TIME(3,30,40)</f>
        <v>41779.146296296298</v>
      </c>
      <c r="C2067">
        <v>80</v>
      </c>
      <c r="D2067">
        <v>79.980979919000006</v>
      </c>
      <c r="E2067">
        <v>50</v>
      </c>
      <c r="F2067">
        <v>49.125102996999999</v>
      </c>
      <c r="G2067">
        <v>1339.8736572</v>
      </c>
      <c r="H2067">
        <v>1337.2637939000001</v>
      </c>
      <c r="I2067">
        <v>1327.0484618999999</v>
      </c>
      <c r="J2067">
        <v>1325.2974853999999</v>
      </c>
      <c r="K2067">
        <v>2400</v>
      </c>
      <c r="L2067">
        <v>0</v>
      </c>
      <c r="M2067">
        <v>0</v>
      </c>
      <c r="N2067">
        <v>2400</v>
      </c>
    </row>
    <row r="2068" spans="1:14" x14ac:dyDescent="0.25">
      <c r="A2068">
        <v>1480.6173859999999</v>
      </c>
      <c r="B2068" s="1">
        <f>DATE(2014,5,20) + TIME(14,49,2)</f>
        <v>41779.617384259262</v>
      </c>
      <c r="C2068">
        <v>80</v>
      </c>
      <c r="D2068">
        <v>79.980972289999997</v>
      </c>
      <c r="E2068">
        <v>50</v>
      </c>
      <c r="F2068">
        <v>49.107509612999998</v>
      </c>
      <c r="G2068">
        <v>1339.8685303</v>
      </c>
      <c r="H2068">
        <v>1337.2606201000001</v>
      </c>
      <c r="I2068">
        <v>1327.046875</v>
      </c>
      <c r="J2068">
        <v>1325.2947998</v>
      </c>
      <c r="K2068">
        <v>2400</v>
      </c>
      <c r="L2068">
        <v>0</v>
      </c>
      <c r="M2068">
        <v>0</v>
      </c>
      <c r="N2068">
        <v>2400</v>
      </c>
    </row>
    <row r="2069" spans="1:14" x14ac:dyDescent="0.25">
      <c r="A2069">
        <v>1481.0946120000001</v>
      </c>
      <c r="B2069" s="1">
        <f>DATE(2014,5,21) + TIME(2,16,14)</f>
        <v>41780.094606481478</v>
      </c>
      <c r="C2069">
        <v>80</v>
      </c>
      <c r="D2069">
        <v>79.980964661000002</v>
      </c>
      <c r="E2069">
        <v>50</v>
      </c>
      <c r="F2069">
        <v>49.089790344000001</v>
      </c>
      <c r="G2069">
        <v>1339.8635254000001</v>
      </c>
      <c r="H2069">
        <v>1337.2573242000001</v>
      </c>
      <c r="I2069">
        <v>1327.0451660000001</v>
      </c>
      <c r="J2069">
        <v>1325.2919922000001</v>
      </c>
      <c r="K2069">
        <v>2400</v>
      </c>
      <c r="L2069">
        <v>0</v>
      </c>
      <c r="M2069">
        <v>0</v>
      </c>
      <c r="N2069">
        <v>2400</v>
      </c>
    </row>
    <row r="2070" spans="1:14" x14ac:dyDescent="0.25">
      <c r="A2070">
        <v>1481.5792939999999</v>
      </c>
      <c r="B2070" s="1">
        <f>DATE(2014,5,21) + TIME(13,54,10)</f>
        <v>41780.579282407409</v>
      </c>
      <c r="C2070">
        <v>80</v>
      </c>
      <c r="D2070">
        <v>79.980957031000003</v>
      </c>
      <c r="E2070">
        <v>50</v>
      </c>
      <c r="F2070">
        <v>49.071918488000001</v>
      </c>
      <c r="G2070">
        <v>1339.8583983999999</v>
      </c>
      <c r="H2070">
        <v>1337.2541504000001</v>
      </c>
      <c r="I2070">
        <v>1327.0433350000001</v>
      </c>
      <c r="J2070">
        <v>1325.2890625</v>
      </c>
      <c r="K2070">
        <v>2400</v>
      </c>
      <c r="L2070">
        <v>0</v>
      </c>
      <c r="M2070">
        <v>0</v>
      </c>
      <c r="N2070">
        <v>2400</v>
      </c>
    </row>
    <row r="2071" spans="1:14" x14ac:dyDescent="0.25">
      <c r="A2071">
        <v>1482.0728349999999</v>
      </c>
      <c r="B2071" s="1">
        <f>DATE(2014,5,22) + TIME(1,44,52)</f>
        <v>41781.072824074072</v>
      </c>
      <c r="C2071">
        <v>80</v>
      </c>
      <c r="D2071">
        <v>79.980949401999993</v>
      </c>
      <c r="E2071">
        <v>50</v>
      </c>
      <c r="F2071">
        <v>49.053859711000001</v>
      </c>
      <c r="G2071">
        <v>1339.8533935999999</v>
      </c>
      <c r="H2071">
        <v>1337.2509766000001</v>
      </c>
      <c r="I2071">
        <v>1327.0415039</v>
      </c>
      <c r="J2071">
        <v>1325.2860106999999</v>
      </c>
      <c r="K2071">
        <v>2400</v>
      </c>
      <c r="L2071">
        <v>0</v>
      </c>
      <c r="M2071">
        <v>0</v>
      </c>
      <c r="N2071">
        <v>2400</v>
      </c>
    </row>
    <row r="2072" spans="1:14" x14ac:dyDescent="0.25">
      <c r="A2072">
        <v>1482.5767430000001</v>
      </c>
      <c r="B2072" s="1">
        <f>DATE(2014,5,22) + TIME(13,50,30)</f>
        <v>41781.576736111114</v>
      </c>
      <c r="C2072">
        <v>80</v>
      </c>
      <c r="D2072">
        <v>79.980941771999994</v>
      </c>
      <c r="E2072">
        <v>50</v>
      </c>
      <c r="F2072">
        <v>49.035572051999999</v>
      </c>
      <c r="G2072">
        <v>1339.8482666</v>
      </c>
      <c r="H2072">
        <v>1337.2478027</v>
      </c>
      <c r="I2072">
        <v>1327.0396728999999</v>
      </c>
      <c r="J2072">
        <v>1325.2829589999999</v>
      </c>
      <c r="K2072">
        <v>2400</v>
      </c>
      <c r="L2072">
        <v>0</v>
      </c>
      <c r="M2072">
        <v>0</v>
      </c>
      <c r="N2072">
        <v>2400</v>
      </c>
    </row>
    <row r="2073" spans="1:14" x14ac:dyDescent="0.25">
      <c r="A2073">
        <v>1483.0926139999999</v>
      </c>
      <c r="B2073" s="1">
        <f>DATE(2014,5,23) + TIME(2,13,21)</f>
        <v>41782.092604166668</v>
      </c>
      <c r="C2073">
        <v>80</v>
      </c>
      <c r="D2073">
        <v>79.980934142999999</v>
      </c>
      <c r="E2073">
        <v>50</v>
      </c>
      <c r="F2073">
        <v>49.017009735000002</v>
      </c>
      <c r="G2073">
        <v>1339.8431396000001</v>
      </c>
      <c r="H2073">
        <v>1337.2445068</v>
      </c>
      <c r="I2073">
        <v>1327.0377197</v>
      </c>
      <c r="J2073">
        <v>1325.2797852000001</v>
      </c>
      <c r="K2073">
        <v>2400</v>
      </c>
      <c r="L2073">
        <v>0</v>
      </c>
      <c r="M2073">
        <v>0</v>
      </c>
      <c r="N2073">
        <v>2400</v>
      </c>
    </row>
    <row r="2074" spans="1:14" x14ac:dyDescent="0.25">
      <c r="A2074">
        <v>1483.6223110000001</v>
      </c>
      <c r="B2074" s="1">
        <f>DATE(2014,5,23) + TIME(14,56,7)</f>
        <v>41782.622303240743</v>
      </c>
      <c r="C2074">
        <v>80</v>
      </c>
      <c r="D2074">
        <v>79.980926514000004</v>
      </c>
      <c r="E2074">
        <v>50</v>
      </c>
      <c r="F2074">
        <v>48.998123169000003</v>
      </c>
      <c r="G2074">
        <v>1339.8380127</v>
      </c>
      <c r="H2074">
        <v>1337.2413329999999</v>
      </c>
      <c r="I2074">
        <v>1327.0356445</v>
      </c>
      <c r="J2074">
        <v>1325.2764893000001</v>
      </c>
      <c r="K2074">
        <v>2400</v>
      </c>
      <c r="L2074">
        <v>0</v>
      </c>
      <c r="M2074">
        <v>0</v>
      </c>
      <c r="N2074">
        <v>2400</v>
      </c>
    </row>
    <row r="2075" spans="1:14" x14ac:dyDescent="0.25">
      <c r="A2075">
        <v>1484.1679409999999</v>
      </c>
      <c r="B2075" s="1">
        <f>DATE(2014,5,24) + TIME(4,1,50)</f>
        <v>41783.167939814812</v>
      </c>
      <c r="C2075">
        <v>80</v>
      </c>
      <c r="D2075">
        <v>79.980918884000005</v>
      </c>
      <c r="E2075">
        <v>50</v>
      </c>
      <c r="F2075">
        <v>48.978855133000003</v>
      </c>
      <c r="G2075">
        <v>1339.8328856999999</v>
      </c>
      <c r="H2075">
        <v>1337.2381591999999</v>
      </c>
      <c r="I2075">
        <v>1327.0335693</v>
      </c>
      <c r="J2075">
        <v>1325.2730713000001</v>
      </c>
      <c r="K2075">
        <v>2400</v>
      </c>
      <c r="L2075">
        <v>0</v>
      </c>
      <c r="M2075">
        <v>0</v>
      </c>
      <c r="N2075">
        <v>2400</v>
      </c>
    </row>
    <row r="2076" spans="1:14" x14ac:dyDescent="0.25">
      <c r="A2076">
        <v>1484.728965</v>
      </c>
      <c r="B2076" s="1">
        <f>DATE(2014,5,24) + TIME(17,29,42)</f>
        <v>41783.728958333333</v>
      </c>
      <c r="C2076">
        <v>80</v>
      </c>
      <c r="D2076">
        <v>79.980911254999995</v>
      </c>
      <c r="E2076">
        <v>50</v>
      </c>
      <c r="F2076">
        <v>48.959197998</v>
      </c>
      <c r="G2076">
        <v>1339.8276367000001</v>
      </c>
      <c r="H2076">
        <v>1337.2348632999999</v>
      </c>
      <c r="I2076">
        <v>1327.0313721</v>
      </c>
      <c r="J2076">
        <v>1325.2694091999999</v>
      </c>
      <c r="K2076">
        <v>2400</v>
      </c>
      <c r="L2076">
        <v>0</v>
      </c>
      <c r="M2076">
        <v>0</v>
      </c>
      <c r="N2076">
        <v>2400</v>
      </c>
    </row>
    <row r="2077" spans="1:14" x14ac:dyDescent="0.25">
      <c r="A2077">
        <v>1485.303332</v>
      </c>
      <c r="B2077" s="1">
        <f>DATE(2014,5,25) + TIME(7,16,47)</f>
        <v>41784.30332175926</v>
      </c>
      <c r="C2077">
        <v>80</v>
      </c>
      <c r="D2077">
        <v>79.980903624999996</v>
      </c>
      <c r="E2077">
        <v>50</v>
      </c>
      <c r="F2077">
        <v>48.939193725999999</v>
      </c>
      <c r="G2077">
        <v>1339.8223877</v>
      </c>
      <c r="H2077">
        <v>1337.2315673999999</v>
      </c>
      <c r="I2077">
        <v>1327.0290527</v>
      </c>
      <c r="J2077">
        <v>1325.2657471</v>
      </c>
      <c r="K2077">
        <v>2400</v>
      </c>
      <c r="L2077">
        <v>0</v>
      </c>
      <c r="M2077">
        <v>0</v>
      </c>
      <c r="N2077">
        <v>2400</v>
      </c>
    </row>
    <row r="2078" spans="1:14" x14ac:dyDescent="0.25">
      <c r="A2078">
        <v>1485.892973</v>
      </c>
      <c r="B2078" s="1">
        <f>DATE(2014,5,25) + TIME(21,25,52)</f>
        <v>41784.892962962964</v>
      </c>
      <c r="C2078">
        <v>80</v>
      </c>
      <c r="D2078">
        <v>79.980895996000001</v>
      </c>
      <c r="E2078">
        <v>50</v>
      </c>
      <c r="F2078">
        <v>48.918811798</v>
      </c>
      <c r="G2078">
        <v>1339.8171387</v>
      </c>
      <c r="H2078">
        <v>1337.2282714999999</v>
      </c>
      <c r="I2078">
        <v>1327.0267334</v>
      </c>
      <c r="J2078">
        <v>1325.2618408000001</v>
      </c>
      <c r="K2078">
        <v>2400</v>
      </c>
      <c r="L2078">
        <v>0</v>
      </c>
      <c r="M2078">
        <v>0</v>
      </c>
      <c r="N2078">
        <v>2400</v>
      </c>
    </row>
    <row r="2079" spans="1:14" x14ac:dyDescent="0.25">
      <c r="A2079">
        <v>1486.4867469999999</v>
      </c>
      <c r="B2079" s="1">
        <f>DATE(2014,5,26) + TIME(11,40,54)</f>
        <v>41785.48673611111</v>
      </c>
      <c r="C2079">
        <v>80</v>
      </c>
      <c r="D2079">
        <v>79.980888367000006</v>
      </c>
      <c r="E2079">
        <v>50</v>
      </c>
      <c r="F2079">
        <v>48.898284912000001</v>
      </c>
      <c r="G2079">
        <v>1339.8117675999999</v>
      </c>
      <c r="H2079">
        <v>1337.2249756000001</v>
      </c>
      <c r="I2079">
        <v>1327.0241699000001</v>
      </c>
      <c r="J2079">
        <v>1325.2578125</v>
      </c>
      <c r="K2079">
        <v>2400</v>
      </c>
      <c r="L2079">
        <v>0</v>
      </c>
      <c r="M2079">
        <v>0</v>
      </c>
      <c r="N2079">
        <v>2400</v>
      </c>
    </row>
    <row r="2080" spans="1:14" x14ac:dyDescent="0.25">
      <c r="A2080">
        <v>1487.082692</v>
      </c>
      <c r="B2080" s="1">
        <f>DATE(2014,5,27) + TIME(1,59,4)</f>
        <v>41786.082685185182</v>
      </c>
      <c r="C2080">
        <v>80</v>
      </c>
      <c r="D2080">
        <v>79.980880737000007</v>
      </c>
      <c r="E2080">
        <v>50</v>
      </c>
      <c r="F2080">
        <v>48.877716063999998</v>
      </c>
      <c r="G2080">
        <v>1339.8063964999999</v>
      </c>
      <c r="H2080">
        <v>1337.2216797000001</v>
      </c>
      <c r="I2080">
        <v>1327.0217285000001</v>
      </c>
      <c r="J2080">
        <v>1325.2536620999999</v>
      </c>
      <c r="K2080">
        <v>2400</v>
      </c>
      <c r="L2080">
        <v>0</v>
      </c>
      <c r="M2080">
        <v>0</v>
      </c>
      <c r="N2080">
        <v>2400</v>
      </c>
    </row>
    <row r="2081" spans="1:14" x14ac:dyDescent="0.25">
      <c r="A2081">
        <v>1487.682628</v>
      </c>
      <c r="B2081" s="1">
        <f>DATE(2014,5,27) + TIME(16,22,59)</f>
        <v>41786.682627314818</v>
      </c>
      <c r="C2081">
        <v>80</v>
      </c>
      <c r="D2081">
        <v>79.980873107999997</v>
      </c>
      <c r="E2081">
        <v>50</v>
      </c>
      <c r="F2081">
        <v>48.857112884999999</v>
      </c>
      <c r="G2081">
        <v>1339.8011475000001</v>
      </c>
      <c r="H2081">
        <v>1337.2183838000001</v>
      </c>
      <c r="I2081">
        <v>1327.019043</v>
      </c>
      <c r="J2081">
        <v>1325.2493896000001</v>
      </c>
      <c r="K2081">
        <v>2400</v>
      </c>
      <c r="L2081">
        <v>0</v>
      </c>
      <c r="M2081">
        <v>0</v>
      </c>
      <c r="N2081">
        <v>2400</v>
      </c>
    </row>
    <row r="2082" spans="1:14" x14ac:dyDescent="0.25">
      <c r="A2082">
        <v>1488.287384</v>
      </c>
      <c r="B2082" s="1">
        <f>DATE(2014,5,28) + TIME(6,53,49)</f>
        <v>41787.287372685183</v>
      </c>
      <c r="C2082">
        <v>80</v>
      </c>
      <c r="D2082">
        <v>79.980865479000002</v>
      </c>
      <c r="E2082">
        <v>50</v>
      </c>
      <c r="F2082">
        <v>48.836486815999997</v>
      </c>
      <c r="G2082">
        <v>1339.7960204999999</v>
      </c>
      <c r="H2082">
        <v>1337.2152100000001</v>
      </c>
      <c r="I2082">
        <v>1327.0163574000001</v>
      </c>
      <c r="J2082">
        <v>1325.2449951000001</v>
      </c>
      <c r="K2082">
        <v>2400</v>
      </c>
      <c r="L2082">
        <v>0</v>
      </c>
      <c r="M2082">
        <v>0</v>
      </c>
      <c r="N2082">
        <v>2400</v>
      </c>
    </row>
    <row r="2083" spans="1:14" x14ac:dyDescent="0.25">
      <c r="A2083">
        <v>1488.8959850000001</v>
      </c>
      <c r="B2083" s="1">
        <f>DATE(2014,5,28) + TIME(21,30,13)</f>
        <v>41787.895983796298</v>
      </c>
      <c r="C2083">
        <v>80</v>
      </c>
      <c r="D2083">
        <v>79.980857849000003</v>
      </c>
      <c r="E2083">
        <v>50</v>
      </c>
      <c r="F2083">
        <v>48.815860747999999</v>
      </c>
      <c r="G2083">
        <v>1339.7908935999999</v>
      </c>
      <c r="H2083">
        <v>1337.2120361</v>
      </c>
      <c r="I2083">
        <v>1327.0136719</v>
      </c>
      <c r="J2083">
        <v>1325.2406006000001</v>
      </c>
      <c r="K2083">
        <v>2400</v>
      </c>
      <c r="L2083">
        <v>0</v>
      </c>
      <c r="M2083">
        <v>0</v>
      </c>
      <c r="N2083">
        <v>2400</v>
      </c>
    </row>
    <row r="2084" spans="1:14" x14ac:dyDescent="0.25">
      <c r="A2084">
        <v>1489.509965</v>
      </c>
      <c r="B2084" s="1">
        <f>DATE(2014,5,29) + TIME(12,14,20)</f>
        <v>41788.509953703702</v>
      </c>
      <c r="C2084">
        <v>80</v>
      </c>
      <c r="D2084">
        <v>79.980850219999994</v>
      </c>
      <c r="E2084">
        <v>50</v>
      </c>
      <c r="F2084">
        <v>48.795215607000003</v>
      </c>
      <c r="G2084">
        <v>1339.7857666</v>
      </c>
      <c r="H2084">
        <v>1337.2089844</v>
      </c>
      <c r="I2084">
        <v>1327.0108643000001</v>
      </c>
      <c r="J2084">
        <v>1325.2360839999999</v>
      </c>
      <c r="K2084">
        <v>2400</v>
      </c>
      <c r="L2084">
        <v>0</v>
      </c>
      <c r="M2084">
        <v>0</v>
      </c>
      <c r="N2084">
        <v>2400</v>
      </c>
    </row>
    <row r="2085" spans="1:14" x14ac:dyDescent="0.25">
      <c r="A2085">
        <v>1490.1306219999999</v>
      </c>
      <c r="B2085" s="1">
        <f>DATE(2014,5,30) + TIME(3,8,5)</f>
        <v>41789.130613425928</v>
      </c>
      <c r="C2085">
        <v>80</v>
      </c>
      <c r="D2085">
        <v>79.980842589999995</v>
      </c>
      <c r="E2085">
        <v>50</v>
      </c>
      <c r="F2085">
        <v>48.774528502999999</v>
      </c>
      <c r="G2085">
        <v>1339.7807617000001</v>
      </c>
      <c r="H2085">
        <v>1337.2058105000001</v>
      </c>
      <c r="I2085">
        <v>1327.0080565999999</v>
      </c>
      <c r="J2085">
        <v>1325.2314452999999</v>
      </c>
      <c r="K2085">
        <v>2400</v>
      </c>
      <c r="L2085">
        <v>0</v>
      </c>
      <c r="M2085">
        <v>0</v>
      </c>
      <c r="N2085">
        <v>2400</v>
      </c>
    </row>
    <row r="2086" spans="1:14" x14ac:dyDescent="0.25">
      <c r="A2086">
        <v>1490.7592520000001</v>
      </c>
      <c r="B2086" s="1">
        <f>DATE(2014,5,30) + TIME(18,13,19)</f>
        <v>41789.759247685186</v>
      </c>
      <c r="C2086">
        <v>80</v>
      </c>
      <c r="D2086">
        <v>79.980834960999999</v>
      </c>
      <c r="E2086">
        <v>50</v>
      </c>
      <c r="F2086">
        <v>48.753768921000002</v>
      </c>
      <c r="G2086">
        <v>1339.7757568</v>
      </c>
      <c r="H2086">
        <v>1337.2027588000001</v>
      </c>
      <c r="I2086">
        <v>1327.0051269999999</v>
      </c>
      <c r="J2086">
        <v>1325.2266846</v>
      </c>
      <c r="K2086">
        <v>2400</v>
      </c>
      <c r="L2086">
        <v>0</v>
      </c>
      <c r="M2086">
        <v>0</v>
      </c>
      <c r="N2086">
        <v>2400</v>
      </c>
    </row>
    <row r="2087" spans="1:14" x14ac:dyDescent="0.25">
      <c r="A2087">
        <v>1491.397328</v>
      </c>
      <c r="B2087" s="1">
        <f>DATE(2014,5,31) + TIME(9,32,9)</f>
        <v>41790.397326388891</v>
      </c>
      <c r="C2087">
        <v>80</v>
      </c>
      <c r="D2087">
        <v>79.980827332000004</v>
      </c>
      <c r="E2087">
        <v>50</v>
      </c>
      <c r="F2087">
        <v>48.732902527</v>
      </c>
      <c r="G2087">
        <v>1339.7707519999999</v>
      </c>
      <c r="H2087">
        <v>1337.199707</v>
      </c>
      <c r="I2087">
        <v>1327.0020752</v>
      </c>
      <c r="J2087">
        <v>1325.2218018000001</v>
      </c>
      <c r="K2087">
        <v>2400</v>
      </c>
      <c r="L2087">
        <v>0</v>
      </c>
      <c r="M2087">
        <v>0</v>
      </c>
      <c r="N2087">
        <v>2400</v>
      </c>
    </row>
    <row r="2088" spans="1:14" x14ac:dyDescent="0.25">
      <c r="A2088">
        <v>1492</v>
      </c>
      <c r="B2088" s="1">
        <f>DATE(2014,6,1) + TIME(0,0,0)</f>
        <v>41791</v>
      </c>
      <c r="C2088">
        <v>80</v>
      </c>
      <c r="D2088">
        <v>79.980819702000005</v>
      </c>
      <c r="E2088">
        <v>50</v>
      </c>
      <c r="F2088">
        <v>48.712776183999999</v>
      </c>
      <c r="G2088">
        <v>1339.7658690999999</v>
      </c>
      <c r="H2088">
        <v>1337.1967772999999</v>
      </c>
      <c r="I2088">
        <v>1326.9990233999999</v>
      </c>
      <c r="J2088">
        <v>1325.2167969</v>
      </c>
      <c r="K2088">
        <v>2400</v>
      </c>
      <c r="L2088">
        <v>0</v>
      </c>
      <c r="M2088">
        <v>0</v>
      </c>
      <c r="N2088">
        <v>2400</v>
      </c>
    </row>
    <row r="2089" spans="1:14" x14ac:dyDescent="0.25">
      <c r="A2089">
        <v>1492.6490980000001</v>
      </c>
      <c r="B2089" s="1">
        <f>DATE(2014,6,1) + TIME(15,34,42)</f>
        <v>41791.649097222224</v>
      </c>
      <c r="C2089">
        <v>80</v>
      </c>
      <c r="D2089">
        <v>79.980812072999996</v>
      </c>
      <c r="E2089">
        <v>50</v>
      </c>
      <c r="F2089">
        <v>48.692058563000003</v>
      </c>
      <c r="G2089">
        <v>1339.7611084</v>
      </c>
      <c r="H2089">
        <v>1337.1938477000001</v>
      </c>
      <c r="I2089">
        <v>1326.9959716999999</v>
      </c>
      <c r="J2089">
        <v>1325.2119141000001</v>
      </c>
      <c r="K2089">
        <v>2400</v>
      </c>
      <c r="L2089">
        <v>0</v>
      </c>
      <c r="M2089">
        <v>0</v>
      </c>
      <c r="N2089">
        <v>2400</v>
      </c>
    </row>
    <row r="2090" spans="1:14" x14ac:dyDescent="0.25">
      <c r="A2090">
        <v>1493.324472</v>
      </c>
      <c r="B2090" s="1">
        <f>DATE(2014,6,2) + TIME(7,47,14)</f>
        <v>41792.324467592596</v>
      </c>
      <c r="C2090">
        <v>80</v>
      </c>
      <c r="D2090">
        <v>79.980804442999997</v>
      </c>
      <c r="E2090">
        <v>50</v>
      </c>
      <c r="F2090">
        <v>48.670856475999997</v>
      </c>
      <c r="G2090">
        <v>1339.7562256000001</v>
      </c>
      <c r="H2090">
        <v>1337.190918</v>
      </c>
      <c r="I2090">
        <v>1326.9926757999999</v>
      </c>
      <c r="J2090">
        <v>1325.2066649999999</v>
      </c>
      <c r="K2090">
        <v>2400</v>
      </c>
      <c r="L2090">
        <v>0</v>
      </c>
      <c r="M2090">
        <v>0</v>
      </c>
      <c r="N2090">
        <v>2400</v>
      </c>
    </row>
    <row r="2091" spans="1:14" x14ac:dyDescent="0.25">
      <c r="A2091">
        <v>1494.0160169999999</v>
      </c>
      <c r="B2091" s="1">
        <f>DATE(2014,6,3) + TIME(0,23,3)</f>
        <v>41793.016006944446</v>
      </c>
      <c r="C2091">
        <v>80</v>
      </c>
      <c r="D2091">
        <v>79.980796814000001</v>
      </c>
      <c r="E2091">
        <v>50</v>
      </c>
      <c r="F2091">
        <v>48.649280548</v>
      </c>
      <c r="G2091">
        <v>1339.7512207</v>
      </c>
      <c r="H2091">
        <v>1337.1878661999999</v>
      </c>
      <c r="I2091">
        <v>1326.9892577999999</v>
      </c>
      <c r="J2091">
        <v>1325.2011719</v>
      </c>
      <c r="K2091">
        <v>2400</v>
      </c>
      <c r="L2091">
        <v>0</v>
      </c>
      <c r="M2091">
        <v>0</v>
      </c>
      <c r="N2091">
        <v>2400</v>
      </c>
    </row>
    <row r="2092" spans="1:14" x14ac:dyDescent="0.25">
      <c r="A2092">
        <v>1494.726152</v>
      </c>
      <c r="B2092" s="1">
        <f>DATE(2014,6,3) + TIME(17,25,39)</f>
        <v>41793.726145833331</v>
      </c>
      <c r="C2092">
        <v>80</v>
      </c>
      <c r="D2092">
        <v>79.980796814000001</v>
      </c>
      <c r="E2092">
        <v>50</v>
      </c>
      <c r="F2092">
        <v>48.627323150999999</v>
      </c>
      <c r="G2092">
        <v>1339.7460937999999</v>
      </c>
      <c r="H2092">
        <v>1337.1846923999999</v>
      </c>
      <c r="I2092">
        <v>1326.9857178</v>
      </c>
      <c r="J2092">
        <v>1325.1954346</v>
      </c>
      <c r="K2092">
        <v>2400</v>
      </c>
      <c r="L2092">
        <v>0</v>
      </c>
      <c r="M2092">
        <v>0</v>
      </c>
      <c r="N2092">
        <v>2400</v>
      </c>
    </row>
    <row r="2093" spans="1:14" x14ac:dyDescent="0.25">
      <c r="A2093">
        <v>1495.457279</v>
      </c>
      <c r="B2093" s="1">
        <f>DATE(2014,6,4) + TIME(10,58,28)</f>
        <v>41794.457268518519</v>
      </c>
      <c r="C2093">
        <v>80</v>
      </c>
      <c r="D2093">
        <v>79.980789185000006</v>
      </c>
      <c r="E2093">
        <v>50</v>
      </c>
      <c r="F2093">
        <v>48.604946136000002</v>
      </c>
      <c r="G2093">
        <v>1339.7409668</v>
      </c>
      <c r="H2093">
        <v>1337.1816406</v>
      </c>
      <c r="I2093">
        <v>1326.9820557</v>
      </c>
      <c r="J2093">
        <v>1325.1894531</v>
      </c>
      <c r="K2093">
        <v>2400</v>
      </c>
      <c r="L2093">
        <v>0</v>
      </c>
      <c r="M2093">
        <v>0</v>
      </c>
      <c r="N2093">
        <v>2400</v>
      </c>
    </row>
    <row r="2094" spans="1:14" x14ac:dyDescent="0.25">
      <c r="A2094">
        <v>1496.196479</v>
      </c>
      <c r="B2094" s="1">
        <f>DATE(2014,6,5) + TIME(4,42,55)</f>
        <v>41795.196469907409</v>
      </c>
      <c r="C2094">
        <v>80</v>
      </c>
      <c r="D2094">
        <v>79.980781554999993</v>
      </c>
      <c r="E2094">
        <v>50</v>
      </c>
      <c r="F2094">
        <v>48.582366942999997</v>
      </c>
      <c r="G2094">
        <v>1339.7358397999999</v>
      </c>
      <c r="H2094">
        <v>1337.1784668</v>
      </c>
      <c r="I2094">
        <v>1326.9781493999999</v>
      </c>
      <c r="J2094">
        <v>1325.1832274999999</v>
      </c>
      <c r="K2094">
        <v>2400</v>
      </c>
      <c r="L2094">
        <v>0</v>
      </c>
      <c r="M2094">
        <v>0</v>
      </c>
      <c r="N2094">
        <v>2400</v>
      </c>
    </row>
    <row r="2095" spans="1:14" x14ac:dyDescent="0.25">
      <c r="A2095">
        <v>1496.938001</v>
      </c>
      <c r="B2095" s="1">
        <f>DATE(2014,6,5) + TIME(22,30,43)</f>
        <v>41795.937997685185</v>
      </c>
      <c r="C2095">
        <v>80</v>
      </c>
      <c r="D2095">
        <v>79.980773925999998</v>
      </c>
      <c r="E2095">
        <v>50</v>
      </c>
      <c r="F2095">
        <v>48.559764862000002</v>
      </c>
      <c r="G2095">
        <v>1339.7307129000001</v>
      </c>
      <c r="H2095">
        <v>1337.1754149999999</v>
      </c>
      <c r="I2095">
        <v>1326.9742432</v>
      </c>
      <c r="J2095">
        <v>1325.1767577999999</v>
      </c>
      <c r="K2095">
        <v>2400</v>
      </c>
      <c r="L2095">
        <v>0</v>
      </c>
      <c r="M2095">
        <v>0</v>
      </c>
      <c r="N2095">
        <v>2400</v>
      </c>
    </row>
    <row r="2096" spans="1:14" x14ac:dyDescent="0.25">
      <c r="A2096">
        <v>1497.6841019999999</v>
      </c>
      <c r="B2096" s="1">
        <f>DATE(2014,6,6) + TIME(16,25,6)</f>
        <v>41796.68409722222</v>
      </c>
      <c r="C2096">
        <v>80</v>
      </c>
      <c r="D2096">
        <v>79.980766295999999</v>
      </c>
      <c r="E2096">
        <v>50</v>
      </c>
      <c r="F2096">
        <v>48.537189484000002</v>
      </c>
      <c r="G2096">
        <v>1339.7255858999999</v>
      </c>
      <c r="H2096">
        <v>1337.1723632999999</v>
      </c>
      <c r="I2096">
        <v>1326.9700928</v>
      </c>
      <c r="J2096">
        <v>1325.1702881000001</v>
      </c>
      <c r="K2096">
        <v>2400</v>
      </c>
      <c r="L2096">
        <v>0</v>
      </c>
      <c r="M2096">
        <v>0</v>
      </c>
      <c r="N2096">
        <v>2400</v>
      </c>
    </row>
    <row r="2097" spans="1:14" x14ac:dyDescent="0.25">
      <c r="A2097">
        <v>1498.436931</v>
      </c>
      <c r="B2097" s="1">
        <f>DATE(2014,6,7) + TIME(10,29,10)</f>
        <v>41797.436921296299</v>
      </c>
      <c r="C2097">
        <v>80</v>
      </c>
      <c r="D2097">
        <v>79.980758667000003</v>
      </c>
      <c r="E2097">
        <v>50</v>
      </c>
      <c r="F2097">
        <v>48.514636993000003</v>
      </c>
      <c r="G2097">
        <v>1339.7205810999999</v>
      </c>
      <c r="H2097">
        <v>1337.1693115</v>
      </c>
      <c r="I2097">
        <v>1326.9660644999999</v>
      </c>
      <c r="J2097">
        <v>1325.1635742000001</v>
      </c>
      <c r="K2097">
        <v>2400</v>
      </c>
      <c r="L2097">
        <v>0</v>
      </c>
      <c r="M2097">
        <v>0</v>
      </c>
      <c r="N2097">
        <v>2400</v>
      </c>
    </row>
    <row r="2098" spans="1:14" x14ac:dyDescent="0.25">
      <c r="A2098">
        <v>1499.1986569999999</v>
      </c>
      <c r="B2098" s="1">
        <f>DATE(2014,6,8) + TIME(4,46,3)</f>
        <v>41798.198645833334</v>
      </c>
      <c r="C2098">
        <v>80</v>
      </c>
      <c r="D2098">
        <v>79.980751037999994</v>
      </c>
      <c r="E2098">
        <v>50</v>
      </c>
      <c r="F2098">
        <v>48.492088318</v>
      </c>
      <c r="G2098">
        <v>1339.7155762</v>
      </c>
      <c r="H2098">
        <v>1337.1662598</v>
      </c>
      <c r="I2098">
        <v>1326.9617920000001</v>
      </c>
      <c r="J2098">
        <v>1325.1567382999999</v>
      </c>
      <c r="K2098">
        <v>2400</v>
      </c>
      <c r="L2098">
        <v>0</v>
      </c>
      <c r="M2098">
        <v>0</v>
      </c>
      <c r="N2098">
        <v>2400</v>
      </c>
    </row>
    <row r="2099" spans="1:14" x14ac:dyDescent="0.25">
      <c r="A2099">
        <v>1499.9715180000001</v>
      </c>
      <c r="B2099" s="1">
        <f>DATE(2014,6,8) + TIME(23,18,59)</f>
        <v>41798.971516203703</v>
      </c>
      <c r="C2099">
        <v>80</v>
      </c>
      <c r="D2099">
        <v>79.980743407999995</v>
      </c>
      <c r="E2099">
        <v>50</v>
      </c>
      <c r="F2099">
        <v>48.469497681</v>
      </c>
      <c r="G2099">
        <v>1339.7105713000001</v>
      </c>
      <c r="H2099">
        <v>1337.1632079999999</v>
      </c>
      <c r="I2099">
        <v>1326.9573975000001</v>
      </c>
      <c r="J2099">
        <v>1325.1497803</v>
      </c>
      <c r="K2099">
        <v>2400</v>
      </c>
      <c r="L2099">
        <v>0</v>
      </c>
      <c r="M2099">
        <v>0</v>
      </c>
      <c r="N2099">
        <v>2400</v>
      </c>
    </row>
    <row r="2100" spans="1:14" x14ac:dyDescent="0.25">
      <c r="A2100">
        <v>1500.7531309999999</v>
      </c>
      <c r="B2100" s="1">
        <f>DATE(2014,6,9) + TIME(18,4,30)</f>
        <v>41799.753125000003</v>
      </c>
      <c r="C2100">
        <v>80</v>
      </c>
      <c r="D2100">
        <v>79.980743407999995</v>
      </c>
      <c r="E2100">
        <v>50</v>
      </c>
      <c r="F2100">
        <v>48.446903229</v>
      </c>
      <c r="G2100">
        <v>1339.7055664</v>
      </c>
      <c r="H2100">
        <v>1337.1602783000001</v>
      </c>
      <c r="I2100">
        <v>1326.9530029</v>
      </c>
      <c r="J2100">
        <v>1325.1425781</v>
      </c>
      <c r="K2100">
        <v>2400</v>
      </c>
      <c r="L2100">
        <v>0</v>
      </c>
      <c r="M2100">
        <v>0</v>
      </c>
      <c r="N2100">
        <v>2400</v>
      </c>
    </row>
    <row r="2101" spans="1:14" x14ac:dyDescent="0.25">
      <c r="A2101">
        <v>1501.5436119999999</v>
      </c>
      <c r="B2101" s="1">
        <f>DATE(2014,6,10) + TIME(13,2,48)</f>
        <v>41800.543611111112</v>
      </c>
      <c r="C2101">
        <v>80</v>
      </c>
      <c r="D2101">
        <v>79.980735779</v>
      </c>
      <c r="E2101">
        <v>50</v>
      </c>
      <c r="F2101">
        <v>48.424308777</v>
      </c>
      <c r="G2101">
        <v>1339.7005615</v>
      </c>
      <c r="H2101">
        <v>1337.1572266000001</v>
      </c>
      <c r="I2101">
        <v>1326.9483643000001</v>
      </c>
      <c r="J2101">
        <v>1325.1352539</v>
      </c>
      <c r="K2101">
        <v>2400</v>
      </c>
      <c r="L2101">
        <v>0</v>
      </c>
      <c r="M2101">
        <v>0</v>
      </c>
      <c r="N2101">
        <v>2400</v>
      </c>
    </row>
    <row r="2102" spans="1:14" x14ac:dyDescent="0.25">
      <c r="A2102">
        <v>1502.3450660000001</v>
      </c>
      <c r="B2102" s="1">
        <f>DATE(2014,6,11) + TIME(8,16,53)</f>
        <v>41801.345057870371</v>
      </c>
      <c r="C2102">
        <v>80</v>
      </c>
      <c r="D2102">
        <v>79.980728149000001</v>
      </c>
      <c r="E2102">
        <v>50</v>
      </c>
      <c r="F2102">
        <v>48.401699065999999</v>
      </c>
      <c r="G2102">
        <v>1339.6955565999999</v>
      </c>
      <c r="H2102">
        <v>1337.1542969</v>
      </c>
      <c r="I2102">
        <v>1326.9437256000001</v>
      </c>
      <c r="J2102">
        <v>1325.1276855000001</v>
      </c>
      <c r="K2102">
        <v>2400</v>
      </c>
      <c r="L2102">
        <v>0</v>
      </c>
      <c r="M2102">
        <v>0</v>
      </c>
      <c r="N2102">
        <v>2400</v>
      </c>
    </row>
    <row r="2103" spans="1:14" x14ac:dyDescent="0.25">
      <c r="A2103">
        <v>1503.1596480000001</v>
      </c>
      <c r="B2103" s="1">
        <f>DATE(2014,6,12) + TIME(3,49,53)</f>
        <v>41802.159641203703</v>
      </c>
      <c r="C2103">
        <v>80</v>
      </c>
      <c r="D2103">
        <v>79.980720520000006</v>
      </c>
      <c r="E2103">
        <v>50</v>
      </c>
      <c r="F2103">
        <v>48.379051208</v>
      </c>
      <c r="G2103">
        <v>1339.6906738</v>
      </c>
      <c r="H2103">
        <v>1337.1513672000001</v>
      </c>
      <c r="I2103">
        <v>1326.9388428</v>
      </c>
      <c r="J2103">
        <v>1325.1199951000001</v>
      </c>
      <c r="K2103">
        <v>2400</v>
      </c>
      <c r="L2103">
        <v>0</v>
      </c>
      <c r="M2103">
        <v>0</v>
      </c>
      <c r="N2103">
        <v>2400</v>
      </c>
    </row>
    <row r="2104" spans="1:14" x14ac:dyDescent="0.25">
      <c r="A2104">
        <v>1503.9896739999999</v>
      </c>
      <c r="B2104" s="1">
        <f>DATE(2014,6,12) + TIME(23,45,7)</f>
        <v>41802.989664351851</v>
      </c>
      <c r="C2104">
        <v>80</v>
      </c>
      <c r="D2104">
        <v>79.980720520000006</v>
      </c>
      <c r="E2104">
        <v>50</v>
      </c>
      <c r="F2104">
        <v>48.356319427000003</v>
      </c>
      <c r="G2104">
        <v>1339.6856689000001</v>
      </c>
      <c r="H2104">
        <v>1337.1483154</v>
      </c>
      <c r="I2104">
        <v>1326.9339600000001</v>
      </c>
      <c r="J2104">
        <v>1325.1119385</v>
      </c>
      <c r="K2104">
        <v>2400</v>
      </c>
      <c r="L2104">
        <v>0</v>
      </c>
      <c r="M2104">
        <v>0</v>
      </c>
      <c r="N2104">
        <v>2400</v>
      </c>
    </row>
    <row r="2105" spans="1:14" x14ac:dyDescent="0.25">
      <c r="A2105">
        <v>1504.8377</v>
      </c>
      <c r="B2105" s="1">
        <f>DATE(2014,6,13) + TIME(20,6,17)</f>
        <v>41803.837696759256</v>
      </c>
      <c r="C2105">
        <v>80</v>
      </c>
      <c r="D2105">
        <v>79.980712890999996</v>
      </c>
      <c r="E2105">
        <v>50</v>
      </c>
      <c r="F2105">
        <v>48.333473206000001</v>
      </c>
      <c r="G2105">
        <v>1339.6807861</v>
      </c>
      <c r="H2105">
        <v>1337.1453856999999</v>
      </c>
      <c r="I2105">
        <v>1326.9288329999999</v>
      </c>
      <c r="J2105">
        <v>1325.1037598</v>
      </c>
      <c r="K2105">
        <v>2400</v>
      </c>
      <c r="L2105">
        <v>0</v>
      </c>
      <c r="M2105">
        <v>0</v>
      </c>
      <c r="N2105">
        <v>2400</v>
      </c>
    </row>
    <row r="2106" spans="1:14" x14ac:dyDescent="0.25">
      <c r="A2106">
        <v>1505.7063860000001</v>
      </c>
      <c r="B2106" s="1">
        <f>DATE(2014,6,14) + TIME(16,57,11)</f>
        <v>41804.706377314818</v>
      </c>
      <c r="C2106">
        <v>80</v>
      </c>
      <c r="D2106">
        <v>79.980705260999997</v>
      </c>
      <c r="E2106">
        <v>50</v>
      </c>
      <c r="F2106">
        <v>48.310462952000002</v>
      </c>
      <c r="G2106">
        <v>1339.6757812000001</v>
      </c>
      <c r="H2106">
        <v>1337.1423339999999</v>
      </c>
      <c r="I2106">
        <v>1326.9235839999999</v>
      </c>
      <c r="J2106">
        <v>1325.0953368999999</v>
      </c>
      <c r="K2106">
        <v>2400</v>
      </c>
      <c r="L2106">
        <v>0</v>
      </c>
      <c r="M2106">
        <v>0</v>
      </c>
      <c r="N2106">
        <v>2400</v>
      </c>
    </row>
    <row r="2107" spans="1:14" x14ac:dyDescent="0.25">
      <c r="A2107">
        <v>1506.5936810000001</v>
      </c>
      <c r="B2107" s="1">
        <f>DATE(2014,6,15) + TIME(14,14,54)</f>
        <v>41805.593680555554</v>
      </c>
      <c r="C2107">
        <v>80</v>
      </c>
      <c r="D2107">
        <v>79.980697632000002</v>
      </c>
      <c r="E2107">
        <v>50</v>
      </c>
      <c r="F2107">
        <v>48.287319183000001</v>
      </c>
      <c r="G2107">
        <v>1339.6706543</v>
      </c>
      <c r="H2107">
        <v>1337.1392822</v>
      </c>
      <c r="I2107">
        <v>1326.9182129000001</v>
      </c>
      <c r="J2107">
        <v>1325.0865478999999</v>
      </c>
      <c r="K2107">
        <v>2400</v>
      </c>
      <c r="L2107">
        <v>0</v>
      </c>
      <c r="M2107">
        <v>0</v>
      </c>
      <c r="N2107">
        <v>2400</v>
      </c>
    </row>
    <row r="2108" spans="1:14" x14ac:dyDescent="0.25">
      <c r="A2108">
        <v>1507.4863069999999</v>
      </c>
      <c r="B2108" s="1">
        <f>DATE(2014,6,16) + TIME(11,40,16)</f>
        <v>41806.486296296294</v>
      </c>
      <c r="C2108">
        <v>80</v>
      </c>
      <c r="D2108">
        <v>79.980697632000002</v>
      </c>
      <c r="E2108">
        <v>50</v>
      </c>
      <c r="F2108">
        <v>48.264232634999999</v>
      </c>
      <c r="G2108">
        <v>1339.6656493999999</v>
      </c>
      <c r="H2108">
        <v>1337.1362305</v>
      </c>
      <c r="I2108">
        <v>1326.9125977000001</v>
      </c>
      <c r="J2108">
        <v>1325.0775146000001</v>
      </c>
      <c r="K2108">
        <v>2400</v>
      </c>
      <c r="L2108">
        <v>0</v>
      </c>
      <c r="M2108">
        <v>0</v>
      </c>
      <c r="N2108">
        <v>2400</v>
      </c>
    </row>
    <row r="2109" spans="1:14" x14ac:dyDescent="0.25">
      <c r="A2109">
        <v>1508.387054</v>
      </c>
      <c r="B2109" s="1">
        <f>DATE(2014,6,17) + TIME(9,17,21)</f>
        <v>41807.387048611112</v>
      </c>
      <c r="C2109">
        <v>80</v>
      </c>
      <c r="D2109">
        <v>79.980690002000003</v>
      </c>
      <c r="E2109">
        <v>50</v>
      </c>
      <c r="F2109">
        <v>48.241279601999999</v>
      </c>
      <c r="G2109">
        <v>1339.6605225000001</v>
      </c>
      <c r="H2109">
        <v>1337.1333007999999</v>
      </c>
      <c r="I2109">
        <v>1326.9068603999999</v>
      </c>
      <c r="J2109">
        <v>1325.0682373</v>
      </c>
      <c r="K2109">
        <v>2400</v>
      </c>
      <c r="L2109">
        <v>0</v>
      </c>
      <c r="M2109">
        <v>0</v>
      </c>
      <c r="N2109">
        <v>2400</v>
      </c>
    </row>
    <row r="2110" spans="1:14" x14ac:dyDescent="0.25">
      <c r="A2110">
        <v>1509.2987330000001</v>
      </c>
      <c r="B2110" s="1">
        <f>DATE(2014,6,18) + TIME(7,10,10)</f>
        <v>41808.298726851855</v>
      </c>
      <c r="C2110">
        <v>80</v>
      </c>
      <c r="D2110">
        <v>79.980682372999993</v>
      </c>
      <c r="E2110">
        <v>50</v>
      </c>
      <c r="F2110">
        <v>48.218475341999998</v>
      </c>
      <c r="G2110">
        <v>1339.6555175999999</v>
      </c>
      <c r="H2110">
        <v>1337.130249</v>
      </c>
      <c r="I2110">
        <v>1326.901001</v>
      </c>
      <c r="J2110">
        <v>1325.0587158000001</v>
      </c>
      <c r="K2110">
        <v>2400</v>
      </c>
      <c r="L2110">
        <v>0</v>
      </c>
      <c r="M2110">
        <v>0</v>
      </c>
      <c r="N2110">
        <v>2400</v>
      </c>
    </row>
    <row r="2111" spans="1:14" x14ac:dyDescent="0.25">
      <c r="A2111">
        <v>1510.2242329999999</v>
      </c>
      <c r="B2111" s="1">
        <f>DATE(2014,6,19) + TIME(5,22,53)</f>
        <v>41809.224224537036</v>
      </c>
      <c r="C2111">
        <v>80</v>
      </c>
      <c r="D2111">
        <v>79.980682372999993</v>
      </c>
      <c r="E2111">
        <v>50</v>
      </c>
      <c r="F2111">
        <v>48.195804596000002</v>
      </c>
      <c r="G2111">
        <v>1339.6505127</v>
      </c>
      <c r="H2111">
        <v>1337.1273193</v>
      </c>
      <c r="I2111">
        <v>1326.8950195</v>
      </c>
      <c r="J2111">
        <v>1325.0490723</v>
      </c>
      <c r="K2111">
        <v>2400</v>
      </c>
      <c r="L2111">
        <v>0</v>
      </c>
      <c r="M2111">
        <v>0</v>
      </c>
      <c r="N2111">
        <v>2400</v>
      </c>
    </row>
    <row r="2112" spans="1:14" x14ac:dyDescent="0.25">
      <c r="A2112">
        <v>1511.166573</v>
      </c>
      <c r="B2112" s="1">
        <f>DATE(2014,6,20) + TIME(3,59,51)</f>
        <v>41810.166562500002</v>
      </c>
      <c r="C2112">
        <v>80</v>
      </c>
      <c r="D2112">
        <v>79.980674743999998</v>
      </c>
      <c r="E2112">
        <v>50</v>
      </c>
      <c r="F2112">
        <v>48.173248291</v>
      </c>
      <c r="G2112">
        <v>1339.6456298999999</v>
      </c>
      <c r="H2112">
        <v>1337.1242675999999</v>
      </c>
      <c r="I2112">
        <v>1326.8887939000001</v>
      </c>
      <c r="J2112">
        <v>1325.0391846</v>
      </c>
      <c r="K2112">
        <v>2400</v>
      </c>
      <c r="L2112">
        <v>0</v>
      </c>
      <c r="M2112">
        <v>0</v>
      </c>
      <c r="N2112">
        <v>2400</v>
      </c>
    </row>
    <row r="2113" spans="1:14" x14ac:dyDescent="0.25">
      <c r="A2113">
        <v>1512.1286660000001</v>
      </c>
      <c r="B2113" s="1">
        <f>DATE(2014,6,21) + TIME(3,5,16)</f>
        <v>41811.128657407404</v>
      </c>
      <c r="C2113">
        <v>80</v>
      </c>
      <c r="D2113">
        <v>79.980667113999999</v>
      </c>
      <c r="E2113">
        <v>50</v>
      </c>
      <c r="F2113">
        <v>48.150775908999996</v>
      </c>
      <c r="G2113">
        <v>1339.6405029</v>
      </c>
      <c r="H2113">
        <v>1337.1212158000001</v>
      </c>
      <c r="I2113">
        <v>1326.8825684000001</v>
      </c>
      <c r="J2113">
        <v>1325.0290527</v>
      </c>
      <c r="K2113">
        <v>2400</v>
      </c>
      <c r="L2113">
        <v>0</v>
      </c>
      <c r="M2113">
        <v>0</v>
      </c>
      <c r="N2113">
        <v>2400</v>
      </c>
    </row>
    <row r="2114" spans="1:14" x14ac:dyDescent="0.25">
      <c r="A2114">
        <v>1513.0989790000001</v>
      </c>
      <c r="B2114" s="1">
        <f>DATE(2014,6,22) + TIME(2,22,31)</f>
        <v>41812.098969907405</v>
      </c>
      <c r="C2114">
        <v>80</v>
      </c>
      <c r="D2114">
        <v>79.980667113999999</v>
      </c>
      <c r="E2114">
        <v>50</v>
      </c>
      <c r="F2114">
        <v>48.128528594999999</v>
      </c>
      <c r="G2114">
        <v>1339.6354980000001</v>
      </c>
      <c r="H2114">
        <v>1337.1182861</v>
      </c>
      <c r="I2114">
        <v>1326.8760986</v>
      </c>
      <c r="J2114">
        <v>1325.0185547000001</v>
      </c>
      <c r="K2114">
        <v>2400</v>
      </c>
      <c r="L2114">
        <v>0</v>
      </c>
      <c r="M2114">
        <v>0</v>
      </c>
      <c r="N2114">
        <v>2400</v>
      </c>
    </row>
    <row r="2115" spans="1:14" x14ac:dyDescent="0.25">
      <c r="A2115">
        <v>1514.080416</v>
      </c>
      <c r="B2115" s="1">
        <f>DATE(2014,6,23) + TIME(1,55,47)</f>
        <v>41813.080405092594</v>
      </c>
      <c r="C2115">
        <v>80</v>
      </c>
      <c r="D2115">
        <v>79.980659485000004</v>
      </c>
      <c r="E2115">
        <v>50</v>
      </c>
      <c r="F2115">
        <v>48.106563567999999</v>
      </c>
      <c r="G2115">
        <v>1339.6304932</v>
      </c>
      <c r="H2115">
        <v>1337.1152344</v>
      </c>
      <c r="I2115">
        <v>1326.8693848</v>
      </c>
      <c r="J2115">
        <v>1325.0078125</v>
      </c>
      <c r="K2115">
        <v>2400</v>
      </c>
      <c r="L2115">
        <v>0</v>
      </c>
      <c r="M2115">
        <v>0</v>
      </c>
      <c r="N2115">
        <v>2400</v>
      </c>
    </row>
    <row r="2116" spans="1:14" x14ac:dyDescent="0.25">
      <c r="A2116">
        <v>1515.075844</v>
      </c>
      <c r="B2116" s="1">
        <f>DATE(2014,6,24) + TIME(1,49,12)</f>
        <v>41814.075833333336</v>
      </c>
      <c r="C2116">
        <v>80</v>
      </c>
      <c r="D2116">
        <v>79.980659485000004</v>
      </c>
      <c r="E2116">
        <v>50</v>
      </c>
      <c r="F2116">
        <v>48.084911345999998</v>
      </c>
      <c r="G2116">
        <v>1339.6254882999999</v>
      </c>
      <c r="H2116">
        <v>1337.1121826000001</v>
      </c>
      <c r="I2116">
        <v>1326.8626709</v>
      </c>
      <c r="J2116">
        <v>1324.9969481999999</v>
      </c>
      <c r="K2116">
        <v>2400</v>
      </c>
      <c r="L2116">
        <v>0</v>
      </c>
      <c r="M2116">
        <v>0</v>
      </c>
      <c r="N2116">
        <v>2400</v>
      </c>
    </row>
    <row r="2117" spans="1:14" x14ac:dyDescent="0.25">
      <c r="A2117">
        <v>1516.0882039999999</v>
      </c>
      <c r="B2117" s="1">
        <f>DATE(2014,6,25) + TIME(2,7,0)</f>
        <v>41815.088194444441</v>
      </c>
      <c r="C2117">
        <v>80</v>
      </c>
      <c r="D2117">
        <v>79.980651855000005</v>
      </c>
      <c r="E2117">
        <v>50</v>
      </c>
      <c r="F2117">
        <v>48.063571930000002</v>
      </c>
      <c r="G2117">
        <v>1339.6204834</v>
      </c>
      <c r="H2117">
        <v>1337.1092529</v>
      </c>
      <c r="I2117">
        <v>1326.8558350000001</v>
      </c>
      <c r="J2117">
        <v>1324.9857178</v>
      </c>
      <c r="K2117">
        <v>2400</v>
      </c>
      <c r="L2117">
        <v>0</v>
      </c>
      <c r="M2117">
        <v>0</v>
      </c>
      <c r="N2117">
        <v>2400</v>
      </c>
    </row>
    <row r="2118" spans="1:14" x14ac:dyDescent="0.25">
      <c r="A2118">
        <v>1517.114673</v>
      </c>
      <c r="B2118" s="1">
        <f>DATE(2014,6,26) + TIME(2,45,7)</f>
        <v>41816.114664351851</v>
      </c>
      <c r="C2118">
        <v>80</v>
      </c>
      <c r="D2118">
        <v>79.980651855000005</v>
      </c>
      <c r="E2118">
        <v>50</v>
      </c>
      <c r="F2118">
        <v>48.042606354</v>
      </c>
      <c r="G2118">
        <v>1339.6154785000001</v>
      </c>
      <c r="H2118">
        <v>1337.1062012</v>
      </c>
      <c r="I2118">
        <v>1326.8487548999999</v>
      </c>
      <c r="J2118">
        <v>1324.9742432</v>
      </c>
      <c r="K2118">
        <v>2400</v>
      </c>
      <c r="L2118">
        <v>0</v>
      </c>
      <c r="M2118">
        <v>0</v>
      </c>
      <c r="N2118">
        <v>2400</v>
      </c>
    </row>
    <row r="2119" spans="1:14" x14ac:dyDescent="0.25">
      <c r="A2119">
        <v>1518.15437</v>
      </c>
      <c r="B2119" s="1">
        <f>DATE(2014,6,27) + TIME(3,42,17)</f>
        <v>41817.154363425929</v>
      </c>
      <c r="C2119">
        <v>80</v>
      </c>
      <c r="D2119">
        <v>79.980644225999995</v>
      </c>
      <c r="E2119">
        <v>50</v>
      </c>
      <c r="F2119">
        <v>48.022083281999997</v>
      </c>
      <c r="G2119">
        <v>1339.6104736</v>
      </c>
      <c r="H2119">
        <v>1337.1031493999999</v>
      </c>
      <c r="I2119">
        <v>1326.8415527</v>
      </c>
      <c r="J2119">
        <v>1324.9625243999999</v>
      </c>
      <c r="K2119">
        <v>2400</v>
      </c>
      <c r="L2119">
        <v>0</v>
      </c>
      <c r="M2119">
        <v>0</v>
      </c>
      <c r="N2119">
        <v>2400</v>
      </c>
    </row>
    <row r="2120" spans="1:14" x14ac:dyDescent="0.25">
      <c r="A2120">
        <v>1519.210284</v>
      </c>
      <c r="B2120" s="1">
        <f>DATE(2014,6,28) + TIME(5,2,48)</f>
        <v>41818.210277777776</v>
      </c>
      <c r="C2120">
        <v>80</v>
      </c>
      <c r="D2120">
        <v>79.980644225999995</v>
      </c>
      <c r="E2120">
        <v>50</v>
      </c>
      <c r="F2120">
        <v>48.002052307</v>
      </c>
      <c r="G2120">
        <v>1339.6054687999999</v>
      </c>
      <c r="H2120">
        <v>1337.1002197</v>
      </c>
      <c r="I2120">
        <v>1326.8341064000001</v>
      </c>
      <c r="J2120">
        <v>1324.9505615</v>
      </c>
      <c r="K2120">
        <v>2400</v>
      </c>
      <c r="L2120">
        <v>0</v>
      </c>
      <c r="M2120">
        <v>0</v>
      </c>
      <c r="N2120">
        <v>2400</v>
      </c>
    </row>
    <row r="2121" spans="1:14" x14ac:dyDescent="0.25">
      <c r="A2121">
        <v>1520.285408</v>
      </c>
      <c r="B2121" s="1">
        <f>DATE(2014,6,29) + TIME(6,50,59)</f>
        <v>41819.285405092596</v>
      </c>
      <c r="C2121">
        <v>80</v>
      </c>
      <c r="D2121">
        <v>79.980636597</v>
      </c>
      <c r="E2121">
        <v>50</v>
      </c>
      <c r="F2121">
        <v>47.982540131</v>
      </c>
      <c r="G2121">
        <v>1339.6004639</v>
      </c>
      <c r="H2121">
        <v>1337.097168</v>
      </c>
      <c r="I2121">
        <v>1326.8266602000001</v>
      </c>
      <c r="J2121">
        <v>1324.9383545000001</v>
      </c>
      <c r="K2121">
        <v>2400</v>
      </c>
      <c r="L2121">
        <v>0</v>
      </c>
      <c r="M2121">
        <v>0</v>
      </c>
      <c r="N2121">
        <v>2400</v>
      </c>
    </row>
    <row r="2122" spans="1:14" x14ac:dyDescent="0.25">
      <c r="A2122">
        <v>1521.374724</v>
      </c>
      <c r="B2122" s="1">
        <f>DATE(2014,6,30) + TIME(8,59,36)</f>
        <v>41820.374722222223</v>
      </c>
      <c r="C2122">
        <v>80</v>
      </c>
      <c r="D2122">
        <v>79.980636597</v>
      </c>
      <c r="E2122">
        <v>50</v>
      </c>
      <c r="F2122">
        <v>47.963645935000002</v>
      </c>
      <c r="G2122">
        <v>1339.5954589999999</v>
      </c>
      <c r="H2122">
        <v>1337.0941161999999</v>
      </c>
      <c r="I2122">
        <v>1326.8189697</v>
      </c>
      <c r="J2122">
        <v>1324.9257812000001</v>
      </c>
      <c r="K2122">
        <v>2400</v>
      </c>
      <c r="L2122">
        <v>0</v>
      </c>
      <c r="M2122">
        <v>0</v>
      </c>
      <c r="N2122">
        <v>2400</v>
      </c>
    </row>
    <row r="2123" spans="1:14" x14ac:dyDescent="0.25">
      <c r="A2123">
        <v>1522</v>
      </c>
      <c r="B2123" s="1">
        <f>DATE(2014,7,1) + TIME(0,0,0)</f>
        <v>41821</v>
      </c>
      <c r="C2123">
        <v>80</v>
      </c>
      <c r="D2123">
        <v>79.980628967000001</v>
      </c>
      <c r="E2123">
        <v>50</v>
      </c>
      <c r="F2123">
        <v>47.949974060000002</v>
      </c>
      <c r="G2123">
        <v>1339.5906981999999</v>
      </c>
      <c r="H2123">
        <v>1337.0913086</v>
      </c>
      <c r="I2123">
        <v>1326.8116454999999</v>
      </c>
      <c r="J2123">
        <v>1324.9138184000001</v>
      </c>
      <c r="K2123">
        <v>2400</v>
      </c>
      <c r="L2123">
        <v>0</v>
      </c>
      <c r="M2123">
        <v>0</v>
      </c>
      <c r="N2123">
        <v>2400</v>
      </c>
    </row>
    <row r="2124" spans="1:14" x14ac:dyDescent="0.25">
      <c r="A2124">
        <v>1523.0996150000001</v>
      </c>
      <c r="B2124" s="1">
        <f>DATE(2014,7,2) + TIME(2,23,26)</f>
        <v>41822.099606481483</v>
      </c>
      <c r="C2124">
        <v>80</v>
      </c>
      <c r="D2124">
        <v>79.980628967000001</v>
      </c>
      <c r="E2124">
        <v>50</v>
      </c>
      <c r="F2124">
        <v>47.934257506999998</v>
      </c>
      <c r="G2124">
        <v>1339.5874022999999</v>
      </c>
      <c r="H2124">
        <v>1337.0892334</v>
      </c>
      <c r="I2124">
        <v>1326.8059082</v>
      </c>
      <c r="J2124">
        <v>1324.9045410000001</v>
      </c>
      <c r="K2124">
        <v>2400</v>
      </c>
      <c r="L2124">
        <v>0</v>
      </c>
      <c r="M2124">
        <v>0</v>
      </c>
      <c r="N2124">
        <v>2400</v>
      </c>
    </row>
    <row r="2125" spans="1:14" x14ac:dyDescent="0.25">
      <c r="A2125">
        <v>1524.222839</v>
      </c>
      <c r="B2125" s="1">
        <f>DATE(2014,7,3) + TIME(5,20,53)</f>
        <v>41823.22283564815</v>
      </c>
      <c r="C2125">
        <v>80</v>
      </c>
      <c r="D2125">
        <v>79.980621338000006</v>
      </c>
      <c r="E2125">
        <v>50</v>
      </c>
      <c r="F2125">
        <v>47.918315886999999</v>
      </c>
      <c r="G2125">
        <v>1339.5825195</v>
      </c>
      <c r="H2125">
        <v>1337.0863036999999</v>
      </c>
      <c r="I2125">
        <v>1326.7982178</v>
      </c>
      <c r="J2125">
        <v>1324.8920897999999</v>
      </c>
      <c r="K2125">
        <v>2400</v>
      </c>
      <c r="L2125">
        <v>0</v>
      </c>
      <c r="M2125">
        <v>0</v>
      </c>
      <c r="N2125">
        <v>2400</v>
      </c>
    </row>
    <row r="2126" spans="1:14" x14ac:dyDescent="0.25">
      <c r="A2126">
        <v>1525.3653529999999</v>
      </c>
      <c r="B2126" s="1">
        <f>DATE(2014,7,4) + TIME(8,46,6)</f>
        <v>41824.365347222221</v>
      </c>
      <c r="C2126">
        <v>80</v>
      </c>
      <c r="D2126">
        <v>79.980621338000006</v>
      </c>
      <c r="E2126">
        <v>50</v>
      </c>
      <c r="F2126">
        <v>47.902812957999998</v>
      </c>
      <c r="G2126">
        <v>1339.5775146000001</v>
      </c>
      <c r="H2126">
        <v>1337.083374</v>
      </c>
      <c r="I2126">
        <v>1326.7901611</v>
      </c>
      <c r="J2126">
        <v>1324.8789062000001</v>
      </c>
      <c r="K2126">
        <v>2400</v>
      </c>
      <c r="L2126">
        <v>0</v>
      </c>
      <c r="M2126">
        <v>0</v>
      </c>
      <c r="N2126">
        <v>2400</v>
      </c>
    </row>
    <row r="2127" spans="1:14" x14ac:dyDescent="0.25">
      <c r="A2127">
        <v>1526.531187</v>
      </c>
      <c r="B2127" s="1">
        <f>DATE(2014,7,5) + TIME(12,44,54)</f>
        <v>41825.531180555554</v>
      </c>
      <c r="C2127">
        <v>80</v>
      </c>
      <c r="D2127">
        <v>79.980621338000006</v>
      </c>
      <c r="E2127">
        <v>50</v>
      </c>
      <c r="F2127">
        <v>47.888103485000002</v>
      </c>
      <c r="G2127">
        <v>1339.5725098</v>
      </c>
      <c r="H2127">
        <v>1337.0803223</v>
      </c>
      <c r="I2127">
        <v>1326.7818603999999</v>
      </c>
      <c r="J2127">
        <v>1324.8652344</v>
      </c>
      <c r="K2127">
        <v>2400</v>
      </c>
      <c r="L2127">
        <v>0</v>
      </c>
      <c r="M2127">
        <v>0</v>
      </c>
      <c r="N2127">
        <v>2400</v>
      </c>
    </row>
    <row r="2128" spans="1:14" x14ac:dyDescent="0.25">
      <c r="A2128">
        <v>1527.7240690000001</v>
      </c>
      <c r="B2128" s="1">
        <f>DATE(2014,7,6) + TIME(17,22,39)</f>
        <v>41826.724062499998</v>
      </c>
      <c r="C2128">
        <v>80</v>
      </c>
      <c r="D2128">
        <v>79.980613708000007</v>
      </c>
      <c r="E2128">
        <v>50</v>
      </c>
      <c r="F2128">
        <v>47.874397278000004</v>
      </c>
      <c r="G2128">
        <v>1339.5675048999999</v>
      </c>
      <c r="H2128">
        <v>1337.0772704999999</v>
      </c>
      <c r="I2128">
        <v>1326.7733154</v>
      </c>
      <c r="J2128">
        <v>1324.8511963000001</v>
      </c>
      <c r="K2128">
        <v>2400</v>
      </c>
      <c r="L2128">
        <v>0</v>
      </c>
      <c r="M2128">
        <v>0</v>
      </c>
      <c r="N2128">
        <v>2400</v>
      </c>
    </row>
    <row r="2129" spans="1:14" x14ac:dyDescent="0.25">
      <c r="A2129">
        <v>1528.923188</v>
      </c>
      <c r="B2129" s="1">
        <f>DATE(2014,7,7) + TIME(22,9,23)</f>
        <v>41827.923182870371</v>
      </c>
      <c r="C2129">
        <v>80</v>
      </c>
      <c r="D2129">
        <v>79.980613708000007</v>
      </c>
      <c r="E2129">
        <v>50</v>
      </c>
      <c r="F2129">
        <v>47.861965179000002</v>
      </c>
      <c r="G2129">
        <v>1339.5623779</v>
      </c>
      <c r="H2129">
        <v>1337.0740966999999</v>
      </c>
      <c r="I2129">
        <v>1326.7646483999999</v>
      </c>
      <c r="J2129">
        <v>1324.8369141000001</v>
      </c>
      <c r="K2129">
        <v>2400</v>
      </c>
      <c r="L2129">
        <v>0</v>
      </c>
      <c r="M2129">
        <v>0</v>
      </c>
      <c r="N2129">
        <v>2400</v>
      </c>
    </row>
    <row r="2130" spans="1:14" x14ac:dyDescent="0.25">
      <c r="A2130">
        <v>1530.1320909999999</v>
      </c>
      <c r="B2130" s="1">
        <f>DATE(2014,7,9) + TIME(3,10,12)</f>
        <v>41829.13208333333</v>
      </c>
      <c r="C2130">
        <v>80</v>
      </c>
      <c r="D2130">
        <v>79.980613708000007</v>
      </c>
      <c r="E2130">
        <v>50</v>
      </c>
      <c r="F2130">
        <v>47.851016997999999</v>
      </c>
      <c r="G2130">
        <v>1339.5573730000001</v>
      </c>
      <c r="H2130">
        <v>1337.0710449000001</v>
      </c>
      <c r="I2130">
        <v>1326.7557373</v>
      </c>
      <c r="J2130">
        <v>1324.8222656</v>
      </c>
      <c r="K2130">
        <v>2400</v>
      </c>
      <c r="L2130">
        <v>0</v>
      </c>
      <c r="M2130">
        <v>0</v>
      </c>
      <c r="N2130">
        <v>2400</v>
      </c>
    </row>
    <row r="2131" spans="1:14" x14ac:dyDescent="0.25">
      <c r="A2131">
        <v>1531.354196</v>
      </c>
      <c r="B2131" s="1">
        <f>DATE(2014,7,10) + TIME(8,30,2)</f>
        <v>41830.354189814818</v>
      </c>
      <c r="C2131">
        <v>80</v>
      </c>
      <c r="D2131">
        <v>79.980606078999998</v>
      </c>
      <c r="E2131">
        <v>50</v>
      </c>
      <c r="F2131">
        <v>47.841693878000001</v>
      </c>
      <c r="G2131">
        <v>1339.5523682</v>
      </c>
      <c r="H2131">
        <v>1337.0679932</v>
      </c>
      <c r="I2131">
        <v>1326.7468262</v>
      </c>
      <c r="J2131">
        <v>1324.8074951000001</v>
      </c>
      <c r="K2131">
        <v>2400</v>
      </c>
      <c r="L2131">
        <v>0</v>
      </c>
      <c r="M2131">
        <v>0</v>
      </c>
      <c r="N2131">
        <v>2400</v>
      </c>
    </row>
    <row r="2132" spans="1:14" x14ac:dyDescent="0.25">
      <c r="A2132">
        <v>1532.592758</v>
      </c>
      <c r="B2132" s="1">
        <f>DATE(2014,7,11) + TIME(14,13,34)</f>
        <v>41831.59275462963</v>
      </c>
      <c r="C2132">
        <v>80</v>
      </c>
      <c r="D2132">
        <v>79.980606078999998</v>
      </c>
      <c r="E2132">
        <v>50</v>
      </c>
      <c r="F2132">
        <v>47.834133147999999</v>
      </c>
      <c r="G2132">
        <v>1339.5472411999999</v>
      </c>
      <c r="H2132">
        <v>1337.0649414</v>
      </c>
      <c r="I2132">
        <v>1326.7376709</v>
      </c>
      <c r="J2132">
        <v>1324.7924805</v>
      </c>
      <c r="K2132">
        <v>2400</v>
      </c>
      <c r="L2132">
        <v>0</v>
      </c>
      <c r="M2132">
        <v>0</v>
      </c>
      <c r="N2132">
        <v>2400</v>
      </c>
    </row>
    <row r="2133" spans="1:14" x14ac:dyDescent="0.25">
      <c r="A2133">
        <v>1533.8515669999999</v>
      </c>
      <c r="B2133" s="1">
        <f>DATE(2014,7,12) + TIME(20,26,15)</f>
        <v>41832.8515625</v>
      </c>
      <c r="C2133">
        <v>80</v>
      </c>
      <c r="D2133">
        <v>79.980606078999998</v>
      </c>
      <c r="E2133">
        <v>50</v>
      </c>
      <c r="F2133">
        <v>47.828479766999997</v>
      </c>
      <c r="G2133">
        <v>1339.5422363</v>
      </c>
      <c r="H2133">
        <v>1337.0618896000001</v>
      </c>
      <c r="I2133">
        <v>1326.7285156</v>
      </c>
      <c r="J2133">
        <v>1324.7773437999999</v>
      </c>
      <c r="K2133">
        <v>2400</v>
      </c>
      <c r="L2133">
        <v>0</v>
      </c>
      <c r="M2133">
        <v>0</v>
      </c>
      <c r="N2133">
        <v>2400</v>
      </c>
    </row>
    <row r="2134" spans="1:14" x14ac:dyDescent="0.25">
      <c r="A2134">
        <v>1535.1240749999999</v>
      </c>
      <c r="B2134" s="1">
        <f>DATE(2014,7,14) + TIME(2,58,40)</f>
        <v>41834.124074074076</v>
      </c>
      <c r="C2134">
        <v>80</v>
      </c>
      <c r="D2134">
        <v>79.980606078999998</v>
      </c>
      <c r="E2134">
        <v>50</v>
      </c>
      <c r="F2134">
        <v>47.824932097999998</v>
      </c>
      <c r="G2134">
        <v>1339.5372314000001</v>
      </c>
      <c r="H2134">
        <v>1337.0587158000001</v>
      </c>
      <c r="I2134">
        <v>1326.7191161999999</v>
      </c>
      <c r="J2134">
        <v>1324.7618408000001</v>
      </c>
      <c r="K2134">
        <v>2400</v>
      </c>
      <c r="L2134">
        <v>0</v>
      </c>
      <c r="M2134">
        <v>0</v>
      </c>
      <c r="N2134">
        <v>2400</v>
      </c>
    </row>
    <row r="2135" spans="1:14" x14ac:dyDescent="0.25">
      <c r="A2135">
        <v>1536.4146450000001</v>
      </c>
      <c r="B2135" s="1">
        <f>DATE(2014,7,15) + TIME(9,57,5)</f>
        <v>41835.414641203701</v>
      </c>
      <c r="C2135">
        <v>80</v>
      </c>
      <c r="D2135">
        <v>79.980606078999998</v>
      </c>
      <c r="E2135">
        <v>50</v>
      </c>
      <c r="F2135">
        <v>47.823677062999998</v>
      </c>
      <c r="G2135">
        <v>1339.5322266000001</v>
      </c>
      <c r="H2135">
        <v>1337.0556641000001</v>
      </c>
      <c r="I2135">
        <v>1326.7097168</v>
      </c>
      <c r="J2135">
        <v>1324.7462158000001</v>
      </c>
      <c r="K2135">
        <v>2400</v>
      </c>
      <c r="L2135">
        <v>0</v>
      </c>
      <c r="M2135">
        <v>0</v>
      </c>
      <c r="N2135">
        <v>2400</v>
      </c>
    </row>
    <row r="2136" spans="1:14" x14ac:dyDescent="0.25">
      <c r="A2136">
        <v>1537.7278349999999</v>
      </c>
      <c r="B2136" s="1">
        <f>DATE(2014,7,16) + TIME(17,28,4)</f>
        <v>41836.727824074071</v>
      </c>
      <c r="C2136">
        <v>80</v>
      </c>
      <c r="D2136">
        <v>79.980598450000002</v>
      </c>
      <c r="E2136">
        <v>50</v>
      </c>
      <c r="F2136">
        <v>47.824928284000002</v>
      </c>
      <c r="G2136">
        <v>1339.5272216999999</v>
      </c>
      <c r="H2136">
        <v>1337.0526123</v>
      </c>
      <c r="I2136">
        <v>1326.7000731999999</v>
      </c>
      <c r="J2136">
        <v>1324.7303466999999</v>
      </c>
      <c r="K2136">
        <v>2400</v>
      </c>
      <c r="L2136">
        <v>0</v>
      </c>
      <c r="M2136">
        <v>0</v>
      </c>
      <c r="N2136">
        <v>2400</v>
      </c>
    </row>
    <row r="2137" spans="1:14" x14ac:dyDescent="0.25">
      <c r="A2137">
        <v>1539.068389</v>
      </c>
      <c r="B2137" s="1">
        <f>DATE(2014,7,18) + TIME(1,38,28)</f>
        <v>41838.068379629629</v>
      </c>
      <c r="C2137">
        <v>80</v>
      </c>
      <c r="D2137">
        <v>79.980598450000002</v>
      </c>
      <c r="E2137">
        <v>50</v>
      </c>
      <c r="F2137">
        <v>47.828945160000004</v>
      </c>
      <c r="G2137">
        <v>1339.5222168</v>
      </c>
      <c r="H2137">
        <v>1337.0494385</v>
      </c>
      <c r="I2137">
        <v>1326.6904297000001</v>
      </c>
      <c r="J2137">
        <v>1324.7141113</v>
      </c>
      <c r="K2137">
        <v>2400</v>
      </c>
      <c r="L2137">
        <v>0</v>
      </c>
      <c r="M2137">
        <v>0</v>
      </c>
      <c r="N2137">
        <v>2400</v>
      </c>
    </row>
    <row r="2138" spans="1:14" x14ac:dyDescent="0.25">
      <c r="A2138">
        <v>1540.4426040000001</v>
      </c>
      <c r="B2138" s="1">
        <f>DATE(2014,7,19) + TIME(10,37,20)</f>
        <v>41839.44259259259</v>
      </c>
      <c r="C2138">
        <v>80</v>
      </c>
      <c r="D2138">
        <v>79.980598450000002</v>
      </c>
      <c r="E2138">
        <v>50</v>
      </c>
      <c r="F2138">
        <v>47.836040496999999</v>
      </c>
      <c r="G2138">
        <v>1339.5170897999999</v>
      </c>
      <c r="H2138">
        <v>1337.0463867000001</v>
      </c>
      <c r="I2138">
        <v>1326.6805420000001</v>
      </c>
      <c r="J2138">
        <v>1324.6976318</v>
      </c>
      <c r="K2138">
        <v>2400</v>
      </c>
      <c r="L2138">
        <v>0</v>
      </c>
      <c r="M2138">
        <v>0</v>
      </c>
      <c r="N2138">
        <v>2400</v>
      </c>
    </row>
    <row r="2139" spans="1:14" x14ac:dyDescent="0.25">
      <c r="A2139">
        <v>1541.846378</v>
      </c>
      <c r="B2139" s="1">
        <f>DATE(2014,7,20) + TIME(20,18,47)</f>
        <v>41840.846377314818</v>
      </c>
      <c r="C2139">
        <v>80</v>
      </c>
      <c r="D2139">
        <v>79.980598450000002</v>
      </c>
      <c r="E2139">
        <v>50</v>
      </c>
      <c r="F2139">
        <v>47.846569060999997</v>
      </c>
      <c r="G2139">
        <v>1339.5119629000001</v>
      </c>
      <c r="H2139">
        <v>1337.0432129000001</v>
      </c>
      <c r="I2139">
        <v>1326.6704102000001</v>
      </c>
      <c r="J2139">
        <v>1324.6809082</v>
      </c>
      <c r="K2139">
        <v>2400</v>
      </c>
      <c r="L2139">
        <v>0</v>
      </c>
      <c r="M2139">
        <v>0</v>
      </c>
      <c r="N2139">
        <v>2400</v>
      </c>
    </row>
    <row r="2140" spans="1:14" x14ac:dyDescent="0.25">
      <c r="A2140">
        <v>1543.2696410000001</v>
      </c>
      <c r="B2140" s="1">
        <f>DATE(2014,7,22) + TIME(6,28,16)</f>
        <v>41842.269629629627</v>
      </c>
      <c r="C2140">
        <v>80</v>
      </c>
      <c r="D2140">
        <v>79.980598450000002</v>
      </c>
      <c r="E2140">
        <v>50</v>
      </c>
      <c r="F2140">
        <v>47.860862732000001</v>
      </c>
      <c r="G2140">
        <v>1339.5067139</v>
      </c>
      <c r="H2140">
        <v>1337.0399170000001</v>
      </c>
      <c r="I2140">
        <v>1326.6601562000001</v>
      </c>
      <c r="J2140">
        <v>1324.6638184000001</v>
      </c>
      <c r="K2140">
        <v>2400</v>
      </c>
      <c r="L2140">
        <v>0</v>
      </c>
      <c r="M2140">
        <v>0</v>
      </c>
      <c r="N2140">
        <v>2400</v>
      </c>
    </row>
    <row r="2141" spans="1:14" x14ac:dyDescent="0.25">
      <c r="A2141">
        <v>1544.701315</v>
      </c>
      <c r="B2141" s="1">
        <f>DATE(2014,7,23) + TIME(16,49,53)</f>
        <v>41843.701307870368</v>
      </c>
      <c r="C2141">
        <v>80</v>
      </c>
      <c r="D2141">
        <v>79.980598450000002</v>
      </c>
      <c r="E2141">
        <v>50</v>
      </c>
      <c r="F2141">
        <v>47.879177093999999</v>
      </c>
      <c r="G2141">
        <v>1339.5015868999999</v>
      </c>
      <c r="H2141">
        <v>1337.0367432</v>
      </c>
      <c r="I2141">
        <v>1326.6499022999999</v>
      </c>
      <c r="J2141">
        <v>1324.6464844</v>
      </c>
      <c r="K2141">
        <v>2400</v>
      </c>
      <c r="L2141">
        <v>0</v>
      </c>
      <c r="M2141">
        <v>0</v>
      </c>
      <c r="N2141">
        <v>2400</v>
      </c>
    </row>
    <row r="2142" spans="1:14" x14ac:dyDescent="0.25">
      <c r="A2142">
        <v>1546.1443609999999</v>
      </c>
      <c r="B2142" s="1">
        <f>DATE(2014,7,25) + TIME(3,27,52)</f>
        <v>41845.14435185185</v>
      </c>
      <c r="C2142">
        <v>80</v>
      </c>
      <c r="D2142">
        <v>79.980598450000002</v>
      </c>
      <c r="E2142">
        <v>50</v>
      </c>
      <c r="F2142">
        <v>47.901763916</v>
      </c>
      <c r="G2142">
        <v>1339.4964600000001</v>
      </c>
      <c r="H2142">
        <v>1337.0335693</v>
      </c>
      <c r="I2142">
        <v>1326.6395264</v>
      </c>
      <c r="J2142">
        <v>1324.6290283000001</v>
      </c>
      <c r="K2142">
        <v>2400</v>
      </c>
      <c r="L2142">
        <v>0</v>
      </c>
      <c r="M2142">
        <v>0</v>
      </c>
      <c r="N2142">
        <v>2400</v>
      </c>
    </row>
    <row r="2143" spans="1:14" x14ac:dyDescent="0.25">
      <c r="A2143">
        <v>1547.60024</v>
      </c>
      <c r="B2143" s="1">
        <f>DATE(2014,7,26) + TIME(14,24,20)</f>
        <v>41846.600231481483</v>
      </c>
      <c r="C2143">
        <v>80</v>
      </c>
      <c r="D2143">
        <v>79.980598450000002</v>
      </c>
      <c r="E2143">
        <v>50</v>
      </c>
      <c r="F2143">
        <v>47.928905487000002</v>
      </c>
      <c r="G2143">
        <v>1339.4913329999999</v>
      </c>
      <c r="H2143">
        <v>1337.0302733999999</v>
      </c>
      <c r="I2143">
        <v>1326.6290283000001</v>
      </c>
      <c r="J2143">
        <v>1324.6115723</v>
      </c>
      <c r="K2143">
        <v>2400</v>
      </c>
      <c r="L2143">
        <v>0</v>
      </c>
      <c r="M2143">
        <v>0</v>
      </c>
      <c r="N2143">
        <v>2400</v>
      </c>
    </row>
    <row r="2144" spans="1:14" x14ac:dyDescent="0.25">
      <c r="A2144">
        <v>1549.0743339999999</v>
      </c>
      <c r="B2144" s="1">
        <f>DATE(2014,7,28) + TIME(1,47,2)</f>
        <v>41848.074328703704</v>
      </c>
      <c r="C2144">
        <v>80</v>
      </c>
      <c r="D2144">
        <v>79.980598450000002</v>
      </c>
      <c r="E2144">
        <v>50</v>
      </c>
      <c r="F2144">
        <v>47.960971831999998</v>
      </c>
      <c r="G2144">
        <v>1339.4862060999999</v>
      </c>
      <c r="H2144">
        <v>1337.0270995999999</v>
      </c>
      <c r="I2144">
        <v>1326.6186522999999</v>
      </c>
      <c r="J2144">
        <v>1324.5941161999999</v>
      </c>
      <c r="K2144">
        <v>2400</v>
      </c>
      <c r="L2144">
        <v>0</v>
      </c>
      <c r="M2144">
        <v>0</v>
      </c>
      <c r="N2144">
        <v>2400</v>
      </c>
    </row>
    <row r="2145" spans="1:14" x14ac:dyDescent="0.25">
      <c r="A2145">
        <v>1550.572015</v>
      </c>
      <c r="B2145" s="1">
        <f>DATE(2014,7,29) + TIME(13,43,42)</f>
        <v>41849.572013888886</v>
      </c>
      <c r="C2145">
        <v>80</v>
      </c>
      <c r="D2145">
        <v>79.980598450000002</v>
      </c>
      <c r="E2145">
        <v>50</v>
      </c>
      <c r="F2145">
        <v>47.998409271</v>
      </c>
      <c r="G2145">
        <v>1339.4810791</v>
      </c>
      <c r="H2145">
        <v>1337.0239257999999</v>
      </c>
      <c r="I2145">
        <v>1326.6081543</v>
      </c>
      <c r="J2145">
        <v>1324.5765381000001</v>
      </c>
      <c r="K2145">
        <v>2400</v>
      </c>
      <c r="L2145">
        <v>0</v>
      </c>
      <c r="M2145">
        <v>0</v>
      </c>
      <c r="N2145">
        <v>2400</v>
      </c>
    </row>
    <row r="2146" spans="1:14" x14ac:dyDescent="0.25">
      <c r="A2146">
        <v>1552.098929</v>
      </c>
      <c r="B2146" s="1">
        <f>DATE(2014,7,31) + TIME(2,22,27)</f>
        <v>41851.098923611113</v>
      </c>
      <c r="C2146">
        <v>80</v>
      </c>
      <c r="D2146">
        <v>79.980598450000002</v>
      </c>
      <c r="E2146">
        <v>50</v>
      </c>
      <c r="F2146">
        <v>48.041759491000001</v>
      </c>
      <c r="G2146">
        <v>1339.4759521000001</v>
      </c>
      <c r="H2146">
        <v>1337.0207519999999</v>
      </c>
      <c r="I2146">
        <v>1326.5976562000001</v>
      </c>
      <c r="J2146">
        <v>1324.5588379000001</v>
      </c>
      <c r="K2146">
        <v>2400</v>
      </c>
      <c r="L2146">
        <v>0</v>
      </c>
      <c r="M2146">
        <v>0</v>
      </c>
      <c r="N2146">
        <v>2400</v>
      </c>
    </row>
    <row r="2147" spans="1:14" x14ac:dyDescent="0.25">
      <c r="A2147">
        <v>1553</v>
      </c>
      <c r="B2147" s="1">
        <f>DATE(2014,8,1) + TIME(0,0,0)</f>
        <v>41852</v>
      </c>
      <c r="C2147">
        <v>80</v>
      </c>
      <c r="D2147">
        <v>79.980590820000003</v>
      </c>
      <c r="E2147">
        <v>50</v>
      </c>
      <c r="F2147">
        <v>48.081916808999999</v>
      </c>
      <c r="G2147">
        <v>1339.4710693</v>
      </c>
      <c r="H2147">
        <v>1337.0177002</v>
      </c>
      <c r="I2147">
        <v>1326.5880127</v>
      </c>
      <c r="J2147">
        <v>1324.5421143000001</v>
      </c>
      <c r="K2147">
        <v>2400</v>
      </c>
      <c r="L2147">
        <v>0</v>
      </c>
      <c r="M2147">
        <v>0</v>
      </c>
      <c r="N2147">
        <v>2400</v>
      </c>
    </row>
    <row r="2148" spans="1:14" x14ac:dyDescent="0.25">
      <c r="A2148">
        <v>1554.553058</v>
      </c>
      <c r="B2148" s="1">
        <f>DATE(2014,8,2) + TIME(13,16,24)</f>
        <v>41853.553055555552</v>
      </c>
      <c r="C2148">
        <v>80</v>
      </c>
      <c r="D2148">
        <v>79.980598450000002</v>
      </c>
      <c r="E2148">
        <v>50</v>
      </c>
      <c r="F2148">
        <v>48.128120422000002</v>
      </c>
      <c r="G2148">
        <v>1339.4676514</v>
      </c>
      <c r="H2148">
        <v>1337.0153809000001</v>
      </c>
      <c r="I2148">
        <v>1326.5795897999999</v>
      </c>
      <c r="J2148">
        <v>1324.5289307</v>
      </c>
      <c r="K2148">
        <v>2400</v>
      </c>
      <c r="L2148">
        <v>0</v>
      </c>
      <c r="M2148">
        <v>0</v>
      </c>
      <c r="N2148">
        <v>2400</v>
      </c>
    </row>
    <row r="2149" spans="1:14" x14ac:dyDescent="0.25">
      <c r="A2149">
        <v>1556.1440729999999</v>
      </c>
      <c r="B2149" s="1">
        <f>DATE(2014,8,4) + TIME(3,27,27)</f>
        <v>41855.144062500003</v>
      </c>
      <c r="C2149">
        <v>80</v>
      </c>
      <c r="D2149">
        <v>79.980598450000002</v>
      </c>
      <c r="E2149">
        <v>50</v>
      </c>
      <c r="F2149">
        <v>48.186435699</v>
      </c>
      <c r="G2149">
        <v>1339.4626464999999</v>
      </c>
      <c r="H2149">
        <v>1337.012207</v>
      </c>
      <c r="I2149">
        <v>1326.5698242000001</v>
      </c>
      <c r="J2149">
        <v>1324.512207</v>
      </c>
      <c r="K2149">
        <v>2400</v>
      </c>
      <c r="L2149">
        <v>0</v>
      </c>
      <c r="M2149">
        <v>0</v>
      </c>
      <c r="N2149">
        <v>2400</v>
      </c>
    </row>
    <row r="2150" spans="1:14" x14ac:dyDescent="0.25">
      <c r="A2150">
        <v>1557.7659249999999</v>
      </c>
      <c r="B2150" s="1">
        <f>DATE(2014,8,5) + TIME(18,22,55)</f>
        <v>41856.765914351854</v>
      </c>
      <c r="C2150">
        <v>80</v>
      </c>
      <c r="D2150">
        <v>79.980606078999998</v>
      </c>
      <c r="E2150">
        <v>50</v>
      </c>
      <c r="F2150">
        <v>48.254425048999998</v>
      </c>
      <c r="G2150">
        <v>1339.4575195</v>
      </c>
      <c r="H2150">
        <v>1337.0090332</v>
      </c>
      <c r="I2150">
        <v>1326.5594481999999</v>
      </c>
      <c r="J2150">
        <v>1324.4945068</v>
      </c>
      <c r="K2150">
        <v>2400</v>
      </c>
      <c r="L2150">
        <v>0</v>
      </c>
      <c r="M2150">
        <v>0</v>
      </c>
      <c r="N2150">
        <v>2400</v>
      </c>
    </row>
    <row r="2151" spans="1:14" x14ac:dyDescent="0.25">
      <c r="A2151">
        <v>1559.424784</v>
      </c>
      <c r="B2151" s="1">
        <f>DATE(2014,8,7) + TIME(10,11,41)</f>
        <v>41858.424780092595</v>
      </c>
      <c r="C2151">
        <v>80</v>
      </c>
      <c r="D2151">
        <v>79.980606078999998</v>
      </c>
      <c r="E2151">
        <v>50</v>
      </c>
      <c r="F2151">
        <v>48.331703185999999</v>
      </c>
      <c r="G2151">
        <v>1339.4522704999999</v>
      </c>
      <c r="H2151">
        <v>1337.0056152</v>
      </c>
      <c r="I2151">
        <v>1326.5487060999999</v>
      </c>
      <c r="J2151">
        <v>1324.4765625</v>
      </c>
      <c r="K2151">
        <v>2400</v>
      </c>
      <c r="L2151">
        <v>0</v>
      </c>
      <c r="M2151">
        <v>0</v>
      </c>
      <c r="N2151">
        <v>2400</v>
      </c>
    </row>
    <row r="2152" spans="1:14" x14ac:dyDescent="0.25">
      <c r="A2152">
        <v>1561.0949089999999</v>
      </c>
      <c r="B2152" s="1">
        <f>DATE(2014,8,9) + TIME(2,16,40)</f>
        <v>41860.094907407409</v>
      </c>
      <c r="C2152">
        <v>80</v>
      </c>
      <c r="D2152">
        <v>79.980606078999998</v>
      </c>
      <c r="E2152">
        <v>50</v>
      </c>
      <c r="F2152">
        <v>48.418334960999999</v>
      </c>
      <c r="G2152">
        <v>1339.4470214999999</v>
      </c>
      <c r="H2152">
        <v>1337.0023193</v>
      </c>
      <c r="I2152">
        <v>1326.5379639</v>
      </c>
      <c r="J2152">
        <v>1324.458374</v>
      </c>
      <c r="K2152">
        <v>2400</v>
      </c>
      <c r="L2152">
        <v>0</v>
      </c>
      <c r="M2152">
        <v>0</v>
      </c>
      <c r="N2152">
        <v>2400</v>
      </c>
    </row>
    <row r="2153" spans="1:14" x14ac:dyDescent="0.25">
      <c r="A2153">
        <v>1562.7827259999999</v>
      </c>
      <c r="B2153" s="1">
        <f>DATE(2014,8,10) + TIME(18,47,7)</f>
        <v>41861.782719907409</v>
      </c>
      <c r="C2153">
        <v>80</v>
      </c>
      <c r="D2153">
        <v>79.980606078999998</v>
      </c>
      <c r="E2153">
        <v>50</v>
      </c>
      <c r="F2153">
        <v>48.514251709</v>
      </c>
      <c r="G2153">
        <v>1339.4417725000001</v>
      </c>
      <c r="H2153">
        <v>1336.9989014</v>
      </c>
      <c r="I2153">
        <v>1326.5273437999999</v>
      </c>
      <c r="J2153">
        <v>1324.4404297000001</v>
      </c>
      <c r="K2153">
        <v>2400</v>
      </c>
      <c r="L2153">
        <v>0</v>
      </c>
      <c r="M2153">
        <v>0</v>
      </c>
      <c r="N2153">
        <v>2400</v>
      </c>
    </row>
    <row r="2154" spans="1:14" x14ac:dyDescent="0.25">
      <c r="A2154">
        <v>1564.4947979999999</v>
      </c>
      <c r="B2154" s="1">
        <f>DATE(2014,8,12) + TIME(11,52,30)</f>
        <v>41863.494791666664</v>
      </c>
      <c r="C2154">
        <v>80</v>
      </c>
      <c r="D2154">
        <v>79.980613708000007</v>
      </c>
      <c r="E2154">
        <v>50</v>
      </c>
      <c r="F2154">
        <v>48.620037078999999</v>
      </c>
      <c r="G2154">
        <v>1339.4365233999999</v>
      </c>
      <c r="H2154">
        <v>1336.9954834</v>
      </c>
      <c r="I2154">
        <v>1326.5167236</v>
      </c>
      <c r="J2154">
        <v>1324.4224853999999</v>
      </c>
      <c r="K2154">
        <v>2400</v>
      </c>
      <c r="L2154">
        <v>0</v>
      </c>
      <c r="M2154">
        <v>0</v>
      </c>
      <c r="N2154">
        <v>2400</v>
      </c>
    </row>
    <row r="2155" spans="1:14" x14ac:dyDescent="0.25">
      <c r="A2155">
        <v>1566.2312910000001</v>
      </c>
      <c r="B2155" s="1">
        <f>DATE(2014,8,14) + TIME(5,33,3)</f>
        <v>41865.23128472222</v>
      </c>
      <c r="C2155">
        <v>80</v>
      </c>
      <c r="D2155">
        <v>79.980613708000007</v>
      </c>
      <c r="E2155">
        <v>50</v>
      </c>
      <c r="F2155">
        <v>48.736423492</v>
      </c>
      <c r="G2155">
        <v>1339.4312743999999</v>
      </c>
      <c r="H2155">
        <v>1336.9921875</v>
      </c>
      <c r="I2155">
        <v>1326.5061035000001</v>
      </c>
      <c r="J2155">
        <v>1324.4047852000001</v>
      </c>
      <c r="K2155">
        <v>2400</v>
      </c>
      <c r="L2155">
        <v>0</v>
      </c>
      <c r="M2155">
        <v>0</v>
      </c>
      <c r="N2155">
        <v>2400</v>
      </c>
    </row>
    <row r="2156" spans="1:14" x14ac:dyDescent="0.25">
      <c r="A2156">
        <v>1567.9856259999999</v>
      </c>
      <c r="B2156" s="1">
        <f>DATE(2014,8,15) + TIME(23,39,18)</f>
        <v>41866.985625000001</v>
      </c>
      <c r="C2156">
        <v>80</v>
      </c>
      <c r="D2156">
        <v>79.980613708000007</v>
      </c>
      <c r="E2156">
        <v>50</v>
      </c>
      <c r="F2156">
        <v>48.863914489999999</v>
      </c>
      <c r="G2156">
        <v>1339.4260254000001</v>
      </c>
      <c r="H2156">
        <v>1336.9887695</v>
      </c>
      <c r="I2156">
        <v>1326.4956055</v>
      </c>
      <c r="J2156">
        <v>1324.387207</v>
      </c>
      <c r="K2156">
        <v>2400</v>
      </c>
      <c r="L2156">
        <v>0</v>
      </c>
      <c r="M2156">
        <v>0</v>
      </c>
      <c r="N2156">
        <v>2400</v>
      </c>
    </row>
    <row r="2157" spans="1:14" x14ac:dyDescent="0.25">
      <c r="A2157">
        <v>1569.764248</v>
      </c>
      <c r="B2157" s="1">
        <f>DATE(2014,8,17) + TIME(18,20,31)</f>
        <v>41868.764247685183</v>
      </c>
      <c r="C2157">
        <v>80</v>
      </c>
      <c r="D2157">
        <v>79.980621338000006</v>
      </c>
      <c r="E2157">
        <v>50</v>
      </c>
      <c r="F2157">
        <v>49.002956390000001</v>
      </c>
      <c r="G2157">
        <v>1339.4207764</v>
      </c>
      <c r="H2157">
        <v>1336.9853516000001</v>
      </c>
      <c r="I2157">
        <v>1326.4852295000001</v>
      </c>
      <c r="J2157">
        <v>1324.3699951000001</v>
      </c>
      <c r="K2157">
        <v>2400</v>
      </c>
      <c r="L2157">
        <v>0</v>
      </c>
      <c r="M2157">
        <v>0</v>
      </c>
      <c r="N2157">
        <v>2400</v>
      </c>
    </row>
    <row r="2158" spans="1:14" x14ac:dyDescent="0.25">
      <c r="A2158">
        <v>1571.5739819999999</v>
      </c>
      <c r="B2158" s="1">
        <f>DATE(2014,8,19) + TIME(13,46,32)</f>
        <v>41870.573981481481</v>
      </c>
      <c r="C2158">
        <v>80</v>
      </c>
      <c r="D2158">
        <v>79.980621338000006</v>
      </c>
      <c r="E2158">
        <v>50</v>
      </c>
      <c r="F2158">
        <v>49.154392242</v>
      </c>
      <c r="G2158">
        <v>1339.4155272999999</v>
      </c>
      <c r="H2158">
        <v>1336.9819336</v>
      </c>
      <c r="I2158">
        <v>1326.4749756000001</v>
      </c>
      <c r="J2158">
        <v>1324.3529053</v>
      </c>
      <c r="K2158">
        <v>2400</v>
      </c>
      <c r="L2158">
        <v>0</v>
      </c>
      <c r="M2158">
        <v>0</v>
      </c>
      <c r="N2158">
        <v>2400</v>
      </c>
    </row>
    <row r="2159" spans="1:14" x14ac:dyDescent="0.25">
      <c r="A2159">
        <v>1573.422227</v>
      </c>
      <c r="B2159" s="1">
        <f>DATE(2014,8,21) + TIME(10,8,0)</f>
        <v>41872.422222222223</v>
      </c>
      <c r="C2159">
        <v>80</v>
      </c>
      <c r="D2159">
        <v>79.980628967000001</v>
      </c>
      <c r="E2159">
        <v>50</v>
      </c>
      <c r="F2159">
        <v>49.319343566999997</v>
      </c>
      <c r="G2159">
        <v>1339.4102783000001</v>
      </c>
      <c r="H2159">
        <v>1336.9783935999999</v>
      </c>
      <c r="I2159">
        <v>1326.4648437999999</v>
      </c>
      <c r="J2159">
        <v>1324.3361815999999</v>
      </c>
      <c r="K2159">
        <v>2400</v>
      </c>
      <c r="L2159">
        <v>0</v>
      </c>
      <c r="M2159">
        <v>0</v>
      </c>
      <c r="N2159">
        <v>2400</v>
      </c>
    </row>
    <row r="2160" spans="1:14" x14ac:dyDescent="0.25">
      <c r="A2160">
        <v>1575.3223680000001</v>
      </c>
      <c r="B2160" s="1">
        <f>DATE(2014,8,23) + TIME(7,44,12)</f>
        <v>41874.32236111111</v>
      </c>
      <c r="C2160">
        <v>80</v>
      </c>
      <c r="D2160">
        <v>79.980628967000001</v>
      </c>
      <c r="E2160">
        <v>50</v>
      </c>
      <c r="F2160">
        <v>49.499267578000001</v>
      </c>
      <c r="G2160">
        <v>1339.4049072</v>
      </c>
      <c r="H2160">
        <v>1336.9749756000001</v>
      </c>
      <c r="I2160">
        <v>1326.4548339999999</v>
      </c>
      <c r="J2160">
        <v>1324.3197021000001</v>
      </c>
      <c r="K2160">
        <v>2400</v>
      </c>
      <c r="L2160">
        <v>0</v>
      </c>
      <c r="M2160">
        <v>0</v>
      </c>
      <c r="N2160">
        <v>2400</v>
      </c>
    </row>
    <row r="2161" spans="1:14" x14ac:dyDescent="0.25">
      <c r="A2161">
        <v>1577.256126</v>
      </c>
      <c r="B2161" s="1">
        <f>DATE(2014,8,25) + TIME(6,8,49)</f>
        <v>41876.256122685183</v>
      </c>
      <c r="C2161">
        <v>80</v>
      </c>
      <c r="D2161">
        <v>79.980636597</v>
      </c>
      <c r="E2161">
        <v>50</v>
      </c>
      <c r="F2161">
        <v>49.695255279999998</v>
      </c>
      <c r="G2161">
        <v>1339.3995361</v>
      </c>
      <c r="H2161">
        <v>1336.9714355000001</v>
      </c>
      <c r="I2161">
        <v>1326.4448242000001</v>
      </c>
      <c r="J2161">
        <v>1324.3033447</v>
      </c>
      <c r="K2161">
        <v>2400</v>
      </c>
      <c r="L2161">
        <v>0</v>
      </c>
      <c r="M2161">
        <v>0</v>
      </c>
      <c r="N2161">
        <v>2400</v>
      </c>
    </row>
    <row r="2162" spans="1:14" x14ac:dyDescent="0.25">
      <c r="A2162">
        <v>1579.2132750000001</v>
      </c>
      <c r="B2162" s="1">
        <f>DATE(2014,8,27) + TIME(5,7,6)</f>
        <v>41878.213263888887</v>
      </c>
      <c r="C2162">
        <v>80</v>
      </c>
      <c r="D2162">
        <v>79.980636597</v>
      </c>
      <c r="E2162">
        <v>50</v>
      </c>
      <c r="F2162">
        <v>49.906883239999999</v>
      </c>
      <c r="G2162">
        <v>1339.394043</v>
      </c>
      <c r="H2162">
        <v>1336.9677733999999</v>
      </c>
      <c r="I2162">
        <v>1326.4350586</v>
      </c>
      <c r="J2162">
        <v>1324.2874756000001</v>
      </c>
      <c r="K2162">
        <v>2400</v>
      </c>
      <c r="L2162">
        <v>0</v>
      </c>
      <c r="M2162">
        <v>0</v>
      </c>
      <c r="N2162">
        <v>2400</v>
      </c>
    </row>
    <row r="2163" spans="1:14" x14ac:dyDescent="0.25">
      <c r="A2163">
        <v>1581.185068</v>
      </c>
      <c r="B2163" s="1">
        <f>DATE(2014,8,29) + TIME(4,26,29)</f>
        <v>41880.185057870367</v>
      </c>
      <c r="C2163">
        <v>80</v>
      </c>
      <c r="D2163">
        <v>79.980644225999995</v>
      </c>
      <c r="E2163">
        <v>50</v>
      </c>
      <c r="F2163">
        <v>50.133285522000001</v>
      </c>
      <c r="G2163">
        <v>1339.3886719</v>
      </c>
      <c r="H2163">
        <v>1336.9642334</v>
      </c>
      <c r="I2163">
        <v>1326.4254149999999</v>
      </c>
      <c r="J2163">
        <v>1324.2719727000001</v>
      </c>
      <c r="K2163">
        <v>2400</v>
      </c>
      <c r="L2163">
        <v>0</v>
      </c>
      <c r="M2163">
        <v>0</v>
      </c>
      <c r="N2163">
        <v>2400</v>
      </c>
    </row>
    <row r="2164" spans="1:14" x14ac:dyDescent="0.25">
      <c r="A2164">
        <v>1583.174356</v>
      </c>
      <c r="B2164" s="1">
        <f>DATE(2014,8,31) + TIME(4,11,4)</f>
        <v>41882.174351851849</v>
      </c>
      <c r="C2164">
        <v>80</v>
      </c>
      <c r="D2164">
        <v>79.980651855000005</v>
      </c>
      <c r="E2164">
        <v>50</v>
      </c>
      <c r="F2164">
        <v>50.373767852999997</v>
      </c>
      <c r="G2164">
        <v>1339.3833007999999</v>
      </c>
      <c r="H2164">
        <v>1336.9605713000001</v>
      </c>
      <c r="I2164">
        <v>1326.4161377</v>
      </c>
      <c r="J2164">
        <v>1324.2572021000001</v>
      </c>
      <c r="K2164">
        <v>2400</v>
      </c>
      <c r="L2164">
        <v>0</v>
      </c>
      <c r="M2164">
        <v>0</v>
      </c>
      <c r="N2164">
        <v>2400</v>
      </c>
    </row>
    <row r="2165" spans="1:14" x14ac:dyDescent="0.25">
      <c r="A2165">
        <v>1584</v>
      </c>
      <c r="B2165" s="1">
        <f>DATE(2014,9,1) + TIME(0,0,0)</f>
        <v>41883</v>
      </c>
      <c r="C2165">
        <v>80</v>
      </c>
      <c r="D2165">
        <v>79.980644225999995</v>
      </c>
      <c r="E2165">
        <v>50</v>
      </c>
      <c r="F2165">
        <v>50.559455872000001</v>
      </c>
      <c r="G2165">
        <v>1339.378418</v>
      </c>
      <c r="H2165">
        <v>1336.9575195</v>
      </c>
      <c r="I2165">
        <v>1326.4099120999999</v>
      </c>
      <c r="J2165">
        <v>1324.2446289</v>
      </c>
      <c r="K2165">
        <v>2400</v>
      </c>
      <c r="L2165">
        <v>0</v>
      </c>
      <c r="M2165">
        <v>0</v>
      </c>
      <c r="N2165">
        <v>2400</v>
      </c>
    </row>
    <row r="2166" spans="1:14" x14ac:dyDescent="0.25">
      <c r="A2166">
        <v>1586.01442</v>
      </c>
      <c r="B2166" s="1">
        <f>DATE(2014,9,3) + TIME(0,20,45)</f>
        <v>41885.014409722222</v>
      </c>
      <c r="C2166">
        <v>80</v>
      </c>
      <c r="D2166">
        <v>79.980659485000004</v>
      </c>
      <c r="E2166">
        <v>50</v>
      </c>
      <c r="F2166">
        <v>50.759288787999999</v>
      </c>
      <c r="G2166">
        <v>1339.3754882999999</v>
      </c>
      <c r="H2166">
        <v>1336.9553223</v>
      </c>
      <c r="I2166">
        <v>1326.4022216999999</v>
      </c>
      <c r="J2166">
        <v>1324.2364502</v>
      </c>
      <c r="K2166">
        <v>2400</v>
      </c>
      <c r="L2166">
        <v>0</v>
      </c>
      <c r="M2166">
        <v>0</v>
      </c>
      <c r="N2166">
        <v>2400</v>
      </c>
    </row>
    <row r="2167" spans="1:14" x14ac:dyDescent="0.25">
      <c r="A2167">
        <v>1588.079524</v>
      </c>
      <c r="B2167" s="1">
        <f>DATE(2014,9,5) + TIME(1,54,30)</f>
        <v>41887.079513888886</v>
      </c>
      <c r="C2167">
        <v>80</v>
      </c>
      <c r="D2167">
        <v>79.980659485000004</v>
      </c>
      <c r="E2167">
        <v>50</v>
      </c>
      <c r="F2167">
        <v>51.017929076999998</v>
      </c>
      <c r="G2167">
        <v>1339.3703613</v>
      </c>
      <c r="H2167">
        <v>1336.9519043</v>
      </c>
      <c r="I2167">
        <v>1326.3946533000001</v>
      </c>
      <c r="J2167">
        <v>1324.223999</v>
      </c>
      <c r="K2167">
        <v>2400</v>
      </c>
      <c r="L2167">
        <v>0</v>
      </c>
      <c r="M2167">
        <v>0</v>
      </c>
      <c r="N2167">
        <v>2400</v>
      </c>
    </row>
    <row r="2168" spans="1:14" x14ac:dyDescent="0.25">
      <c r="A2168">
        <v>1590.194469</v>
      </c>
      <c r="B2168" s="1">
        <f>DATE(2014,9,7) + TIME(4,40,2)</f>
        <v>41889.194467592592</v>
      </c>
      <c r="C2168">
        <v>80</v>
      </c>
      <c r="D2168">
        <v>79.980667113999999</v>
      </c>
      <c r="E2168">
        <v>50</v>
      </c>
      <c r="F2168">
        <v>51.3046875</v>
      </c>
      <c r="G2168">
        <v>1339.3649902</v>
      </c>
      <c r="H2168">
        <v>1336.9483643000001</v>
      </c>
      <c r="I2168">
        <v>1326.3865966999999</v>
      </c>
      <c r="J2168">
        <v>1324.2116699000001</v>
      </c>
      <c r="K2168">
        <v>2400</v>
      </c>
      <c r="L2168">
        <v>0</v>
      </c>
      <c r="M2168">
        <v>0</v>
      </c>
      <c r="N2168">
        <v>2400</v>
      </c>
    </row>
    <row r="2169" spans="1:14" x14ac:dyDescent="0.25">
      <c r="A2169">
        <v>1592.3758660000001</v>
      </c>
      <c r="B2169" s="1">
        <f>DATE(2014,9,9) + TIME(9,1,14)</f>
        <v>41891.375856481478</v>
      </c>
      <c r="C2169">
        <v>80</v>
      </c>
      <c r="D2169">
        <v>79.980674743999998</v>
      </c>
      <c r="E2169">
        <v>50</v>
      </c>
      <c r="F2169">
        <v>51.611583709999998</v>
      </c>
      <c r="G2169">
        <v>1339.3594971</v>
      </c>
      <c r="H2169">
        <v>1336.9447021000001</v>
      </c>
      <c r="I2169">
        <v>1326.3786620999999</v>
      </c>
      <c r="J2169">
        <v>1324.1998291</v>
      </c>
      <c r="K2169">
        <v>2400</v>
      </c>
      <c r="L2169">
        <v>0</v>
      </c>
      <c r="M2169">
        <v>0</v>
      </c>
      <c r="N2169">
        <v>2400</v>
      </c>
    </row>
    <row r="2170" spans="1:14" x14ac:dyDescent="0.25">
      <c r="A2170">
        <v>1594.59059</v>
      </c>
      <c r="B2170" s="1">
        <f>DATE(2014,9,11) + TIME(14,10,26)</f>
        <v>41893.590578703705</v>
      </c>
      <c r="C2170">
        <v>80</v>
      </c>
      <c r="D2170">
        <v>79.980682372999993</v>
      </c>
      <c r="E2170">
        <v>50</v>
      </c>
      <c r="F2170">
        <v>51.936286926000001</v>
      </c>
      <c r="G2170">
        <v>1339.3540039</v>
      </c>
      <c r="H2170">
        <v>1336.940918</v>
      </c>
      <c r="I2170">
        <v>1326.3710937999999</v>
      </c>
      <c r="J2170">
        <v>1324.1885986</v>
      </c>
      <c r="K2170">
        <v>2400</v>
      </c>
      <c r="L2170">
        <v>0</v>
      </c>
      <c r="M2170">
        <v>0</v>
      </c>
      <c r="N2170">
        <v>2400</v>
      </c>
    </row>
    <row r="2171" spans="1:14" x14ac:dyDescent="0.25">
      <c r="A2171">
        <v>1596.8442319999999</v>
      </c>
      <c r="B2171" s="1">
        <f>DATE(2014,9,13) + TIME(20,15,41)</f>
        <v>41895.844224537039</v>
      </c>
      <c r="C2171">
        <v>80</v>
      </c>
      <c r="D2171">
        <v>79.980690002000003</v>
      </c>
      <c r="E2171">
        <v>50</v>
      </c>
      <c r="F2171">
        <v>52.275054932000003</v>
      </c>
      <c r="G2171">
        <v>1339.3483887</v>
      </c>
      <c r="H2171">
        <v>1336.9371338000001</v>
      </c>
      <c r="I2171">
        <v>1326.3637695</v>
      </c>
      <c r="J2171">
        <v>1324.1781006000001</v>
      </c>
      <c r="K2171">
        <v>2400</v>
      </c>
      <c r="L2171">
        <v>0</v>
      </c>
      <c r="M2171">
        <v>0</v>
      </c>
      <c r="N2171">
        <v>2400</v>
      </c>
    </row>
    <row r="2172" spans="1:14" x14ac:dyDescent="0.25">
      <c r="A2172">
        <v>1599.112881</v>
      </c>
      <c r="B2172" s="1">
        <f>DATE(2014,9,16) + TIME(2,42,32)</f>
        <v>41898.112870370373</v>
      </c>
      <c r="C2172">
        <v>80</v>
      </c>
      <c r="D2172">
        <v>79.980697632000002</v>
      </c>
      <c r="E2172">
        <v>50</v>
      </c>
      <c r="F2172">
        <v>52.625598906999997</v>
      </c>
      <c r="G2172">
        <v>1339.3428954999999</v>
      </c>
      <c r="H2172">
        <v>1336.9333495999999</v>
      </c>
      <c r="I2172">
        <v>1326.3569336</v>
      </c>
      <c r="J2172">
        <v>1324.168457</v>
      </c>
      <c r="K2172">
        <v>2400</v>
      </c>
      <c r="L2172">
        <v>0</v>
      </c>
      <c r="M2172">
        <v>0</v>
      </c>
      <c r="N2172">
        <v>2400</v>
      </c>
    </row>
    <row r="2173" spans="1:14" x14ac:dyDescent="0.25">
      <c r="A2173">
        <v>1601.4051449999999</v>
      </c>
      <c r="B2173" s="1">
        <f>DATE(2014,9,18) + TIME(9,43,24)</f>
        <v>41900.405138888891</v>
      </c>
      <c r="C2173">
        <v>80</v>
      </c>
      <c r="D2173">
        <v>79.980705260999997</v>
      </c>
      <c r="E2173">
        <v>50</v>
      </c>
      <c r="F2173">
        <v>52.984634399000001</v>
      </c>
      <c r="G2173">
        <v>1339.3372803</v>
      </c>
      <c r="H2173">
        <v>1336.9295654</v>
      </c>
      <c r="I2173">
        <v>1326.3505858999999</v>
      </c>
      <c r="J2173">
        <v>1324.1599120999999</v>
      </c>
      <c r="K2173">
        <v>2400</v>
      </c>
      <c r="L2173">
        <v>0</v>
      </c>
      <c r="M2173">
        <v>0</v>
      </c>
      <c r="N2173">
        <v>2400</v>
      </c>
    </row>
    <row r="2174" spans="1:14" x14ac:dyDescent="0.25">
      <c r="A2174">
        <v>1603.730693</v>
      </c>
      <c r="B2174" s="1">
        <f>DATE(2014,9,20) + TIME(17,32,11)</f>
        <v>41902.730682870373</v>
      </c>
      <c r="C2174">
        <v>80</v>
      </c>
      <c r="D2174">
        <v>79.980712890999996</v>
      </c>
      <c r="E2174">
        <v>50</v>
      </c>
      <c r="F2174">
        <v>53.351081848</v>
      </c>
      <c r="G2174">
        <v>1339.3317870999999</v>
      </c>
      <c r="H2174">
        <v>1336.9259033000001</v>
      </c>
      <c r="I2174">
        <v>1326.3447266000001</v>
      </c>
      <c r="J2174">
        <v>1324.1523437999999</v>
      </c>
      <c r="K2174">
        <v>2400</v>
      </c>
      <c r="L2174">
        <v>0</v>
      </c>
      <c r="M2174">
        <v>0</v>
      </c>
      <c r="N2174">
        <v>2400</v>
      </c>
    </row>
    <row r="2175" spans="1:14" x14ac:dyDescent="0.25">
      <c r="A2175">
        <v>1606.102126</v>
      </c>
      <c r="B2175" s="1">
        <f>DATE(2014,9,23) + TIME(2,27,3)</f>
        <v>41905.102118055554</v>
      </c>
      <c r="C2175">
        <v>80</v>
      </c>
      <c r="D2175">
        <v>79.980720520000006</v>
      </c>
      <c r="E2175">
        <v>50</v>
      </c>
      <c r="F2175">
        <v>53.724945067999997</v>
      </c>
      <c r="G2175">
        <v>1339.3262939000001</v>
      </c>
      <c r="H2175">
        <v>1336.9221190999999</v>
      </c>
      <c r="I2175">
        <v>1326.3394774999999</v>
      </c>
      <c r="J2175">
        <v>1324.1456298999999</v>
      </c>
      <c r="K2175">
        <v>2400</v>
      </c>
      <c r="L2175">
        <v>0</v>
      </c>
      <c r="M2175">
        <v>0</v>
      </c>
      <c r="N2175">
        <v>2400</v>
      </c>
    </row>
    <row r="2176" spans="1:14" x14ac:dyDescent="0.25">
      <c r="A2176">
        <v>1608.540804</v>
      </c>
      <c r="B2176" s="1">
        <f>DATE(2014,9,25) + TIME(12,58,45)</f>
        <v>41907.540798611109</v>
      </c>
      <c r="C2176">
        <v>80</v>
      </c>
      <c r="D2176">
        <v>79.980728149000001</v>
      </c>
      <c r="E2176">
        <v>50</v>
      </c>
      <c r="F2176">
        <v>54.106773376</v>
      </c>
      <c r="G2176">
        <v>1339.3208007999999</v>
      </c>
      <c r="H2176">
        <v>1336.9183350000001</v>
      </c>
      <c r="I2176">
        <v>1326.3345947</v>
      </c>
      <c r="J2176">
        <v>1324.1398925999999</v>
      </c>
      <c r="K2176">
        <v>2400</v>
      </c>
      <c r="L2176">
        <v>0</v>
      </c>
      <c r="M2176">
        <v>0</v>
      </c>
      <c r="N2176">
        <v>2400</v>
      </c>
    </row>
    <row r="2177" spans="1:14" x14ac:dyDescent="0.25">
      <c r="A2177">
        <v>1611.0193919999999</v>
      </c>
      <c r="B2177" s="1">
        <f>DATE(2014,9,28) + TIME(0,27,55)</f>
        <v>41910.019386574073</v>
      </c>
      <c r="C2177">
        <v>80</v>
      </c>
      <c r="D2177">
        <v>79.980735779</v>
      </c>
      <c r="E2177">
        <v>50</v>
      </c>
      <c r="F2177">
        <v>54.496368408000002</v>
      </c>
      <c r="G2177">
        <v>1339.3151855000001</v>
      </c>
      <c r="H2177">
        <v>1336.9145507999999</v>
      </c>
      <c r="I2177">
        <v>1326.3304443</v>
      </c>
      <c r="J2177">
        <v>1324.1351318</v>
      </c>
      <c r="K2177">
        <v>2400</v>
      </c>
      <c r="L2177">
        <v>0</v>
      </c>
      <c r="M2177">
        <v>0</v>
      </c>
      <c r="N2177">
        <v>2400</v>
      </c>
    </row>
    <row r="2178" spans="1:14" x14ac:dyDescent="0.25">
      <c r="A2178">
        <v>1613.5360109999999</v>
      </c>
      <c r="B2178" s="1">
        <f>DATE(2014,9,30) + TIME(12,51,51)</f>
        <v>41912.536006944443</v>
      </c>
      <c r="C2178">
        <v>80</v>
      </c>
      <c r="D2178">
        <v>79.980743407999995</v>
      </c>
      <c r="E2178">
        <v>50</v>
      </c>
      <c r="F2178">
        <v>54.889995575</v>
      </c>
      <c r="G2178">
        <v>1339.3096923999999</v>
      </c>
      <c r="H2178">
        <v>1336.9107666</v>
      </c>
      <c r="I2178">
        <v>1326.3267822</v>
      </c>
      <c r="J2178">
        <v>1324.1314697</v>
      </c>
      <c r="K2178">
        <v>2400</v>
      </c>
      <c r="L2178">
        <v>0</v>
      </c>
      <c r="M2178">
        <v>0</v>
      </c>
      <c r="N2178">
        <v>2400</v>
      </c>
    </row>
    <row r="2179" spans="1:14" x14ac:dyDescent="0.25">
      <c r="A2179">
        <v>1614</v>
      </c>
      <c r="B2179" s="1">
        <f>DATE(2014,10,1) + TIME(0,0,0)</f>
        <v>41913</v>
      </c>
      <c r="C2179">
        <v>80</v>
      </c>
      <c r="D2179">
        <v>79.980735779</v>
      </c>
      <c r="E2179">
        <v>50</v>
      </c>
      <c r="F2179">
        <v>55.098060607999997</v>
      </c>
      <c r="G2179">
        <v>1339.3052978999999</v>
      </c>
      <c r="H2179">
        <v>1336.9080810999999</v>
      </c>
      <c r="I2179">
        <v>1326.3295897999999</v>
      </c>
      <c r="J2179">
        <v>1324.1308594</v>
      </c>
      <c r="K2179">
        <v>2400</v>
      </c>
      <c r="L2179">
        <v>0</v>
      </c>
      <c r="M2179">
        <v>0</v>
      </c>
      <c r="N2179">
        <v>2400</v>
      </c>
    </row>
    <row r="2180" spans="1:14" x14ac:dyDescent="0.25">
      <c r="A2180">
        <v>1616.565576</v>
      </c>
      <c r="B2180" s="1">
        <f>DATE(2014,10,3) + TIME(13,34,25)</f>
        <v>41915.565567129626</v>
      </c>
      <c r="C2180">
        <v>80</v>
      </c>
      <c r="D2180">
        <v>79.980758667000003</v>
      </c>
      <c r="E2180">
        <v>50</v>
      </c>
      <c r="F2180">
        <v>55.384632111000002</v>
      </c>
      <c r="G2180">
        <v>1339.3028564000001</v>
      </c>
      <c r="H2180">
        <v>1336.9060059000001</v>
      </c>
      <c r="I2180">
        <v>1326.3237305</v>
      </c>
      <c r="J2180">
        <v>1324.1301269999999</v>
      </c>
      <c r="K2180">
        <v>2400</v>
      </c>
      <c r="L2180">
        <v>0</v>
      </c>
      <c r="M2180">
        <v>0</v>
      </c>
      <c r="N2180">
        <v>2400</v>
      </c>
    </row>
    <row r="2181" spans="1:14" x14ac:dyDescent="0.25">
      <c r="A2181">
        <v>1619.186322</v>
      </c>
      <c r="B2181" s="1">
        <f>DATE(2014,10,6) + TIME(4,28,18)</f>
        <v>41918.186319444445</v>
      </c>
      <c r="C2181">
        <v>80</v>
      </c>
      <c r="D2181">
        <v>79.980766295999999</v>
      </c>
      <c r="E2181">
        <v>50</v>
      </c>
      <c r="F2181">
        <v>55.758689879999999</v>
      </c>
      <c r="G2181">
        <v>1339.2974853999999</v>
      </c>
      <c r="H2181">
        <v>1336.9023437999999</v>
      </c>
      <c r="I2181">
        <v>1326.3211670000001</v>
      </c>
      <c r="J2181">
        <v>1324.1270752</v>
      </c>
      <c r="K2181">
        <v>2400</v>
      </c>
      <c r="L2181">
        <v>0</v>
      </c>
      <c r="M2181">
        <v>0</v>
      </c>
      <c r="N2181">
        <v>2400</v>
      </c>
    </row>
    <row r="2182" spans="1:14" x14ac:dyDescent="0.25">
      <c r="A2182">
        <v>1621.833772</v>
      </c>
      <c r="B2182" s="1">
        <f>DATE(2014,10,8) + TIME(20,0,37)</f>
        <v>41920.833761574075</v>
      </c>
      <c r="C2182">
        <v>80</v>
      </c>
      <c r="D2182">
        <v>79.980773925999998</v>
      </c>
      <c r="E2182">
        <v>50</v>
      </c>
      <c r="F2182">
        <v>56.149959564</v>
      </c>
      <c r="G2182">
        <v>1339.2918701000001</v>
      </c>
      <c r="H2182">
        <v>1336.8985596</v>
      </c>
      <c r="I2182">
        <v>1326.3195800999999</v>
      </c>
      <c r="J2182">
        <v>1324.1264647999999</v>
      </c>
      <c r="K2182">
        <v>2400</v>
      </c>
      <c r="L2182">
        <v>0</v>
      </c>
      <c r="M2182">
        <v>0</v>
      </c>
      <c r="N2182">
        <v>2400</v>
      </c>
    </row>
    <row r="2183" spans="1:14" x14ac:dyDescent="0.25">
      <c r="A2183">
        <v>1624.5304169999999</v>
      </c>
      <c r="B2183" s="1">
        <f>DATE(2014,10,11) + TIME(12,43,48)</f>
        <v>41923.530416666668</v>
      </c>
      <c r="C2183">
        <v>80</v>
      </c>
      <c r="D2183">
        <v>79.980781554999993</v>
      </c>
      <c r="E2183">
        <v>50</v>
      </c>
      <c r="F2183">
        <v>56.541297913000001</v>
      </c>
      <c r="G2183">
        <v>1339.2863769999999</v>
      </c>
      <c r="H2183">
        <v>1336.8948975000001</v>
      </c>
      <c r="I2183">
        <v>1326.3187256000001</v>
      </c>
      <c r="J2183">
        <v>1324.1270752</v>
      </c>
      <c r="K2183">
        <v>2400</v>
      </c>
      <c r="L2183">
        <v>0</v>
      </c>
      <c r="M2183">
        <v>0</v>
      </c>
      <c r="N2183">
        <v>2400</v>
      </c>
    </row>
    <row r="2184" spans="1:14" x14ac:dyDescent="0.25">
      <c r="A2184">
        <v>1627.309622</v>
      </c>
      <c r="B2184" s="1">
        <f>DATE(2014,10,14) + TIME(7,25,51)</f>
        <v>41926.309618055559</v>
      </c>
      <c r="C2184">
        <v>80</v>
      </c>
      <c r="D2184">
        <v>79.980796814000001</v>
      </c>
      <c r="E2184">
        <v>50</v>
      </c>
      <c r="F2184">
        <v>56.930690765000001</v>
      </c>
      <c r="G2184">
        <v>1339.2807617000001</v>
      </c>
      <c r="H2184">
        <v>1336.8911132999999</v>
      </c>
      <c r="I2184">
        <v>1326.3183594</v>
      </c>
      <c r="J2184">
        <v>1324.1285399999999</v>
      </c>
      <c r="K2184">
        <v>2400</v>
      </c>
      <c r="L2184">
        <v>0</v>
      </c>
      <c r="M2184">
        <v>0</v>
      </c>
      <c r="N2184">
        <v>2400</v>
      </c>
    </row>
    <row r="2185" spans="1:14" x14ac:dyDescent="0.25">
      <c r="A2185">
        <v>1630.1346880000001</v>
      </c>
      <c r="B2185" s="1">
        <f>DATE(2014,10,17) + TIME(3,13,57)</f>
        <v>41929.134687500002</v>
      </c>
      <c r="C2185">
        <v>80</v>
      </c>
      <c r="D2185">
        <v>79.980804442999997</v>
      </c>
      <c r="E2185">
        <v>50</v>
      </c>
      <c r="F2185">
        <v>57.319141387999998</v>
      </c>
      <c r="G2185">
        <v>1339.2751464999999</v>
      </c>
      <c r="H2185">
        <v>1336.8873291</v>
      </c>
      <c r="I2185">
        <v>1326.3187256000001</v>
      </c>
      <c r="J2185">
        <v>1324.1309814000001</v>
      </c>
      <c r="K2185">
        <v>2400</v>
      </c>
      <c r="L2185">
        <v>0</v>
      </c>
      <c r="M2185">
        <v>0</v>
      </c>
      <c r="N2185">
        <v>2400</v>
      </c>
    </row>
    <row r="2186" spans="1:14" x14ac:dyDescent="0.25">
      <c r="A2186">
        <v>1632.99983</v>
      </c>
      <c r="B2186" s="1">
        <f>DATE(2014,10,19) + TIME(23,59,45)</f>
        <v>41931.999826388892</v>
      </c>
      <c r="C2186">
        <v>80</v>
      </c>
      <c r="D2186">
        <v>79.980812072999996</v>
      </c>
      <c r="E2186">
        <v>50</v>
      </c>
      <c r="F2186">
        <v>57.702178955000001</v>
      </c>
      <c r="G2186">
        <v>1339.2695312000001</v>
      </c>
      <c r="H2186">
        <v>1336.8835449000001</v>
      </c>
      <c r="I2186">
        <v>1326.3198242000001</v>
      </c>
      <c r="J2186">
        <v>1324.1345214999999</v>
      </c>
      <c r="K2186">
        <v>2400</v>
      </c>
      <c r="L2186">
        <v>0</v>
      </c>
      <c r="M2186">
        <v>0</v>
      </c>
      <c r="N2186">
        <v>2400</v>
      </c>
    </row>
    <row r="2187" spans="1:14" x14ac:dyDescent="0.25">
      <c r="A2187">
        <v>1635.9190920000001</v>
      </c>
      <c r="B2187" s="1">
        <f>DATE(2014,10,22) + TIME(22,3,29)</f>
        <v>41934.919085648151</v>
      </c>
      <c r="C2187">
        <v>80</v>
      </c>
      <c r="D2187">
        <v>79.980827332000004</v>
      </c>
      <c r="E2187">
        <v>50</v>
      </c>
      <c r="F2187">
        <v>58.078178405999999</v>
      </c>
      <c r="G2187">
        <v>1339.2640381000001</v>
      </c>
      <c r="H2187">
        <v>1336.8797606999999</v>
      </c>
      <c r="I2187">
        <v>1326.3215332</v>
      </c>
      <c r="J2187">
        <v>1324.1389160000001</v>
      </c>
      <c r="K2187">
        <v>2400</v>
      </c>
      <c r="L2187">
        <v>0</v>
      </c>
      <c r="M2187">
        <v>0</v>
      </c>
      <c r="N2187">
        <v>2400</v>
      </c>
    </row>
    <row r="2188" spans="1:14" x14ac:dyDescent="0.25">
      <c r="A2188">
        <v>1638.9233039999999</v>
      </c>
      <c r="B2188" s="1">
        <f>DATE(2014,10,25) + TIME(22,9,33)</f>
        <v>41937.923298611109</v>
      </c>
      <c r="C2188">
        <v>80</v>
      </c>
      <c r="D2188">
        <v>79.980834960999999</v>
      </c>
      <c r="E2188">
        <v>50</v>
      </c>
      <c r="F2188">
        <v>58.447883605999998</v>
      </c>
      <c r="G2188">
        <v>1339.2584228999999</v>
      </c>
      <c r="H2188">
        <v>1336.8760986</v>
      </c>
      <c r="I2188">
        <v>1326.3238524999999</v>
      </c>
      <c r="J2188">
        <v>1324.1441649999999</v>
      </c>
      <c r="K2188">
        <v>2400</v>
      </c>
      <c r="L2188">
        <v>0</v>
      </c>
      <c r="M2188">
        <v>0</v>
      </c>
      <c r="N2188">
        <v>2400</v>
      </c>
    </row>
    <row r="2189" spans="1:14" x14ac:dyDescent="0.25">
      <c r="A2189">
        <v>1642.0263629999999</v>
      </c>
      <c r="B2189" s="1">
        <f>DATE(2014,10,29) + TIME(0,37,57)</f>
        <v>41941.026354166665</v>
      </c>
      <c r="C2189">
        <v>80</v>
      </c>
      <c r="D2189">
        <v>79.980850219999994</v>
      </c>
      <c r="E2189">
        <v>50</v>
      </c>
      <c r="F2189">
        <v>58.813655853</v>
      </c>
      <c r="G2189">
        <v>1339.2529297000001</v>
      </c>
      <c r="H2189">
        <v>1336.8723144999999</v>
      </c>
      <c r="I2189">
        <v>1326.3267822</v>
      </c>
      <c r="J2189">
        <v>1324.1502685999999</v>
      </c>
      <c r="K2189">
        <v>2400</v>
      </c>
      <c r="L2189">
        <v>0</v>
      </c>
      <c r="M2189">
        <v>0</v>
      </c>
      <c r="N2189">
        <v>2400</v>
      </c>
    </row>
    <row r="2190" spans="1:14" x14ac:dyDescent="0.25">
      <c r="A2190">
        <v>1645</v>
      </c>
      <c r="B2190" s="1">
        <f>DATE(2014,11,1) + TIME(0,0,0)</f>
        <v>41944</v>
      </c>
      <c r="C2190">
        <v>80</v>
      </c>
      <c r="D2190">
        <v>79.980857849000003</v>
      </c>
      <c r="E2190">
        <v>50</v>
      </c>
      <c r="F2190">
        <v>59.171043396000002</v>
      </c>
      <c r="G2190">
        <v>1339.2471923999999</v>
      </c>
      <c r="H2190">
        <v>1336.8686522999999</v>
      </c>
      <c r="I2190">
        <v>1326.3304443</v>
      </c>
      <c r="J2190">
        <v>1324.1572266000001</v>
      </c>
      <c r="K2190">
        <v>2400</v>
      </c>
      <c r="L2190">
        <v>0</v>
      </c>
      <c r="M2190">
        <v>0</v>
      </c>
      <c r="N2190">
        <v>2400</v>
      </c>
    </row>
    <row r="2191" spans="1:14" x14ac:dyDescent="0.25">
      <c r="A2191">
        <v>1645.0000010000001</v>
      </c>
      <c r="B2191" s="1">
        <f>DATE(2014,11,1) + TIME(0,0,0)</f>
        <v>41944</v>
      </c>
      <c r="C2191">
        <v>80</v>
      </c>
      <c r="D2191">
        <v>79.980827332000004</v>
      </c>
      <c r="E2191">
        <v>50</v>
      </c>
      <c r="F2191">
        <v>59.171054839999996</v>
      </c>
      <c r="G2191">
        <v>1336.8579102000001</v>
      </c>
      <c r="H2191">
        <v>1336.5102539</v>
      </c>
      <c r="I2191">
        <v>1328.7288818</v>
      </c>
      <c r="J2191">
        <v>1326.3438721</v>
      </c>
      <c r="K2191">
        <v>0</v>
      </c>
      <c r="L2191">
        <v>2400</v>
      </c>
      <c r="M2191">
        <v>2400</v>
      </c>
      <c r="N2191">
        <v>0</v>
      </c>
    </row>
    <row r="2192" spans="1:14" x14ac:dyDescent="0.25">
      <c r="A2192">
        <v>1645.000004</v>
      </c>
      <c r="B2192" s="1">
        <f>DATE(2014,11,1) + TIME(0,0,0)</f>
        <v>41944</v>
      </c>
      <c r="C2192">
        <v>80</v>
      </c>
      <c r="D2192">
        <v>79.980728149000001</v>
      </c>
      <c r="E2192">
        <v>50</v>
      </c>
      <c r="F2192">
        <v>59.171089172000002</v>
      </c>
      <c r="G2192">
        <v>1336.8264160000001</v>
      </c>
      <c r="H2192">
        <v>1336.4799805</v>
      </c>
      <c r="I2192">
        <v>1328.7595214999999</v>
      </c>
      <c r="J2192">
        <v>1326.3835449000001</v>
      </c>
      <c r="K2192">
        <v>0</v>
      </c>
      <c r="L2192">
        <v>2400</v>
      </c>
      <c r="M2192">
        <v>2400</v>
      </c>
      <c r="N2192">
        <v>0</v>
      </c>
    </row>
    <row r="2193" spans="1:14" x14ac:dyDescent="0.25">
      <c r="A2193">
        <v>1645.0000130000001</v>
      </c>
      <c r="B2193" s="1">
        <f>DATE(2014,11,1) + TIME(0,0,1)</f>
        <v>41944.000011574077</v>
      </c>
      <c r="C2193">
        <v>80</v>
      </c>
      <c r="D2193">
        <v>79.980438231999997</v>
      </c>
      <c r="E2193">
        <v>50</v>
      </c>
      <c r="F2193">
        <v>59.171180724999999</v>
      </c>
      <c r="G2193">
        <v>1336.7379149999999</v>
      </c>
      <c r="H2193">
        <v>1336.3946533000001</v>
      </c>
      <c r="I2193">
        <v>1328.8480225000001</v>
      </c>
      <c r="J2193">
        <v>1326.4967041</v>
      </c>
      <c r="K2193">
        <v>0</v>
      </c>
      <c r="L2193">
        <v>2400</v>
      </c>
      <c r="M2193">
        <v>2400</v>
      </c>
      <c r="N2193">
        <v>0</v>
      </c>
    </row>
    <row r="2194" spans="1:14" x14ac:dyDescent="0.25">
      <c r="A2194">
        <v>1645.0000399999999</v>
      </c>
      <c r="B2194" s="1">
        <f>DATE(2014,11,1) + TIME(0,0,3)</f>
        <v>41944.000034722223</v>
      </c>
      <c r="C2194">
        <v>80</v>
      </c>
      <c r="D2194">
        <v>79.979713439999998</v>
      </c>
      <c r="E2194">
        <v>50</v>
      </c>
      <c r="F2194">
        <v>59.171382903999998</v>
      </c>
      <c r="G2194">
        <v>1336.5133057</v>
      </c>
      <c r="H2194">
        <v>1336.1762695</v>
      </c>
      <c r="I2194">
        <v>1329.0863036999999</v>
      </c>
      <c r="J2194">
        <v>1326.7917480000001</v>
      </c>
      <c r="K2194">
        <v>0</v>
      </c>
      <c r="L2194">
        <v>2400</v>
      </c>
      <c r="M2194">
        <v>2400</v>
      </c>
      <c r="N2194">
        <v>0</v>
      </c>
    </row>
    <row r="2195" spans="1:14" x14ac:dyDescent="0.25">
      <c r="A2195">
        <v>1645.000121</v>
      </c>
      <c r="B2195" s="1">
        <f>DATE(2014,11,1) + TIME(0,0,10)</f>
        <v>41944.000115740739</v>
      </c>
      <c r="C2195">
        <v>80</v>
      </c>
      <c r="D2195">
        <v>79.978240967000005</v>
      </c>
      <c r="E2195">
        <v>50</v>
      </c>
      <c r="F2195">
        <v>59.171546935999999</v>
      </c>
      <c r="G2195">
        <v>1336.0557861</v>
      </c>
      <c r="H2195">
        <v>1335.7233887</v>
      </c>
      <c r="I2195">
        <v>1329.6348877</v>
      </c>
      <c r="J2195">
        <v>1327.4265137</v>
      </c>
      <c r="K2195">
        <v>0</v>
      </c>
      <c r="L2195">
        <v>2400</v>
      </c>
      <c r="M2195">
        <v>2400</v>
      </c>
      <c r="N2195">
        <v>0</v>
      </c>
    </row>
    <row r="2196" spans="1:14" x14ac:dyDescent="0.25">
      <c r="A2196">
        <v>1645.000364</v>
      </c>
      <c r="B2196" s="1">
        <f>DATE(2014,11,1) + TIME(0,0,31)</f>
        <v>41944.000358796293</v>
      </c>
      <c r="C2196">
        <v>80</v>
      </c>
      <c r="D2196">
        <v>79.976036071999999</v>
      </c>
      <c r="E2196">
        <v>50</v>
      </c>
      <c r="F2196">
        <v>59.169952393000003</v>
      </c>
      <c r="G2196">
        <v>1335.3736572</v>
      </c>
      <c r="H2196">
        <v>1335.0334473</v>
      </c>
      <c r="I2196">
        <v>1330.5942382999999</v>
      </c>
      <c r="J2196">
        <v>1328.4318848</v>
      </c>
      <c r="K2196">
        <v>0</v>
      </c>
      <c r="L2196">
        <v>2400</v>
      </c>
      <c r="M2196">
        <v>2400</v>
      </c>
      <c r="N2196">
        <v>0</v>
      </c>
    </row>
    <row r="2197" spans="1:14" x14ac:dyDescent="0.25">
      <c r="A2197">
        <v>1645.0010930000001</v>
      </c>
      <c r="B2197" s="1">
        <f>DATE(2014,11,1) + TIME(0,1,34)</f>
        <v>41944.001087962963</v>
      </c>
      <c r="C2197">
        <v>80</v>
      </c>
      <c r="D2197">
        <v>79.973480225000003</v>
      </c>
      <c r="E2197">
        <v>50</v>
      </c>
      <c r="F2197">
        <v>59.161403655999997</v>
      </c>
      <c r="G2197">
        <v>1334.5921631000001</v>
      </c>
      <c r="H2197">
        <v>1334.2321777</v>
      </c>
      <c r="I2197">
        <v>1331.8304443</v>
      </c>
      <c r="J2197">
        <v>1329.6534423999999</v>
      </c>
      <c r="K2197">
        <v>0</v>
      </c>
      <c r="L2197">
        <v>2400</v>
      </c>
      <c r="M2197">
        <v>2400</v>
      </c>
      <c r="N2197">
        <v>0</v>
      </c>
    </row>
    <row r="2198" spans="1:14" x14ac:dyDescent="0.25">
      <c r="A2198">
        <v>1645.0032799999999</v>
      </c>
      <c r="B2198" s="1">
        <f>DATE(2014,11,1) + TIME(0,4,43)</f>
        <v>41944.003275462965</v>
      </c>
      <c r="C2198">
        <v>80</v>
      </c>
      <c r="D2198">
        <v>79.970748900999993</v>
      </c>
      <c r="E2198">
        <v>50</v>
      </c>
      <c r="F2198">
        <v>59.130645752</v>
      </c>
      <c r="G2198">
        <v>1333.7843018000001</v>
      </c>
      <c r="H2198">
        <v>1333.3997803</v>
      </c>
      <c r="I2198">
        <v>1333.1442870999999</v>
      </c>
      <c r="J2198">
        <v>1330.942749</v>
      </c>
      <c r="K2198">
        <v>0</v>
      </c>
      <c r="L2198">
        <v>2400</v>
      </c>
      <c r="M2198">
        <v>2400</v>
      </c>
      <c r="N2198">
        <v>0</v>
      </c>
    </row>
    <row r="2199" spans="1:14" x14ac:dyDescent="0.25">
      <c r="A2199">
        <v>1645.0098410000001</v>
      </c>
      <c r="B2199" s="1">
        <f>DATE(2014,11,1) + TIME(0,14,10)</f>
        <v>41944.009837962964</v>
      </c>
      <c r="C2199">
        <v>80</v>
      </c>
      <c r="D2199">
        <v>79.967628478999998</v>
      </c>
      <c r="E2199">
        <v>50</v>
      </c>
      <c r="F2199">
        <v>59.033473968999999</v>
      </c>
      <c r="G2199">
        <v>1332.9487305</v>
      </c>
      <c r="H2199">
        <v>1332.5289307</v>
      </c>
      <c r="I2199">
        <v>1334.4729004000001</v>
      </c>
      <c r="J2199">
        <v>1332.2519531</v>
      </c>
      <c r="K2199">
        <v>0</v>
      </c>
      <c r="L2199">
        <v>2400</v>
      </c>
      <c r="M2199">
        <v>2400</v>
      </c>
      <c r="N2199">
        <v>0</v>
      </c>
    </row>
    <row r="2200" spans="1:14" x14ac:dyDescent="0.25">
      <c r="A2200">
        <v>1645.029524</v>
      </c>
      <c r="B2200" s="1">
        <f>DATE(2014,11,1) + TIME(0,42,30)</f>
        <v>41944.029513888891</v>
      </c>
      <c r="C2200">
        <v>80</v>
      </c>
      <c r="D2200">
        <v>79.963478088000002</v>
      </c>
      <c r="E2200">
        <v>50</v>
      </c>
      <c r="F2200">
        <v>58.743923187</v>
      </c>
      <c r="G2200">
        <v>1332.0798339999999</v>
      </c>
      <c r="H2200">
        <v>1331.5983887</v>
      </c>
      <c r="I2200">
        <v>1335.7987060999999</v>
      </c>
      <c r="J2200">
        <v>1333.5500488</v>
      </c>
      <c r="K2200">
        <v>0</v>
      </c>
      <c r="L2200">
        <v>2400</v>
      </c>
      <c r="M2200">
        <v>2400</v>
      </c>
      <c r="N2200">
        <v>0</v>
      </c>
    </row>
    <row r="2201" spans="1:14" x14ac:dyDescent="0.25">
      <c r="A2201">
        <v>1645.063171</v>
      </c>
      <c r="B2201" s="1">
        <f>DATE(2014,11,1) + TIME(1,30,57)</f>
        <v>41944.063159722224</v>
      </c>
      <c r="C2201">
        <v>80</v>
      </c>
      <c r="D2201">
        <v>79.959060668999996</v>
      </c>
      <c r="E2201">
        <v>50</v>
      </c>
      <c r="F2201">
        <v>58.270217895999998</v>
      </c>
      <c r="G2201">
        <v>1331.4571533000001</v>
      </c>
      <c r="H2201">
        <v>1330.9107666</v>
      </c>
      <c r="I2201">
        <v>1336.7143555</v>
      </c>
      <c r="J2201">
        <v>1334.4339600000001</v>
      </c>
      <c r="K2201">
        <v>0</v>
      </c>
      <c r="L2201">
        <v>2400</v>
      </c>
      <c r="M2201">
        <v>2400</v>
      </c>
      <c r="N2201">
        <v>0</v>
      </c>
    </row>
    <row r="2202" spans="1:14" x14ac:dyDescent="0.25">
      <c r="A2202">
        <v>1645.0998050000001</v>
      </c>
      <c r="B2202" s="1">
        <f>DATE(2014,11,1) + TIME(2,23,43)</f>
        <v>41944.099803240744</v>
      </c>
      <c r="C2202">
        <v>80</v>
      </c>
      <c r="D2202">
        <v>79.955192565999994</v>
      </c>
      <c r="E2202">
        <v>50</v>
      </c>
      <c r="F2202">
        <v>57.782676696999999</v>
      </c>
      <c r="G2202">
        <v>1331.0965576000001</v>
      </c>
      <c r="H2202">
        <v>1330.5056152</v>
      </c>
      <c r="I2202">
        <v>1337.2274170000001</v>
      </c>
      <c r="J2202">
        <v>1334.9227295000001</v>
      </c>
      <c r="K2202">
        <v>0</v>
      </c>
      <c r="L2202">
        <v>2400</v>
      </c>
      <c r="M2202">
        <v>2400</v>
      </c>
      <c r="N2202">
        <v>0</v>
      </c>
    </row>
    <row r="2203" spans="1:14" x14ac:dyDescent="0.25">
      <c r="A2203">
        <v>1645.1392719999999</v>
      </c>
      <c r="B2203" s="1">
        <f>DATE(2014,11,1) + TIME(3,20,33)</f>
        <v>41944.139270833337</v>
      </c>
      <c r="C2203">
        <v>80</v>
      </c>
      <c r="D2203">
        <v>79.951461792000003</v>
      </c>
      <c r="E2203">
        <v>50</v>
      </c>
      <c r="F2203">
        <v>57.290164947999997</v>
      </c>
      <c r="G2203">
        <v>1330.8615723</v>
      </c>
      <c r="H2203">
        <v>1330.2403564000001</v>
      </c>
      <c r="I2203">
        <v>1337.5501709</v>
      </c>
      <c r="J2203">
        <v>1335.2268065999999</v>
      </c>
      <c r="K2203">
        <v>0</v>
      </c>
      <c r="L2203">
        <v>2400</v>
      </c>
      <c r="M2203">
        <v>2400</v>
      </c>
      <c r="N2203">
        <v>0</v>
      </c>
    </row>
    <row r="2204" spans="1:14" x14ac:dyDescent="0.25">
      <c r="A2204">
        <v>1645.18164</v>
      </c>
      <c r="B2204" s="1">
        <f>DATE(2014,11,1) + TIME(4,21,33)</f>
        <v>41944.181631944448</v>
      </c>
      <c r="C2204">
        <v>80</v>
      </c>
      <c r="D2204">
        <v>79.947715759000005</v>
      </c>
      <c r="E2204">
        <v>50</v>
      </c>
      <c r="F2204">
        <v>56.797695160000004</v>
      </c>
      <c r="G2204">
        <v>1330.6959228999999</v>
      </c>
      <c r="H2204">
        <v>1330.0541992000001</v>
      </c>
      <c r="I2204">
        <v>1337.7679443</v>
      </c>
      <c r="J2204">
        <v>1335.4296875</v>
      </c>
      <c r="K2204">
        <v>0</v>
      </c>
      <c r="L2204">
        <v>2400</v>
      </c>
      <c r="M2204">
        <v>2400</v>
      </c>
      <c r="N2204">
        <v>0</v>
      </c>
    </row>
    <row r="2205" spans="1:14" x14ac:dyDescent="0.25">
      <c r="A2205">
        <v>1645.2270570000001</v>
      </c>
      <c r="B2205" s="1">
        <f>DATE(2014,11,1) + TIME(5,26,57)</f>
        <v>41944.227048611108</v>
      </c>
      <c r="C2205">
        <v>80</v>
      </c>
      <c r="D2205">
        <v>79.943855286000002</v>
      </c>
      <c r="E2205">
        <v>50</v>
      </c>
      <c r="F2205">
        <v>56.308887482000003</v>
      </c>
      <c r="G2205">
        <v>1330.5723877</v>
      </c>
      <c r="H2205">
        <v>1329.9163818</v>
      </c>
      <c r="I2205">
        <v>1337.9213867000001</v>
      </c>
      <c r="J2205">
        <v>1335.5708007999999</v>
      </c>
      <c r="K2205">
        <v>0</v>
      </c>
      <c r="L2205">
        <v>2400</v>
      </c>
      <c r="M2205">
        <v>2400</v>
      </c>
      <c r="N2205">
        <v>0</v>
      </c>
    </row>
    <row r="2206" spans="1:14" x14ac:dyDescent="0.25">
      <c r="A2206">
        <v>1645.2757320000001</v>
      </c>
      <c r="B2206" s="1">
        <f>DATE(2014,11,1) + TIME(6,37,3)</f>
        <v>41944.275729166664</v>
      </c>
      <c r="C2206">
        <v>80</v>
      </c>
      <c r="D2206">
        <v>79.939842224000003</v>
      </c>
      <c r="E2206">
        <v>50</v>
      </c>
      <c r="F2206">
        <v>55.826557158999996</v>
      </c>
      <c r="G2206">
        <v>1330.4766846</v>
      </c>
      <c r="H2206">
        <v>1329.8103027</v>
      </c>
      <c r="I2206">
        <v>1338.0324707</v>
      </c>
      <c r="J2206">
        <v>1335.6713867000001</v>
      </c>
      <c r="K2206">
        <v>0</v>
      </c>
      <c r="L2206">
        <v>2400</v>
      </c>
      <c r="M2206">
        <v>2400</v>
      </c>
      <c r="N2206">
        <v>0</v>
      </c>
    </row>
    <row r="2207" spans="1:14" x14ac:dyDescent="0.25">
      <c r="A2207">
        <v>1645.3279199999999</v>
      </c>
      <c r="B2207" s="1">
        <f>DATE(2014,11,1) + TIME(7,52,12)</f>
        <v>41944.327916666669</v>
      </c>
      <c r="C2207">
        <v>80</v>
      </c>
      <c r="D2207">
        <v>79.935623168999996</v>
      </c>
      <c r="E2207">
        <v>50</v>
      </c>
      <c r="F2207">
        <v>55.353122710999997</v>
      </c>
      <c r="G2207">
        <v>1330.4000243999999</v>
      </c>
      <c r="H2207">
        <v>1329.7261963000001</v>
      </c>
      <c r="I2207">
        <v>1338.1138916</v>
      </c>
      <c r="J2207">
        <v>1335.7435303</v>
      </c>
      <c r="K2207">
        <v>0</v>
      </c>
      <c r="L2207">
        <v>2400</v>
      </c>
      <c r="M2207">
        <v>2400</v>
      </c>
      <c r="N2207">
        <v>0</v>
      </c>
    </row>
    <row r="2208" spans="1:14" x14ac:dyDescent="0.25">
      <c r="A2208">
        <v>1645.383932</v>
      </c>
      <c r="B2208" s="1">
        <f>DATE(2014,11,1) + TIME(9,12,51)</f>
        <v>41944.383923611109</v>
      </c>
      <c r="C2208">
        <v>80</v>
      </c>
      <c r="D2208">
        <v>79.931182860999996</v>
      </c>
      <c r="E2208">
        <v>50</v>
      </c>
      <c r="F2208">
        <v>54.890666961999997</v>
      </c>
      <c r="G2208">
        <v>1330.3374022999999</v>
      </c>
      <c r="H2208">
        <v>1329.6577147999999</v>
      </c>
      <c r="I2208">
        <v>1338.1737060999999</v>
      </c>
      <c r="J2208">
        <v>1335.7949219</v>
      </c>
      <c r="K2208">
        <v>0</v>
      </c>
      <c r="L2208">
        <v>2400</v>
      </c>
      <c r="M2208">
        <v>2400</v>
      </c>
      <c r="N2208">
        <v>0</v>
      </c>
    </row>
    <row r="2209" spans="1:14" x14ac:dyDescent="0.25">
      <c r="A2209">
        <v>1645.4441850000001</v>
      </c>
      <c r="B2209" s="1">
        <f>DATE(2014,11,1) + TIME(10,39,37)</f>
        <v>41944.444178240738</v>
      </c>
      <c r="C2209">
        <v>80</v>
      </c>
      <c r="D2209">
        <v>79.926475525000001</v>
      </c>
      <c r="E2209">
        <v>50</v>
      </c>
      <c r="F2209">
        <v>54.440761565999999</v>
      </c>
      <c r="G2209">
        <v>1330.2852783000001</v>
      </c>
      <c r="H2209">
        <v>1329.6008300999999</v>
      </c>
      <c r="I2209">
        <v>1338.2170410000001</v>
      </c>
      <c r="J2209">
        <v>1335.8306885</v>
      </c>
      <c r="K2209">
        <v>0</v>
      </c>
      <c r="L2209">
        <v>2400</v>
      </c>
      <c r="M2209">
        <v>2400</v>
      </c>
      <c r="N2209">
        <v>0</v>
      </c>
    </row>
    <row r="2210" spans="1:14" x14ac:dyDescent="0.25">
      <c r="A2210">
        <v>1645.5091460000001</v>
      </c>
      <c r="B2210" s="1">
        <f>DATE(2014,11,1) + TIME(12,13,10)</f>
        <v>41944.509143518517</v>
      </c>
      <c r="C2210">
        <v>80</v>
      </c>
      <c r="D2210">
        <v>79.921470642000003</v>
      </c>
      <c r="E2210">
        <v>50</v>
      </c>
      <c r="F2210">
        <v>54.005069732999999</v>
      </c>
      <c r="G2210">
        <v>1330.2413329999999</v>
      </c>
      <c r="H2210">
        <v>1329.5529785000001</v>
      </c>
      <c r="I2210">
        <v>1338.2476807</v>
      </c>
      <c r="J2210">
        <v>1335.8542480000001</v>
      </c>
      <c r="K2210">
        <v>0</v>
      </c>
      <c r="L2210">
        <v>2400</v>
      </c>
      <c r="M2210">
        <v>2400</v>
      </c>
      <c r="N2210">
        <v>0</v>
      </c>
    </row>
    <row r="2211" spans="1:14" x14ac:dyDescent="0.25">
      <c r="A2211">
        <v>1645.5793659999999</v>
      </c>
      <c r="B2211" s="1">
        <f>DATE(2014,11,1) + TIME(13,54,17)</f>
        <v>41944.579363425924</v>
      </c>
      <c r="C2211">
        <v>80</v>
      </c>
      <c r="D2211">
        <v>79.916122436999999</v>
      </c>
      <c r="E2211">
        <v>50</v>
      </c>
      <c r="F2211">
        <v>53.585197448999999</v>
      </c>
      <c r="G2211">
        <v>1330.2038574000001</v>
      </c>
      <c r="H2211">
        <v>1329.5120850000001</v>
      </c>
      <c r="I2211">
        <v>1338.2681885</v>
      </c>
      <c r="J2211">
        <v>1335.8684082</v>
      </c>
      <c r="K2211">
        <v>0</v>
      </c>
      <c r="L2211">
        <v>2400</v>
      </c>
      <c r="M2211">
        <v>2400</v>
      </c>
      <c r="N2211">
        <v>0</v>
      </c>
    </row>
    <row r="2212" spans="1:14" x14ac:dyDescent="0.25">
      <c r="A2212">
        <v>1645.6542119999999</v>
      </c>
      <c r="B2212" s="1">
        <f>DATE(2014,11,1) + TIME(15,42,3)</f>
        <v>41944.65420138889</v>
      </c>
      <c r="C2212">
        <v>80</v>
      </c>
      <c r="D2212">
        <v>79.910491942999997</v>
      </c>
      <c r="E2212">
        <v>50</v>
      </c>
      <c r="F2212">
        <v>53.188735962000003</v>
      </c>
      <c r="G2212">
        <v>1330.171875</v>
      </c>
      <c r="H2212">
        <v>1329.4771728999999</v>
      </c>
      <c r="I2212">
        <v>1338.2806396000001</v>
      </c>
      <c r="J2212">
        <v>1335.8752440999999</v>
      </c>
      <c r="K2212">
        <v>0</v>
      </c>
      <c r="L2212">
        <v>2400</v>
      </c>
      <c r="M2212">
        <v>2400</v>
      </c>
      <c r="N2212">
        <v>0</v>
      </c>
    </row>
    <row r="2213" spans="1:14" x14ac:dyDescent="0.25">
      <c r="A2213">
        <v>1645.733377</v>
      </c>
      <c r="B2213" s="1">
        <f>DATE(2014,11,1) + TIME(17,36,3)</f>
        <v>41944.733368055553</v>
      </c>
      <c r="C2213">
        <v>80</v>
      </c>
      <c r="D2213">
        <v>79.904594420999999</v>
      </c>
      <c r="E2213">
        <v>50</v>
      </c>
      <c r="F2213">
        <v>52.819374084000003</v>
      </c>
      <c r="G2213">
        <v>1330.1447754000001</v>
      </c>
      <c r="H2213">
        <v>1329.4473877</v>
      </c>
      <c r="I2213">
        <v>1338.2871094</v>
      </c>
      <c r="J2213">
        <v>1335.8767089999999</v>
      </c>
      <c r="K2213">
        <v>0</v>
      </c>
      <c r="L2213">
        <v>2400</v>
      </c>
      <c r="M2213">
        <v>2400</v>
      </c>
      <c r="N2213">
        <v>0</v>
      </c>
    </row>
    <row r="2214" spans="1:14" x14ac:dyDescent="0.25">
      <c r="A2214">
        <v>1645.8173429999999</v>
      </c>
      <c r="B2214" s="1">
        <f>DATE(2014,11,1) + TIME(19,36,58)</f>
        <v>41944.817337962966</v>
      </c>
      <c r="C2214">
        <v>80</v>
      </c>
      <c r="D2214">
        <v>79.898406981999997</v>
      </c>
      <c r="E2214">
        <v>50</v>
      </c>
      <c r="F2214">
        <v>52.476482390999998</v>
      </c>
      <c r="G2214">
        <v>1330.1213379000001</v>
      </c>
      <c r="H2214">
        <v>1329.4216309000001</v>
      </c>
      <c r="I2214">
        <v>1338.2890625</v>
      </c>
      <c r="J2214">
        <v>1335.8741454999999</v>
      </c>
      <c r="K2214">
        <v>0</v>
      </c>
      <c r="L2214">
        <v>2400</v>
      </c>
      <c r="M2214">
        <v>2400</v>
      </c>
      <c r="N2214">
        <v>0</v>
      </c>
    </row>
    <row r="2215" spans="1:14" x14ac:dyDescent="0.25">
      <c r="A2215">
        <v>1645.906669</v>
      </c>
      <c r="B2215" s="1">
        <f>DATE(2014,11,1) + TIME(21,45,36)</f>
        <v>41944.906666666669</v>
      </c>
      <c r="C2215">
        <v>80</v>
      </c>
      <c r="D2215">
        <v>79.891883849999999</v>
      </c>
      <c r="E2215">
        <v>50</v>
      </c>
      <c r="F2215">
        <v>52.159446715999998</v>
      </c>
      <c r="G2215">
        <v>1330.1009521000001</v>
      </c>
      <c r="H2215">
        <v>1329.3990478999999</v>
      </c>
      <c r="I2215">
        <v>1338.2877197</v>
      </c>
      <c r="J2215">
        <v>1335.8690185999999</v>
      </c>
      <c r="K2215">
        <v>0</v>
      </c>
      <c r="L2215">
        <v>2400</v>
      </c>
      <c r="M2215">
        <v>2400</v>
      </c>
      <c r="N2215">
        <v>0</v>
      </c>
    </row>
    <row r="2216" spans="1:14" x14ac:dyDescent="0.25">
      <c r="A2216">
        <v>1646.002021</v>
      </c>
      <c r="B2216" s="1">
        <f>DATE(2014,11,2) + TIME(0,2,54)</f>
        <v>41945.002013888887</v>
      </c>
      <c r="C2216">
        <v>80</v>
      </c>
      <c r="D2216">
        <v>79.884994507000002</v>
      </c>
      <c r="E2216">
        <v>50</v>
      </c>
      <c r="F2216">
        <v>51.867630005000002</v>
      </c>
      <c r="G2216">
        <v>1330.0831298999999</v>
      </c>
      <c r="H2216">
        <v>1329.3791504000001</v>
      </c>
      <c r="I2216">
        <v>1338.2843018000001</v>
      </c>
      <c r="J2216">
        <v>1335.8621826000001</v>
      </c>
      <c r="K2216">
        <v>0</v>
      </c>
      <c r="L2216">
        <v>2400</v>
      </c>
      <c r="M2216">
        <v>2400</v>
      </c>
      <c r="N2216">
        <v>0</v>
      </c>
    </row>
    <row r="2217" spans="1:14" x14ac:dyDescent="0.25">
      <c r="A2217">
        <v>1646.1041889999999</v>
      </c>
      <c r="B2217" s="1">
        <f>DATE(2014,11,2) + TIME(2,30,1)</f>
        <v>41945.104178240741</v>
      </c>
      <c r="C2217">
        <v>80</v>
      </c>
      <c r="D2217">
        <v>79.877693175999994</v>
      </c>
      <c r="E2217">
        <v>50</v>
      </c>
      <c r="F2217">
        <v>51.600387572999999</v>
      </c>
      <c r="G2217">
        <v>1330.0672606999999</v>
      </c>
      <c r="H2217">
        <v>1329.3612060999999</v>
      </c>
      <c r="I2217">
        <v>1338.2794189000001</v>
      </c>
      <c r="J2217">
        <v>1335.8543701000001</v>
      </c>
      <c r="K2217">
        <v>0</v>
      </c>
      <c r="L2217">
        <v>2400</v>
      </c>
      <c r="M2217">
        <v>2400</v>
      </c>
      <c r="N2217">
        <v>0</v>
      </c>
    </row>
    <row r="2218" spans="1:14" x14ac:dyDescent="0.25">
      <c r="A2218">
        <v>1646.2141300000001</v>
      </c>
      <c r="B2218" s="1">
        <f>DATE(2014,11,2) + TIME(5,8,20)</f>
        <v>41945.214120370372</v>
      </c>
      <c r="C2218">
        <v>80</v>
      </c>
      <c r="D2218">
        <v>79.869911193999997</v>
      </c>
      <c r="E2218">
        <v>50</v>
      </c>
      <c r="F2218">
        <v>51.357070923000002</v>
      </c>
      <c r="G2218">
        <v>1330.0531006000001</v>
      </c>
      <c r="H2218">
        <v>1329.3450928</v>
      </c>
      <c r="I2218">
        <v>1338.2736815999999</v>
      </c>
      <c r="J2218">
        <v>1335.8461914</v>
      </c>
      <c r="K2218">
        <v>0</v>
      </c>
      <c r="L2218">
        <v>2400</v>
      </c>
      <c r="M2218">
        <v>2400</v>
      </c>
      <c r="N2218">
        <v>0</v>
      </c>
    </row>
    <row r="2219" spans="1:14" x14ac:dyDescent="0.25">
      <c r="A2219">
        <v>1646.333005</v>
      </c>
      <c r="B2219" s="1">
        <f>DATE(2014,11,2) + TIME(7,59,31)</f>
        <v>41945.332997685182</v>
      </c>
      <c r="C2219">
        <v>80</v>
      </c>
      <c r="D2219">
        <v>79.861595154</v>
      </c>
      <c r="E2219">
        <v>50</v>
      </c>
      <c r="F2219">
        <v>51.137004851999997</v>
      </c>
      <c r="G2219">
        <v>1330.0402832</v>
      </c>
      <c r="H2219">
        <v>1329.3303223</v>
      </c>
      <c r="I2219">
        <v>1338.2677002</v>
      </c>
      <c r="J2219">
        <v>1335.8381348</v>
      </c>
      <c r="K2219">
        <v>0</v>
      </c>
      <c r="L2219">
        <v>2400</v>
      </c>
      <c r="M2219">
        <v>2400</v>
      </c>
      <c r="N2219">
        <v>0</v>
      </c>
    </row>
    <row r="2220" spans="1:14" x14ac:dyDescent="0.25">
      <c r="A2220">
        <v>1646.4622489999999</v>
      </c>
      <c r="B2220" s="1">
        <f>DATE(2014,11,2) + TIME(11,5,38)</f>
        <v>41945.462245370371</v>
      </c>
      <c r="C2220">
        <v>80</v>
      </c>
      <c r="D2220">
        <v>79.852653502999999</v>
      </c>
      <c r="E2220">
        <v>50</v>
      </c>
      <c r="F2220">
        <v>50.939498901</v>
      </c>
      <c r="G2220">
        <v>1330.0285644999999</v>
      </c>
      <c r="H2220">
        <v>1329.3166504000001</v>
      </c>
      <c r="I2220">
        <v>1338.2615966999999</v>
      </c>
      <c r="J2220">
        <v>1335.8303223</v>
      </c>
      <c r="K2220">
        <v>0</v>
      </c>
      <c r="L2220">
        <v>2400</v>
      </c>
      <c r="M2220">
        <v>2400</v>
      </c>
      <c r="N2220">
        <v>0</v>
      </c>
    </row>
    <row r="2221" spans="1:14" x14ac:dyDescent="0.25">
      <c r="A2221">
        <v>1646.603652</v>
      </c>
      <c r="B2221" s="1">
        <f>DATE(2014,11,2) + TIME(14,29,15)</f>
        <v>41945.603645833333</v>
      </c>
      <c r="C2221">
        <v>80</v>
      </c>
      <c r="D2221">
        <v>79.842987061000002</v>
      </c>
      <c r="E2221">
        <v>50</v>
      </c>
      <c r="F2221">
        <v>50.763835907000001</v>
      </c>
      <c r="G2221">
        <v>1330.0175781</v>
      </c>
      <c r="H2221">
        <v>1329.3037108999999</v>
      </c>
      <c r="I2221">
        <v>1338.2558594</v>
      </c>
      <c r="J2221">
        <v>1335.8231201000001</v>
      </c>
      <c r="K2221">
        <v>0</v>
      </c>
      <c r="L2221">
        <v>2400</v>
      </c>
      <c r="M2221">
        <v>2400</v>
      </c>
      <c r="N2221">
        <v>0</v>
      </c>
    </row>
    <row r="2222" spans="1:14" x14ac:dyDescent="0.25">
      <c r="A2222">
        <v>1646.759466</v>
      </c>
      <c r="B2222" s="1">
        <f>DATE(2014,11,2) + TIME(18,13,37)</f>
        <v>41945.759456018517</v>
      </c>
      <c r="C2222">
        <v>80</v>
      </c>
      <c r="D2222">
        <v>79.832473754999995</v>
      </c>
      <c r="E2222">
        <v>50</v>
      </c>
      <c r="F2222">
        <v>50.609275818</v>
      </c>
      <c r="G2222">
        <v>1330.0073242000001</v>
      </c>
      <c r="H2222">
        <v>1329.2915039</v>
      </c>
      <c r="I2222">
        <v>1338.2503661999999</v>
      </c>
      <c r="J2222">
        <v>1335.8166504000001</v>
      </c>
      <c r="K2222">
        <v>0</v>
      </c>
      <c r="L2222">
        <v>2400</v>
      </c>
      <c r="M2222">
        <v>2400</v>
      </c>
      <c r="N2222">
        <v>0</v>
      </c>
    </row>
    <row r="2223" spans="1:14" x14ac:dyDescent="0.25">
      <c r="A2223">
        <v>1646.932628</v>
      </c>
      <c r="B2223" s="1">
        <f>DATE(2014,11,2) + TIME(22,22,59)</f>
        <v>41945.932627314818</v>
      </c>
      <c r="C2223">
        <v>80</v>
      </c>
      <c r="D2223">
        <v>79.820953368999994</v>
      </c>
      <c r="E2223">
        <v>50</v>
      </c>
      <c r="F2223">
        <v>50.474994658999996</v>
      </c>
      <c r="G2223">
        <v>1329.9975586</v>
      </c>
      <c r="H2223">
        <v>1329.2795410000001</v>
      </c>
      <c r="I2223">
        <v>1338.2453613</v>
      </c>
      <c r="J2223">
        <v>1335.8109131000001</v>
      </c>
      <c r="K2223">
        <v>0</v>
      </c>
      <c r="L2223">
        <v>2400</v>
      </c>
      <c r="M2223">
        <v>2400</v>
      </c>
      <c r="N2223">
        <v>0</v>
      </c>
    </row>
    <row r="2224" spans="1:14" x14ac:dyDescent="0.25">
      <c r="A2224">
        <v>1647.1270400000001</v>
      </c>
      <c r="B2224" s="1">
        <f>DATE(2014,11,3) + TIME(3,2,56)</f>
        <v>41946.12703703704</v>
      </c>
      <c r="C2224">
        <v>80</v>
      </c>
      <c r="D2224">
        <v>79.808219910000005</v>
      </c>
      <c r="E2224">
        <v>50</v>
      </c>
      <c r="F2224">
        <v>50.360095977999997</v>
      </c>
      <c r="G2224">
        <v>1329.9880370999999</v>
      </c>
      <c r="H2224">
        <v>1329.2677002</v>
      </c>
      <c r="I2224">
        <v>1338.2407227000001</v>
      </c>
      <c r="J2224">
        <v>1335.8059082</v>
      </c>
      <c r="K2224">
        <v>0</v>
      </c>
      <c r="L2224">
        <v>2400</v>
      </c>
      <c r="M2224">
        <v>2400</v>
      </c>
      <c r="N2224">
        <v>0</v>
      </c>
    </row>
    <row r="2225" spans="1:14" x14ac:dyDescent="0.25">
      <c r="A2225">
        <v>1647.347976</v>
      </c>
      <c r="B2225" s="1">
        <f>DATE(2014,11,3) + TIME(8,21,5)</f>
        <v>41946.347974537035</v>
      </c>
      <c r="C2225">
        <v>80</v>
      </c>
      <c r="D2225">
        <v>79.793991089000002</v>
      </c>
      <c r="E2225">
        <v>50</v>
      </c>
      <c r="F2225">
        <v>50.263599395999996</v>
      </c>
      <c r="G2225">
        <v>1329.9786377</v>
      </c>
      <c r="H2225">
        <v>1329.2558594</v>
      </c>
      <c r="I2225">
        <v>1338.2363281</v>
      </c>
      <c r="J2225">
        <v>1335.8016356999999</v>
      </c>
      <c r="K2225">
        <v>0</v>
      </c>
      <c r="L2225">
        <v>2400</v>
      </c>
      <c r="M2225">
        <v>2400</v>
      </c>
      <c r="N2225">
        <v>0</v>
      </c>
    </row>
    <row r="2226" spans="1:14" x14ac:dyDescent="0.25">
      <c r="A2226">
        <v>1647.5726629999999</v>
      </c>
      <c r="B2226" s="1">
        <f>DATE(2014,11,3) + TIME(13,44,38)</f>
        <v>41946.572662037041</v>
      </c>
      <c r="C2226">
        <v>80</v>
      </c>
      <c r="D2226">
        <v>79.779533385999997</v>
      </c>
      <c r="E2226">
        <v>50</v>
      </c>
      <c r="F2226">
        <v>50.191314697000003</v>
      </c>
      <c r="G2226">
        <v>1329.9693603999999</v>
      </c>
      <c r="H2226">
        <v>1329.2440185999999</v>
      </c>
      <c r="I2226">
        <v>1338.2333983999999</v>
      </c>
      <c r="J2226">
        <v>1335.7988281</v>
      </c>
      <c r="K2226">
        <v>0</v>
      </c>
      <c r="L2226">
        <v>2400</v>
      </c>
      <c r="M2226">
        <v>2400</v>
      </c>
      <c r="N2226">
        <v>0</v>
      </c>
    </row>
    <row r="2227" spans="1:14" x14ac:dyDescent="0.25">
      <c r="A2227">
        <v>1647.8016359999999</v>
      </c>
      <c r="B2227" s="1">
        <f>DATE(2014,11,3) + TIME(19,14,21)</f>
        <v>41946.801631944443</v>
      </c>
      <c r="C2227">
        <v>80</v>
      </c>
      <c r="D2227">
        <v>79.764823914000004</v>
      </c>
      <c r="E2227">
        <v>50</v>
      </c>
      <c r="F2227">
        <v>50.137279509999999</v>
      </c>
      <c r="G2227">
        <v>1329.9604492000001</v>
      </c>
      <c r="H2227">
        <v>1329.2325439000001</v>
      </c>
      <c r="I2227">
        <v>1338.2305908000001</v>
      </c>
      <c r="J2227">
        <v>1335.7966309000001</v>
      </c>
      <c r="K2227">
        <v>0</v>
      </c>
      <c r="L2227">
        <v>2400</v>
      </c>
      <c r="M2227">
        <v>2400</v>
      </c>
      <c r="N2227">
        <v>0</v>
      </c>
    </row>
    <row r="2228" spans="1:14" x14ac:dyDescent="0.25">
      <c r="A2228">
        <v>1648.0362660000001</v>
      </c>
      <c r="B2228" s="1">
        <f>DATE(2014,11,4) + TIME(0,52,13)</f>
        <v>41947.036261574074</v>
      </c>
      <c r="C2228">
        <v>80</v>
      </c>
      <c r="D2228">
        <v>79.749786377000007</v>
      </c>
      <c r="E2228">
        <v>50</v>
      </c>
      <c r="F2228">
        <v>50.096881865999997</v>
      </c>
      <c r="G2228">
        <v>1329.9519043</v>
      </c>
      <c r="H2228">
        <v>1329.2214355000001</v>
      </c>
      <c r="I2228">
        <v>1338.2279053</v>
      </c>
      <c r="J2228">
        <v>1335.7945557</v>
      </c>
      <c r="K2228">
        <v>0</v>
      </c>
      <c r="L2228">
        <v>2400</v>
      </c>
      <c r="M2228">
        <v>2400</v>
      </c>
      <c r="N2228">
        <v>0</v>
      </c>
    </row>
    <row r="2229" spans="1:14" x14ac:dyDescent="0.25">
      <c r="A2229">
        <v>1648.277963</v>
      </c>
      <c r="B2229" s="1">
        <f>DATE(2014,11,4) + TIME(6,40,15)</f>
        <v>41947.277951388889</v>
      </c>
      <c r="C2229">
        <v>80</v>
      </c>
      <c r="D2229">
        <v>79.734352111999996</v>
      </c>
      <c r="E2229">
        <v>50</v>
      </c>
      <c r="F2229">
        <v>50.066738129000001</v>
      </c>
      <c r="G2229">
        <v>1329.9434814000001</v>
      </c>
      <c r="H2229">
        <v>1329.2105713000001</v>
      </c>
      <c r="I2229">
        <v>1338.2250977000001</v>
      </c>
      <c r="J2229">
        <v>1335.7928466999999</v>
      </c>
      <c r="K2229">
        <v>0</v>
      </c>
      <c r="L2229">
        <v>2400</v>
      </c>
      <c r="M2229">
        <v>2400</v>
      </c>
      <c r="N2229">
        <v>0</v>
      </c>
    </row>
    <row r="2230" spans="1:14" x14ac:dyDescent="0.25">
      <c r="A2230">
        <v>1648.5282110000001</v>
      </c>
      <c r="B2230" s="1">
        <f>DATE(2014,11,4) + TIME(12,40,37)</f>
        <v>41947.52820601852</v>
      </c>
      <c r="C2230">
        <v>80</v>
      </c>
      <c r="D2230">
        <v>79.718437195000007</v>
      </c>
      <c r="E2230">
        <v>50</v>
      </c>
      <c r="F2230">
        <v>50.044315337999997</v>
      </c>
      <c r="G2230">
        <v>1329.9351807</v>
      </c>
      <c r="H2230">
        <v>1329.1995850000001</v>
      </c>
      <c r="I2230">
        <v>1338.2222899999999</v>
      </c>
      <c r="J2230">
        <v>1335.7910156</v>
      </c>
      <c r="K2230">
        <v>0</v>
      </c>
      <c r="L2230">
        <v>2400</v>
      </c>
      <c r="M2230">
        <v>2400</v>
      </c>
      <c r="N2230">
        <v>0</v>
      </c>
    </row>
    <row r="2231" spans="1:14" x14ac:dyDescent="0.25">
      <c r="A2231">
        <v>1648.7886289999999</v>
      </c>
      <c r="B2231" s="1">
        <f>DATE(2014,11,4) + TIME(18,55,37)</f>
        <v>41947.788622685184</v>
      </c>
      <c r="C2231">
        <v>80</v>
      </c>
      <c r="D2231">
        <v>79.701965332</v>
      </c>
      <c r="E2231">
        <v>50</v>
      </c>
      <c r="F2231">
        <v>50.027717590000002</v>
      </c>
      <c r="G2231">
        <v>1329.9267577999999</v>
      </c>
      <c r="H2231">
        <v>1329.1884766000001</v>
      </c>
      <c r="I2231">
        <v>1338.2194824000001</v>
      </c>
      <c r="J2231">
        <v>1335.7893065999999</v>
      </c>
      <c r="K2231">
        <v>0</v>
      </c>
      <c r="L2231">
        <v>2400</v>
      </c>
      <c r="M2231">
        <v>2400</v>
      </c>
      <c r="N2231">
        <v>0</v>
      </c>
    </row>
    <row r="2232" spans="1:14" x14ac:dyDescent="0.25">
      <c r="A2232">
        <v>1649.06104</v>
      </c>
      <c r="B2232" s="1">
        <f>DATE(2014,11,5) + TIME(1,27,53)</f>
        <v>41948.061030092591</v>
      </c>
      <c r="C2232">
        <v>80</v>
      </c>
      <c r="D2232">
        <v>79.684829711999996</v>
      </c>
      <c r="E2232">
        <v>50</v>
      </c>
      <c r="F2232">
        <v>50.015510558999999</v>
      </c>
      <c r="G2232">
        <v>1329.9182129000001</v>
      </c>
      <c r="H2232">
        <v>1329.1772461</v>
      </c>
      <c r="I2232">
        <v>1338.2164307</v>
      </c>
      <c r="J2232">
        <v>1335.7874756000001</v>
      </c>
      <c r="K2232">
        <v>0</v>
      </c>
      <c r="L2232">
        <v>2400</v>
      </c>
      <c r="M2232">
        <v>2400</v>
      </c>
      <c r="N2232">
        <v>0</v>
      </c>
    </row>
    <row r="2233" spans="1:14" x14ac:dyDescent="0.25">
      <c r="A2233">
        <v>1649.347538</v>
      </c>
      <c r="B2233" s="1">
        <f>DATE(2014,11,5) + TIME(8,20,27)</f>
        <v>41948.347534722219</v>
      </c>
      <c r="C2233">
        <v>80</v>
      </c>
      <c r="D2233">
        <v>79.666938782000003</v>
      </c>
      <c r="E2233">
        <v>50</v>
      </c>
      <c r="F2233">
        <v>50.006595611999998</v>
      </c>
      <c r="G2233">
        <v>1329.9094238</v>
      </c>
      <c r="H2233">
        <v>1329.1657714999999</v>
      </c>
      <c r="I2233">
        <v>1338.2132568</v>
      </c>
      <c r="J2233">
        <v>1335.7856445</v>
      </c>
      <c r="K2233">
        <v>0</v>
      </c>
      <c r="L2233">
        <v>2400</v>
      </c>
      <c r="M2233">
        <v>2400</v>
      </c>
      <c r="N2233">
        <v>0</v>
      </c>
    </row>
    <row r="2234" spans="1:14" x14ac:dyDescent="0.25">
      <c r="A2234">
        <v>1649.6505770000001</v>
      </c>
      <c r="B2234" s="1">
        <f>DATE(2014,11,5) + TIME(15,36,49)</f>
        <v>41948.650567129633</v>
      </c>
      <c r="C2234">
        <v>80</v>
      </c>
      <c r="D2234">
        <v>79.648155212000006</v>
      </c>
      <c r="E2234">
        <v>50</v>
      </c>
      <c r="F2234">
        <v>50.000144958</v>
      </c>
      <c r="G2234">
        <v>1329.9003906</v>
      </c>
      <c r="H2234">
        <v>1329.1538086</v>
      </c>
      <c r="I2234">
        <v>1338.2099608999999</v>
      </c>
      <c r="J2234">
        <v>1335.7836914</v>
      </c>
      <c r="K2234">
        <v>0</v>
      </c>
      <c r="L2234">
        <v>2400</v>
      </c>
      <c r="M2234">
        <v>2400</v>
      </c>
      <c r="N2234">
        <v>0</v>
      </c>
    </row>
    <row r="2235" spans="1:14" x14ac:dyDescent="0.25">
      <c r="A2235">
        <v>1649.9720400000001</v>
      </c>
      <c r="B2235" s="1">
        <f>DATE(2014,11,5) + TIME(23,19,44)</f>
        <v>41948.972037037034</v>
      </c>
      <c r="C2235">
        <v>80</v>
      </c>
      <c r="D2235">
        <v>79.628387450999995</v>
      </c>
      <c r="E2235">
        <v>50</v>
      </c>
      <c r="F2235">
        <v>49.995532990000001</v>
      </c>
      <c r="G2235">
        <v>1329.8909911999999</v>
      </c>
      <c r="H2235">
        <v>1329.1414795000001</v>
      </c>
      <c r="I2235">
        <v>1338.206543</v>
      </c>
      <c r="J2235">
        <v>1335.7814940999999</v>
      </c>
      <c r="K2235">
        <v>0</v>
      </c>
      <c r="L2235">
        <v>2400</v>
      </c>
      <c r="M2235">
        <v>2400</v>
      </c>
      <c r="N2235">
        <v>0</v>
      </c>
    </row>
    <row r="2236" spans="1:14" x14ac:dyDescent="0.25">
      <c r="A2236">
        <v>1650.309297</v>
      </c>
      <c r="B2236" s="1">
        <f>DATE(2014,11,6) + TIME(7,25,23)</f>
        <v>41949.309293981481</v>
      </c>
      <c r="C2236">
        <v>80</v>
      </c>
      <c r="D2236">
        <v>79.607749939000001</v>
      </c>
      <c r="E2236">
        <v>50</v>
      </c>
      <c r="F2236">
        <v>49.992305756</v>
      </c>
      <c r="G2236">
        <v>1329.8811035000001</v>
      </c>
      <c r="H2236">
        <v>1329.1286620999999</v>
      </c>
      <c r="I2236">
        <v>1338.2028809000001</v>
      </c>
      <c r="J2236">
        <v>1335.7792969</v>
      </c>
      <c r="K2236">
        <v>0</v>
      </c>
      <c r="L2236">
        <v>2400</v>
      </c>
      <c r="M2236">
        <v>2400</v>
      </c>
      <c r="N2236">
        <v>0</v>
      </c>
    </row>
    <row r="2237" spans="1:14" x14ac:dyDescent="0.25">
      <c r="A2237">
        <v>1650.6550560000001</v>
      </c>
      <c r="B2237" s="1">
        <f>DATE(2014,11,6) + TIME(15,43,16)</f>
        <v>41949.655046296299</v>
      </c>
      <c r="C2237">
        <v>80</v>
      </c>
      <c r="D2237">
        <v>79.586608886999997</v>
      </c>
      <c r="E2237">
        <v>50</v>
      </c>
      <c r="F2237">
        <v>49.990108489999997</v>
      </c>
      <c r="G2237">
        <v>1329.8710937999999</v>
      </c>
      <c r="H2237">
        <v>1329.1153564000001</v>
      </c>
      <c r="I2237">
        <v>1338.1992187999999</v>
      </c>
      <c r="J2237">
        <v>1335.7769774999999</v>
      </c>
      <c r="K2237">
        <v>0</v>
      </c>
      <c r="L2237">
        <v>2400</v>
      </c>
      <c r="M2237">
        <v>2400</v>
      </c>
      <c r="N2237">
        <v>0</v>
      </c>
    </row>
    <row r="2238" spans="1:14" x14ac:dyDescent="0.25">
      <c r="A2238">
        <v>1651.010323</v>
      </c>
      <c r="B2238" s="1">
        <f>DATE(2014,11,7) + TIME(0,14,51)</f>
        <v>41950.010312500002</v>
      </c>
      <c r="C2238">
        <v>80</v>
      </c>
      <c r="D2238">
        <v>79.564918517999999</v>
      </c>
      <c r="E2238">
        <v>50</v>
      </c>
      <c r="F2238">
        <v>49.988609314000001</v>
      </c>
      <c r="G2238">
        <v>1329.8608397999999</v>
      </c>
      <c r="H2238">
        <v>1329.1018065999999</v>
      </c>
      <c r="I2238">
        <v>1338.1954346</v>
      </c>
      <c r="J2238">
        <v>1335.7745361</v>
      </c>
      <c r="K2238">
        <v>0</v>
      </c>
      <c r="L2238">
        <v>2400</v>
      </c>
      <c r="M2238">
        <v>2400</v>
      </c>
      <c r="N2238">
        <v>0</v>
      </c>
    </row>
    <row r="2239" spans="1:14" x14ac:dyDescent="0.25">
      <c r="A2239">
        <v>1651.371605</v>
      </c>
      <c r="B2239" s="1">
        <f>DATE(2014,11,7) + TIME(8,55,6)</f>
        <v>41950.37159722222</v>
      </c>
      <c r="C2239">
        <v>80</v>
      </c>
      <c r="D2239">
        <v>79.542854309000006</v>
      </c>
      <c r="E2239">
        <v>50</v>
      </c>
      <c r="F2239">
        <v>49.987590789999999</v>
      </c>
      <c r="G2239">
        <v>1329.8503418</v>
      </c>
      <c r="H2239">
        <v>1329.0880127</v>
      </c>
      <c r="I2239">
        <v>1338.1917725000001</v>
      </c>
      <c r="J2239">
        <v>1335.7722168</v>
      </c>
      <c r="K2239">
        <v>0</v>
      </c>
      <c r="L2239">
        <v>2400</v>
      </c>
      <c r="M2239">
        <v>2400</v>
      </c>
      <c r="N2239">
        <v>0</v>
      </c>
    </row>
    <row r="2240" spans="1:14" x14ac:dyDescent="0.25">
      <c r="A2240">
        <v>1651.7388120000001</v>
      </c>
      <c r="B2240" s="1">
        <f>DATE(2014,11,7) + TIME(17,43,53)</f>
        <v>41950.738807870373</v>
      </c>
      <c r="C2240">
        <v>80</v>
      </c>
      <c r="D2240">
        <v>79.520454407000003</v>
      </c>
      <c r="E2240">
        <v>50</v>
      </c>
      <c r="F2240">
        <v>49.986900329999997</v>
      </c>
      <c r="G2240">
        <v>1329.8398437999999</v>
      </c>
      <c r="H2240">
        <v>1329.0742187999999</v>
      </c>
      <c r="I2240">
        <v>1338.1881103999999</v>
      </c>
      <c r="J2240">
        <v>1335.7696533000001</v>
      </c>
      <c r="K2240">
        <v>0</v>
      </c>
      <c r="L2240">
        <v>2400</v>
      </c>
      <c r="M2240">
        <v>2400</v>
      </c>
      <c r="N2240">
        <v>0</v>
      </c>
    </row>
    <row r="2241" spans="1:14" x14ac:dyDescent="0.25">
      <c r="A2241">
        <v>1652.1127320000001</v>
      </c>
      <c r="B2241" s="1">
        <f>DATE(2014,11,8) + TIME(2,42,20)</f>
        <v>41951.11273148148</v>
      </c>
      <c r="C2241">
        <v>80</v>
      </c>
      <c r="D2241">
        <v>79.497688292999996</v>
      </c>
      <c r="E2241">
        <v>50</v>
      </c>
      <c r="F2241">
        <v>49.986427307</v>
      </c>
      <c r="G2241">
        <v>1329.8292236</v>
      </c>
      <c r="H2241">
        <v>1329.0601807</v>
      </c>
      <c r="I2241">
        <v>1338.1844481999999</v>
      </c>
      <c r="J2241">
        <v>1335.7672118999999</v>
      </c>
      <c r="K2241">
        <v>0</v>
      </c>
      <c r="L2241">
        <v>2400</v>
      </c>
      <c r="M2241">
        <v>2400</v>
      </c>
      <c r="N2241">
        <v>0</v>
      </c>
    </row>
    <row r="2242" spans="1:14" x14ac:dyDescent="0.25">
      <c r="A2242">
        <v>1652.4940220000001</v>
      </c>
      <c r="B2242" s="1">
        <f>DATE(2014,11,8) + TIME(11,51,23)</f>
        <v>41951.494016203702</v>
      </c>
      <c r="C2242">
        <v>80</v>
      </c>
      <c r="D2242">
        <v>79.474540709999999</v>
      </c>
      <c r="E2242">
        <v>50</v>
      </c>
      <c r="F2242">
        <v>49.986099242999998</v>
      </c>
      <c r="G2242">
        <v>1329.8184814000001</v>
      </c>
      <c r="H2242">
        <v>1329.0461425999999</v>
      </c>
      <c r="I2242">
        <v>1338.1809082</v>
      </c>
      <c r="J2242">
        <v>1335.7647704999999</v>
      </c>
      <c r="K2242">
        <v>0</v>
      </c>
      <c r="L2242">
        <v>2400</v>
      </c>
      <c r="M2242">
        <v>2400</v>
      </c>
      <c r="N2242">
        <v>0</v>
      </c>
    </row>
    <row r="2243" spans="1:14" x14ac:dyDescent="0.25">
      <c r="A2243">
        <v>1652.883709</v>
      </c>
      <c r="B2243" s="1">
        <f>DATE(2014,11,8) + TIME(21,12,32)</f>
        <v>41951.883703703701</v>
      </c>
      <c r="C2243">
        <v>80</v>
      </c>
      <c r="D2243">
        <v>79.450981139999996</v>
      </c>
      <c r="E2243">
        <v>50</v>
      </c>
      <c r="F2243">
        <v>49.985870361000003</v>
      </c>
      <c r="G2243">
        <v>1329.8077393000001</v>
      </c>
      <c r="H2243">
        <v>1329.0319824000001</v>
      </c>
      <c r="I2243">
        <v>1338.1773682</v>
      </c>
      <c r="J2243">
        <v>1335.762207</v>
      </c>
      <c r="K2243">
        <v>0</v>
      </c>
      <c r="L2243">
        <v>2400</v>
      </c>
      <c r="M2243">
        <v>2400</v>
      </c>
      <c r="N2243">
        <v>0</v>
      </c>
    </row>
    <row r="2244" spans="1:14" x14ac:dyDescent="0.25">
      <c r="A2244">
        <v>1653.282665</v>
      </c>
      <c r="B2244" s="1">
        <f>DATE(2014,11,9) + TIME(6,47,2)</f>
        <v>41952.28266203704</v>
      </c>
      <c r="C2244">
        <v>80</v>
      </c>
      <c r="D2244">
        <v>79.426956176999994</v>
      </c>
      <c r="E2244">
        <v>50</v>
      </c>
      <c r="F2244">
        <v>49.985706329000003</v>
      </c>
      <c r="G2244">
        <v>1329.7967529</v>
      </c>
      <c r="H2244">
        <v>1329.0175781</v>
      </c>
      <c r="I2244">
        <v>1338.1739502</v>
      </c>
      <c r="J2244">
        <v>1335.7597656</v>
      </c>
      <c r="K2244">
        <v>0</v>
      </c>
      <c r="L2244">
        <v>2400</v>
      </c>
      <c r="M2244">
        <v>2400</v>
      </c>
      <c r="N2244">
        <v>0</v>
      </c>
    </row>
    <row r="2245" spans="1:14" x14ac:dyDescent="0.25">
      <c r="A2245">
        <v>1653.6918000000001</v>
      </c>
      <c r="B2245" s="1">
        <f>DATE(2014,11,9) + TIME(16,36,11)</f>
        <v>41952.691793981481</v>
      </c>
      <c r="C2245">
        <v>80</v>
      </c>
      <c r="D2245">
        <v>79.402442932</v>
      </c>
      <c r="E2245">
        <v>50</v>
      </c>
      <c r="F2245">
        <v>49.985588073999999</v>
      </c>
      <c r="G2245">
        <v>1329.7856445</v>
      </c>
      <c r="H2245">
        <v>1329.0029297000001</v>
      </c>
      <c r="I2245">
        <v>1338.1706543</v>
      </c>
      <c r="J2245">
        <v>1335.7573242000001</v>
      </c>
      <c r="K2245">
        <v>0</v>
      </c>
      <c r="L2245">
        <v>2400</v>
      </c>
      <c r="M2245">
        <v>2400</v>
      </c>
      <c r="N2245">
        <v>0</v>
      </c>
    </row>
    <row r="2246" spans="1:14" x14ac:dyDescent="0.25">
      <c r="A2246">
        <v>1654.112083</v>
      </c>
      <c r="B2246" s="1">
        <f>DATE(2014,11,10) + TIME(2,41,23)</f>
        <v>41953.112071759257</v>
      </c>
      <c r="C2246">
        <v>80</v>
      </c>
      <c r="D2246">
        <v>79.377403259000005</v>
      </c>
      <c r="E2246">
        <v>50</v>
      </c>
      <c r="F2246">
        <v>49.985504149999997</v>
      </c>
      <c r="G2246">
        <v>1329.7744141000001</v>
      </c>
      <c r="H2246">
        <v>1328.9881591999999</v>
      </c>
      <c r="I2246">
        <v>1338.1672363</v>
      </c>
      <c r="J2246">
        <v>1335.7547606999999</v>
      </c>
      <c r="K2246">
        <v>0</v>
      </c>
      <c r="L2246">
        <v>2400</v>
      </c>
      <c r="M2246">
        <v>2400</v>
      </c>
      <c r="N2246">
        <v>0</v>
      </c>
    </row>
    <row r="2247" spans="1:14" x14ac:dyDescent="0.25">
      <c r="A2247">
        <v>1654.544523</v>
      </c>
      <c r="B2247" s="1">
        <f>DATE(2014,11,10) + TIME(13,4,6)</f>
        <v>41953.54451388889</v>
      </c>
      <c r="C2247">
        <v>80</v>
      </c>
      <c r="D2247">
        <v>79.351776122999993</v>
      </c>
      <c r="E2247">
        <v>50</v>
      </c>
      <c r="F2247">
        <v>49.985439301</v>
      </c>
      <c r="G2247">
        <v>1329.7630615</v>
      </c>
      <c r="H2247">
        <v>1328.9731445</v>
      </c>
      <c r="I2247">
        <v>1338.1640625</v>
      </c>
      <c r="J2247">
        <v>1335.7523193</v>
      </c>
      <c r="K2247">
        <v>0</v>
      </c>
      <c r="L2247">
        <v>2400</v>
      </c>
      <c r="M2247">
        <v>2400</v>
      </c>
      <c r="N2247">
        <v>0</v>
      </c>
    </row>
    <row r="2248" spans="1:14" x14ac:dyDescent="0.25">
      <c r="A2248">
        <v>1654.9901910000001</v>
      </c>
      <c r="B2248" s="1">
        <f>DATE(2014,11,10) + TIME(23,45,52)</f>
        <v>41953.990185185183</v>
      </c>
      <c r="C2248">
        <v>80</v>
      </c>
      <c r="D2248">
        <v>79.325523376000007</v>
      </c>
      <c r="E2248">
        <v>50</v>
      </c>
      <c r="F2248">
        <v>49.985393524000003</v>
      </c>
      <c r="G2248">
        <v>1329.7513428</v>
      </c>
      <c r="H2248">
        <v>1328.9577637</v>
      </c>
      <c r="I2248">
        <v>1338.1607666</v>
      </c>
      <c r="J2248">
        <v>1335.7497559000001</v>
      </c>
      <c r="K2248">
        <v>0</v>
      </c>
      <c r="L2248">
        <v>2400</v>
      </c>
      <c r="M2248">
        <v>2400</v>
      </c>
      <c r="N2248">
        <v>0</v>
      </c>
    </row>
    <row r="2249" spans="1:14" x14ac:dyDescent="0.25">
      <c r="A2249">
        <v>1655.450241</v>
      </c>
      <c r="B2249" s="1">
        <f>DATE(2014,11,11) + TIME(10,48,20)</f>
        <v>41954.450231481482</v>
      </c>
      <c r="C2249">
        <v>80</v>
      </c>
      <c r="D2249">
        <v>79.298599242999998</v>
      </c>
      <c r="E2249">
        <v>50</v>
      </c>
      <c r="F2249">
        <v>49.985355376999998</v>
      </c>
      <c r="G2249">
        <v>1329.7395019999999</v>
      </c>
      <c r="H2249">
        <v>1328.9421387</v>
      </c>
      <c r="I2249">
        <v>1338.1575928</v>
      </c>
      <c r="J2249">
        <v>1335.7473144999999</v>
      </c>
      <c r="K2249">
        <v>0</v>
      </c>
      <c r="L2249">
        <v>2400</v>
      </c>
      <c r="M2249">
        <v>2400</v>
      </c>
      <c r="N2249">
        <v>0</v>
      </c>
    </row>
    <row r="2250" spans="1:14" x14ac:dyDescent="0.25">
      <c r="A2250">
        <v>1655.9259300000001</v>
      </c>
      <c r="B2250" s="1">
        <f>DATE(2014,11,11) + TIME(22,13,20)</f>
        <v>41954.925925925927</v>
      </c>
      <c r="C2250">
        <v>80</v>
      </c>
      <c r="D2250">
        <v>79.270927428999997</v>
      </c>
      <c r="E2250">
        <v>50</v>
      </c>
      <c r="F2250">
        <v>49.985328674000002</v>
      </c>
      <c r="G2250">
        <v>1329.7272949000001</v>
      </c>
      <c r="H2250">
        <v>1328.9260254000001</v>
      </c>
      <c r="I2250">
        <v>1338.1544189000001</v>
      </c>
      <c r="J2250">
        <v>1335.744751</v>
      </c>
      <c r="K2250">
        <v>0</v>
      </c>
      <c r="L2250">
        <v>2400</v>
      </c>
      <c r="M2250">
        <v>2400</v>
      </c>
      <c r="N2250">
        <v>0</v>
      </c>
    </row>
    <row r="2251" spans="1:14" x14ac:dyDescent="0.25">
      <c r="A2251">
        <v>1656.4186030000001</v>
      </c>
      <c r="B2251" s="1">
        <f>DATE(2014,11,12) + TIME(10,2,47)</f>
        <v>41955.418599537035</v>
      </c>
      <c r="C2251">
        <v>80</v>
      </c>
      <c r="D2251">
        <v>79.242462157999995</v>
      </c>
      <c r="E2251">
        <v>50</v>
      </c>
      <c r="F2251">
        <v>49.985309600999997</v>
      </c>
      <c r="G2251">
        <v>1329.7148437999999</v>
      </c>
      <c r="H2251">
        <v>1328.909668</v>
      </c>
      <c r="I2251">
        <v>1338.1512451000001</v>
      </c>
      <c r="J2251">
        <v>1335.7421875</v>
      </c>
      <c r="K2251">
        <v>0</v>
      </c>
      <c r="L2251">
        <v>2400</v>
      </c>
      <c r="M2251">
        <v>2400</v>
      </c>
      <c r="N2251">
        <v>0</v>
      </c>
    </row>
    <row r="2252" spans="1:14" x14ac:dyDescent="0.25">
      <c r="A2252">
        <v>1656.9295099999999</v>
      </c>
      <c r="B2252" s="1">
        <f>DATE(2014,11,12) + TIME(22,18,29)</f>
        <v>41955.929502314815</v>
      </c>
      <c r="C2252">
        <v>80</v>
      </c>
      <c r="D2252">
        <v>79.213142395000006</v>
      </c>
      <c r="E2252">
        <v>50</v>
      </c>
      <c r="F2252">
        <v>49.985290526999997</v>
      </c>
      <c r="G2252">
        <v>1329.7021483999999</v>
      </c>
      <c r="H2252">
        <v>1328.8928223</v>
      </c>
      <c r="I2252">
        <v>1338.1480713000001</v>
      </c>
      <c r="J2252">
        <v>1335.739624</v>
      </c>
      <c r="K2252">
        <v>0</v>
      </c>
      <c r="L2252">
        <v>2400</v>
      </c>
      <c r="M2252">
        <v>2400</v>
      </c>
      <c r="N2252">
        <v>0</v>
      </c>
    </row>
    <row r="2253" spans="1:14" x14ac:dyDescent="0.25">
      <c r="A2253">
        <v>1657.460413</v>
      </c>
      <c r="B2253" s="1">
        <f>DATE(2014,11,13) + TIME(11,2,59)</f>
        <v>41956.460405092592</v>
      </c>
      <c r="C2253">
        <v>80</v>
      </c>
      <c r="D2253">
        <v>79.182891846000004</v>
      </c>
      <c r="E2253">
        <v>50</v>
      </c>
      <c r="F2253">
        <v>49.985279083000002</v>
      </c>
      <c r="G2253">
        <v>1329.6889647999999</v>
      </c>
      <c r="H2253">
        <v>1328.8754882999999</v>
      </c>
      <c r="I2253">
        <v>1338.1450195</v>
      </c>
      <c r="J2253">
        <v>1335.7370605000001</v>
      </c>
      <c r="K2253">
        <v>0</v>
      </c>
      <c r="L2253">
        <v>2400</v>
      </c>
      <c r="M2253">
        <v>2400</v>
      </c>
      <c r="N2253">
        <v>0</v>
      </c>
    </row>
    <row r="2254" spans="1:14" x14ac:dyDescent="0.25">
      <c r="A2254">
        <v>1658.0131019999999</v>
      </c>
      <c r="B2254" s="1">
        <f>DATE(2014,11,14) + TIME(0,18,52)</f>
        <v>41957.013101851851</v>
      </c>
      <c r="C2254">
        <v>80</v>
      </c>
      <c r="D2254">
        <v>79.151626586999996</v>
      </c>
      <c r="E2254">
        <v>50</v>
      </c>
      <c r="F2254">
        <v>49.985271453999999</v>
      </c>
      <c r="G2254">
        <v>1329.6754149999999</v>
      </c>
      <c r="H2254">
        <v>1328.8576660000001</v>
      </c>
      <c r="I2254">
        <v>1338.1418457</v>
      </c>
      <c r="J2254">
        <v>1335.7344971</v>
      </c>
      <c r="K2254">
        <v>0</v>
      </c>
      <c r="L2254">
        <v>2400</v>
      </c>
      <c r="M2254">
        <v>2400</v>
      </c>
      <c r="N2254">
        <v>0</v>
      </c>
    </row>
    <row r="2255" spans="1:14" x14ac:dyDescent="0.25">
      <c r="A2255">
        <v>1658.589551</v>
      </c>
      <c r="B2255" s="1">
        <f>DATE(2014,11,14) + TIME(14,8,57)</f>
        <v>41957.589548611111</v>
      </c>
      <c r="C2255">
        <v>80</v>
      </c>
      <c r="D2255">
        <v>79.119262695000003</v>
      </c>
      <c r="E2255">
        <v>50</v>
      </c>
      <c r="F2255">
        <v>49.985263824</v>
      </c>
      <c r="G2255">
        <v>1329.661499</v>
      </c>
      <c r="H2255">
        <v>1328.8392334</v>
      </c>
      <c r="I2255">
        <v>1338.1387939000001</v>
      </c>
      <c r="J2255">
        <v>1335.7318115</v>
      </c>
      <c r="K2255">
        <v>0</v>
      </c>
      <c r="L2255">
        <v>2400</v>
      </c>
      <c r="M2255">
        <v>2400</v>
      </c>
      <c r="N2255">
        <v>0</v>
      </c>
    </row>
    <row r="2256" spans="1:14" x14ac:dyDescent="0.25">
      <c r="A2256">
        <v>1659.191953</v>
      </c>
      <c r="B2256" s="1">
        <f>DATE(2014,11,15) + TIME(4,36,24)</f>
        <v>41958.191944444443</v>
      </c>
      <c r="C2256">
        <v>80</v>
      </c>
      <c r="D2256">
        <v>79.085708617999998</v>
      </c>
      <c r="E2256">
        <v>50</v>
      </c>
      <c r="F2256">
        <v>49.985256194999998</v>
      </c>
      <c r="G2256">
        <v>1329.6469727000001</v>
      </c>
      <c r="H2256">
        <v>1328.8201904</v>
      </c>
      <c r="I2256">
        <v>1338.1357422000001</v>
      </c>
      <c r="J2256">
        <v>1335.729126</v>
      </c>
      <c r="K2256">
        <v>0</v>
      </c>
      <c r="L2256">
        <v>2400</v>
      </c>
      <c r="M2256">
        <v>2400</v>
      </c>
      <c r="N2256">
        <v>0</v>
      </c>
    </row>
    <row r="2257" spans="1:14" x14ac:dyDescent="0.25">
      <c r="A2257">
        <v>1659.8227549999999</v>
      </c>
      <c r="B2257" s="1">
        <f>DATE(2014,11,15) + TIME(19,44,46)</f>
        <v>41958.822754629633</v>
      </c>
      <c r="C2257">
        <v>80</v>
      </c>
      <c r="D2257">
        <v>79.050849915000001</v>
      </c>
      <c r="E2257">
        <v>50</v>
      </c>
      <c r="F2257">
        <v>49.985252379999999</v>
      </c>
      <c r="G2257">
        <v>1329.6320800999999</v>
      </c>
      <c r="H2257">
        <v>1328.8005370999999</v>
      </c>
      <c r="I2257">
        <v>1338.1326904</v>
      </c>
      <c r="J2257">
        <v>1335.7264404</v>
      </c>
      <c r="K2257">
        <v>0</v>
      </c>
      <c r="L2257">
        <v>2400</v>
      </c>
      <c r="M2257">
        <v>2400</v>
      </c>
      <c r="N2257">
        <v>0</v>
      </c>
    </row>
    <row r="2258" spans="1:14" x14ac:dyDescent="0.25">
      <c r="A2258">
        <v>1660.4846990000001</v>
      </c>
      <c r="B2258" s="1">
        <f>DATE(2014,11,16) + TIME(11,37,58)</f>
        <v>41959.484699074077</v>
      </c>
      <c r="C2258">
        <v>80</v>
      </c>
      <c r="D2258">
        <v>79.014579772999994</v>
      </c>
      <c r="E2258">
        <v>50</v>
      </c>
      <c r="F2258">
        <v>49.985248566000003</v>
      </c>
      <c r="G2258">
        <v>1329.6165771000001</v>
      </c>
      <c r="H2258">
        <v>1328.7800293</v>
      </c>
      <c r="I2258">
        <v>1338.1295166</v>
      </c>
      <c r="J2258">
        <v>1335.7236327999999</v>
      </c>
      <c r="K2258">
        <v>0</v>
      </c>
      <c r="L2258">
        <v>2400</v>
      </c>
      <c r="M2258">
        <v>2400</v>
      </c>
      <c r="N2258">
        <v>0</v>
      </c>
    </row>
    <row r="2259" spans="1:14" x14ac:dyDescent="0.25">
      <c r="A2259">
        <v>1661.180891</v>
      </c>
      <c r="B2259" s="1">
        <f>DATE(2014,11,17) + TIME(4,20,29)</f>
        <v>41960.180891203701</v>
      </c>
      <c r="C2259">
        <v>80</v>
      </c>
      <c r="D2259">
        <v>78.976760863999999</v>
      </c>
      <c r="E2259">
        <v>50</v>
      </c>
      <c r="F2259">
        <v>49.985248566000003</v>
      </c>
      <c r="G2259">
        <v>1329.6003418</v>
      </c>
      <c r="H2259">
        <v>1328.7587891000001</v>
      </c>
      <c r="I2259">
        <v>1338.1264647999999</v>
      </c>
      <c r="J2259">
        <v>1335.7208252</v>
      </c>
      <c r="K2259">
        <v>0</v>
      </c>
      <c r="L2259">
        <v>2400</v>
      </c>
      <c r="M2259">
        <v>2400</v>
      </c>
      <c r="N2259">
        <v>0</v>
      </c>
    </row>
    <row r="2260" spans="1:14" x14ac:dyDescent="0.25">
      <c r="A2260">
        <v>1661.9148540000001</v>
      </c>
      <c r="B2260" s="1">
        <f>DATE(2014,11,17) + TIME(21,57,23)</f>
        <v>41960.914849537039</v>
      </c>
      <c r="C2260">
        <v>80</v>
      </c>
      <c r="D2260">
        <v>78.937255859000004</v>
      </c>
      <c r="E2260">
        <v>50</v>
      </c>
      <c r="F2260">
        <v>49.985244751000003</v>
      </c>
      <c r="G2260">
        <v>1329.5834961</v>
      </c>
      <c r="H2260">
        <v>1328.7364502</v>
      </c>
      <c r="I2260">
        <v>1338.1232910000001</v>
      </c>
      <c r="J2260">
        <v>1335.7180175999999</v>
      </c>
      <c r="K2260">
        <v>0</v>
      </c>
      <c r="L2260">
        <v>2400</v>
      </c>
      <c r="M2260">
        <v>2400</v>
      </c>
      <c r="N2260">
        <v>0</v>
      </c>
    </row>
    <row r="2261" spans="1:14" x14ac:dyDescent="0.25">
      <c r="A2261">
        <v>1662.6905870000001</v>
      </c>
      <c r="B2261" s="1">
        <f>DATE(2014,11,18) + TIME(16,34,26)</f>
        <v>41961.690578703703</v>
      </c>
      <c r="C2261">
        <v>80</v>
      </c>
      <c r="D2261">
        <v>78.895904540999993</v>
      </c>
      <c r="E2261">
        <v>50</v>
      </c>
      <c r="F2261">
        <v>49.985244751000003</v>
      </c>
      <c r="G2261">
        <v>1329.565918</v>
      </c>
      <c r="H2261">
        <v>1328.7132568</v>
      </c>
      <c r="I2261">
        <v>1338.1202393000001</v>
      </c>
      <c r="J2261">
        <v>1335.7149658000001</v>
      </c>
      <c r="K2261">
        <v>0</v>
      </c>
      <c r="L2261">
        <v>2400</v>
      </c>
      <c r="M2261">
        <v>2400</v>
      </c>
      <c r="N2261">
        <v>0</v>
      </c>
    </row>
    <row r="2262" spans="1:14" x14ac:dyDescent="0.25">
      <c r="A2262">
        <v>1663.5127669999999</v>
      </c>
      <c r="B2262" s="1">
        <f>DATE(2014,11,19) + TIME(12,18,23)</f>
        <v>41962.512766203705</v>
      </c>
      <c r="C2262">
        <v>80</v>
      </c>
      <c r="D2262">
        <v>78.852516174000002</v>
      </c>
      <c r="E2262">
        <v>50</v>
      </c>
      <c r="F2262">
        <v>49.985244751000003</v>
      </c>
      <c r="G2262">
        <v>1329.5474853999999</v>
      </c>
      <c r="H2262">
        <v>1328.6889647999999</v>
      </c>
      <c r="I2262">
        <v>1338.1170654</v>
      </c>
      <c r="J2262">
        <v>1335.7120361</v>
      </c>
      <c r="K2262">
        <v>0</v>
      </c>
      <c r="L2262">
        <v>2400</v>
      </c>
      <c r="M2262">
        <v>2400</v>
      </c>
      <c r="N2262">
        <v>0</v>
      </c>
    </row>
    <row r="2263" spans="1:14" x14ac:dyDescent="0.25">
      <c r="A2263">
        <v>1664.351686</v>
      </c>
      <c r="B2263" s="1">
        <f>DATE(2014,11,20) + TIME(8,26,25)</f>
        <v>41963.351678240739</v>
      </c>
      <c r="C2263">
        <v>80</v>
      </c>
      <c r="D2263">
        <v>78.807945251000007</v>
      </c>
      <c r="E2263">
        <v>50</v>
      </c>
      <c r="F2263">
        <v>49.985244751000003</v>
      </c>
      <c r="G2263">
        <v>1329.5280762</v>
      </c>
      <c r="H2263">
        <v>1328.6634521000001</v>
      </c>
      <c r="I2263">
        <v>1338.1138916</v>
      </c>
      <c r="J2263">
        <v>1335.7088623</v>
      </c>
      <c r="K2263">
        <v>0</v>
      </c>
      <c r="L2263">
        <v>2400</v>
      </c>
      <c r="M2263">
        <v>2400</v>
      </c>
      <c r="N2263">
        <v>0</v>
      </c>
    </row>
    <row r="2264" spans="1:14" x14ac:dyDescent="0.25">
      <c r="A2264">
        <v>1665.20074</v>
      </c>
      <c r="B2264" s="1">
        <f>DATE(2014,11,21) + TIME(4,49,3)</f>
        <v>41964.200729166667</v>
      </c>
      <c r="C2264">
        <v>80</v>
      </c>
      <c r="D2264">
        <v>78.762649535999998</v>
      </c>
      <c r="E2264">
        <v>50</v>
      </c>
      <c r="F2264">
        <v>49.985248566000003</v>
      </c>
      <c r="G2264">
        <v>1329.5084228999999</v>
      </c>
      <c r="H2264">
        <v>1328.6374512</v>
      </c>
      <c r="I2264">
        <v>1338.1107178</v>
      </c>
      <c r="J2264">
        <v>1335.7058105000001</v>
      </c>
      <c r="K2264">
        <v>0</v>
      </c>
      <c r="L2264">
        <v>2400</v>
      </c>
      <c r="M2264">
        <v>2400</v>
      </c>
      <c r="N2264">
        <v>0</v>
      </c>
    </row>
    <row r="2265" spans="1:14" x14ac:dyDescent="0.25">
      <c r="A2265">
        <v>1666.062316</v>
      </c>
      <c r="B2265" s="1">
        <f>DATE(2014,11,22) + TIME(1,29,44)</f>
        <v>41965.062314814815</v>
      </c>
      <c r="C2265">
        <v>80</v>
      </c>
      <c r="D2265">
        <v>78.716781616000006</v>
      </c>
      <c r="E2265">
        <v>50</v>
      </c>
      <c r="F2265">
        <v>49.985248566000003</v>
      </c>
      <c r="G2265">
        <v>1329.4884033000001</v>
      </c>
      <c r="H2265">
        <v>1328.6110839999999</v>
      </c>
      <c r="I2265">
        <v>1338.1076660000001</v>
      </c>
      <c r="J2265">
        <v>1335.7027588000001</v>
      </c>
      <c r="K2265">
        <v>0</v>
      </c>
      <c r="L2265">
        <v>2400</v>
      </c>
      <c r="M2265">
        <v>2400</v>
      </c>
      <c r="N2265">
        <v>0</v>
      </c>
    </row>
    <row r="2266" spans="1:14" x14ac:dyDescent="0.25">
      <c r="A2266">
        <v>1666.9385870000001</v>
      </c>
      <c r="B2266" s="1">
        <f>DATE(2014,11,22) + TIME(22,31,33)</f>
        <v>41965.938576388886</v>
      </c>
      <c r="C2266">
        <v>80</v>
      </c>
      <c r="D2266">
        <v>78.670387267999999</v>
      </c>
      <c r="E2266">
        <v>50</v>
      </c>
      <c r="F2266">
        <v>49.985252379999999</v>
      </c>
      <c r="G2266">
        <v>1329.4682617000001</v>
      </c>
      <c r="H2266">
        <v>1328.5844727000001</v>
      </c>
      <c r="I2266">
        <v>1338.1048584</v>
      </c>
      <c r="J2266">
        <v>1335.6998291</v>
      </c>
      <c r="K2266">
        <v>0</v>
      </c>
      <c r="L2266">
        <v>2400</v>
      </c>
      <c r="M2266">
        <v>2400</v>
      </c>
      <c r="N2266">
        <v>0</v>
      </c>
    </row>
    <row r="2267" spans="1:14" x14ac:dyDescent="0.25">
      <c r="A2267">
        <v>1667.831762</v>
      </c>
      <c r="B2267" s="1">
        <f>DATE(2014,11,23) + TIME(19,57,44)</f>
        <v>41966.831759259258</v>
      </c>
      <c r="C2267">
        <v>80</v>
      </c>
      <c r="D2267">
        <v>78.623466492000006</v>
      </c>
      <c r="E2267">
        <v>50</v>
      </c>
      <c r="F2267">
        <v>49.985256194999998</v>
      </c>
      <c r="G2267">
        <v>1329.447876</v>
      </c>
      <c r="H2267">
        <v>1328.5576172000001</v>
      </c>
      <c r="I2267">
        <v>1338.1019286999999</v>
      </c>
      <c r="J2267">
        <v>1335.6967772999999</v>
      </c>
      <c r="K2267">
        <v>0</v>
      </c>
      <c r="L2267">
        <v>2400</v>
      </c>
      <c r="M2267">
        <v>2400</v>
      </c>
      <c r="N2267">
        <v>0</v>
      </c>
    </row>
    <row r="2268" spans="1:14" x14ac:dyDescent="0.25">
      <c r="A2268">
        <v>1668.7441080000001</v>
      </c>
      <c r="B2268" s="1">
        <f>DATE(2014,11,24) + TIME(17,51,30)</f>
        <v>41967.744097222225</v>
      </c>
      <c r="C2268">
        <v>80</v>
      </c>
      <c r="D2268">
        <v>78.575958252000007</v>
      </c>
      <c r="E2268">
        <v>50</v>
      </c>
      <c r="F2268">
        <v>49.985256194999998</v>
      </c>
      <c r="G2268">
        <v>1329.4272461</v>
      </c>
      <c r="H2268">
        <v>1328.5303954999999</v>
      </c>
      <c r="I2268">
        <v>1338.0992432</v>
      </c>
      <c r="J2268">
        <v>1335.6939697</v>
      </c>
      <c r="K2268">
        <v>0</v>
      </c>
      <c r="L2268">
        <v>2400</v>
      </c>
      <c r="M2268">
        <v>2400</v>
      </c>
      <c r="N2268">
        <v>0</v>
      </c>
    </row>
    <row r="2269" spans="1:14" x14ac:dyDescent="0.25">
      <c r="A2269">
        <v>1669.678026</v>
      </c>
      <c r="B2269" s="1">
        <f>DATE(2014,11,25) + TIME(16,16,21)</f>
        <v>41968.678020833337</v>
      </c>
      <c r="C2269">
        <v>80</v>
      </c>
      <c r="D2269">
        <v>78.527801514000004</v>
      </c>
      <c r="E2269">
        <v>50</v>
      </c>
      <c r="F2269">
        <v>49.985260009999998</v>
      </c>
      <c r="G2269">
        <v>1329.4063721</v>
      </c>
      <c r="H2269">
        <v>1328.5028076000001</v>
      </c>
      <c r="I2269">
        <v>1338.0965576000001</v>
      </c>
      <c r="J2269">
        <v>1335.6910399999999</v>
      </c>
      <c r="K2269">
        <v>0</v>
      </c>
      <c r="L2269">
        <v>2400</v>
      </c>
      <c r="M2269">
        <v>2400</v>
      </c>
      <c r="N2269">
        <v>0</v>
      </c>
    </row>
    <row r="2270" spans="1:14" x14ac:dyDescent="0.25">
      <c r="A2270">
        <v>1670.6326570000001</v>
      </c>
      <c r="B2270" s="1">
        <f>DATE(2014,11,26) + TIME(15,11,1)</f>
        <v>41969.632650462961</v>
      </c>
      <c r="C2270">
        <v>80</v>
      </c>
      <c r="D2270">
        <v>78.479003906000003</v>
      </c>
      <c r="E2270">
        <v>50</v>
      </c>
      <c r="F2270">
        <v>49.985263824</v>
      </c>
      <c r="G2270">
        <v>1329.3852539</v>
      </c>
      <c r="H2270">
        <v>1328.4748535000001</v>
      </c>
      <c r="I2270">
        <v>1338.0938721</v>
      </c>
      <c r="J2270">
        <v>1335.6881103999999</v>
      </c>
      <c r="K2270">
        <v>0</v>
      </c>
      <c r="L2270">
        <v>2400</v>
      </c>
      <c r="M2270">
        <v>2400</v>
      </c>
      <c r="N2270">
        <v>0</v>
      </c>
    </row>
    <row r="2271" spans="1:14" x14ac:dyDescent="0.25">
      <c r="A2271">
        <v>1671.602222</v>
      </c>
      <c r="B2271" s="1">
        <f>DATE(2014,11,27) + TIME(14,27,11)</f>
        <v>41970.602210648147</v>
      </c>
      <c r="C2271">
        <v>80</v>
      </c>
      <c r="D2271">
        <v>78.429718018000003</v>
      </c>
      <c r="E2271">
        <v>50</v>
      </c>
      <c r="F2271">
        <v>49.985267639</v>
      </c>
      <c r="G2271">
        <v>1329.3636475000001</v>
      </c>
      <c r="H2271">
        <v>1328.4464111</v>
      </c>
      <c r="I2271">
        <v>1338.0913086</v>
      </c>
      <c r="J2271">
        <v>1335.6853027</v>
      </c>
      <c r="K2271">
        <v>0</v>
      </c>
      <c r="L2271">
        <v>2400</v>
      </c>
      <c r="M2271">
        <v>2400</v>
      </c>
      <c r="N2271">
        <v>0</v>
      </c>
    </row>
    <row r="2272" spans="1:14" x14ac:dyDescent="0.25">
      <c r="A2272">
        <v>1672.5892100000001</v>
      </c>
      <c r="B2272" s="1">
        <f>DATE(2014,11,28) + TIME(14,8,27)</f>
        <v>41971.589201388888</v>
      </c>
      <c r="C2272">
        <v>80</v>
      </c>
      <c r="D2272">
        <v>78.379951477000006</v>
      </c>
      <c r="E2272">
        <v>50</v>
      </c>
      <c r="F2272">
        <v>49.985271453999999</v>
      </c>
      <c r="G2272">
        <v>1329.3419189000001</v>
      </c>
      <c r="H2272">
        <v>1328.4177245999999</v>
      </c>
      <c r="I2272">
        <v>1338.0888672000001</v>
      </c>
      <c r="J2272">
        <v>1335.6824951000001</v>
      </c>
      <c r="K2272">
        <v>0</v>
      </c>
      <c r="L2272">
        <v>2400</v>
      </c>
      <c r="M2272">
        <v>2400</v>
      </c>
      <c r="N2272">
        <v>0</v>
      </c>
    </row>
    <row r="2273" spans="1:14" x14ac:dyDescent="0.25">
      <c r="A2273">
        <v>1673.5960620000001</v>
      </c>
      <c r="B2273" s="1">
        <f>DATE(2014,11,29) + TIME(14,18,19)</f>
        <v>41972.596053240741</v>
      </c>
      <c r="C2273">
        <v>80</v>
      </c>
      <c r="D2273">
        <v>78.329673767000003</v>
      </c>
      <c r="E2273">
        <v>50</v>
      </c>
      <c r="F2273">
        <v>49.985279083000002</v>
      </c>
      <c r="G2273">
        <v>1329.3199463000001</v>
      </c>
      <c r="H2273">
        <v>1328.3885498</v>
      </c>
      <c r="I2273">
        <v>1338.0864257999999</v>
      </c>
      <c r="J2273">
        <v>1335.6796875</v>
      </c>
      <c r="K2273">
        <v>0</v>
      </c>
      <c r="L2273">
        <v>2400</v>
      </c>
      <c r="M2273">
        <v>2400</v>
      </c>
      <c r="N2273">
        <v>0</v>
      </c>
    </row>
    <row r="2274" spans="1:14" x14ac:dyDescent="0.25">
      <c r="A2274">
        <v>1674.6252959999999</v>
      </c>
      <c r="B2274" s="1">
        <f>DATE(2014,11,30) + TIME(15,0,25)</f>
        <v>41973.625289351854</v>
      </c>
      <c r="C2274">
        <v>80</v>
      </c>
      <c r="D2274">
        <v>78.278816223000007</v>
      </c>
      <c r="E2274">
        <v>50</v>
      </c>
      <c r="F2274">
        <v>49.985282898000001</v>
      </c>
      <c r="G2274">
        <v>1329.2976074000001</v>
      </c>
      <c r="H2274">
        <v>1328.3591309000001</v>
      </c>
      <c r="I2274">
        <v>1338.0839844</v>
      </c>
      <c r="J2274">
        <v>1335.6768798999999</v>
      </c>
      <c r="K2274">
        <v>0</v>
      </c>
      <c r="L2274">
        <v>2400</v>
      </c>
      <c r="M2274">
        <v>2400</v>
      </c>
      <c r="N2274">
        <v>0</v>
      </c>
    </row>
    <row r="2275" spans="1:14" x14ac:dyDescent="0.25">
      <c r="A2275">
        <v>1675</v>
      </c>
      <c r="B2275" s="1">
        <f>DATE(2014,12,1) + TIME(0,0,0)</f>
        <v>41974</v>
      </c>
      <c r="C2275">
        <v>80</v>
      </c>
      <c r="D2275">
        <v>78.251808166999993</v>
      </c>
      <c r="E2275">
        <v>50</v>
      </c>
      <c r="F2275">
        <v>49.985282898000001</v>
      </c>
      <c r="G2275">
        <v>1329.2769774999999</v>
      </c>
      <c r="H2275">
        <v>1328.3316649999999</v>
      </c>
      <c r="I2275">
        <v>1338.0812988</v>
      </c>
      <c r="J2275">
        <v>1335.6741943</v>
      </c>
      <c r="K2275">
        <v>0</v>
      </c>
      <c r="L2275">
        <v>2400</v>
      </c>
      <c r="M2275">
        <v>2400</v>
      </c>
      <c r="N2275">
        <v>0</v>
      </c>
    </row>
    <row r="2276" spans="1:14" x14ac:dyDescent="0.25">
      <c r="A2276">
        <v>1676.054251</v>
      </c>
      <c r="B2276" s="1">
        <f>DATE(2014,12,2) + TIME(1,18,7)</f>
        <v>41975.054247685184</v>
      </c>
      <c r="C2276">
        <v>80</v>
      </c>
      <c r="D2276">
        <v>78.204551696999999</v>
      </c>
      <c r="E2276">
        <v>50</v>
      </c>
      <c r="F2276">
        <v>49.985290526999997</v>
      </c>
      <c r="G2276">
        <v>1329.2641602000001</v>
      </c>
      <c r="H2276">
        <v>1328.3148193</v>
      </c>
      <c r="I2276">
        <v>1338.0808105000001</v>
      </c>
      <c r="J2276">
        <v>1335.6729736</v>
      </c>
      <c r="K2276">
        <v>0</v>
      </c>
      <c r="L2276">
        <v>2400</v>
      </c>
      <c r="M2276">
        <v>2400</v>
      </c>
      <c r="N2276">
        <v>0</v>
      </c>
    </row>
    <row r="2277" spans="1:14" x14ac:dyDescent="0.25">
      <c r="A2277">
        <v>1677.1473579999999</v>
      </c>
      <c r="B2277" s="1">
        <f>DATE(2014,12,3) + TIME(3,32,11)</f>
        <v>41976.147349537037</v>
      </c>
      <c r="C2277">
        <v>80</v>
      </c>
      <c r="D2277">
        <v>78.154251099000007</v>
      </c>
      <c r="E2277">
        <v>50</v>
      </c>
      <c r="F2277">
        <v>49.985294342000003</v>
      </c>
      <c r="G2277">
        <v>1329.2426757999999</v>
      </c>
      <c r="H2277">
        <v>1328.2866211</v>
      </c>
      <c r="I2277">
        <v>1338.0786132999999</v>
      </c>
      <c r="J2277">
        <v>1335.6702881000001</v>
      </c>
      <c r="K2277">
        <v>0</v>
      </c>
      <c r="L2277">
        <v>2400</v>
      </c>
      <c r="M2277">
        <v>2400</v>
      </c>
      <c r="N2277">
        <v>0</v>
      </c>
    </row>
    <row r="2278" spans="1:14" x14ac:dyDescent="0.25">
      <c r="A2278">
        <v>1678.271878</v>
      </c>
      <c r="B2278" s="1">
        <f>DATE(2014,12,4) + TIME(6,31,30)</f>
        <v>41977.271874999999</v>
      </c>
      <c r="C2278">
        <v>80</v>
      </c>
      <c r="D2278">
        <v>78.101890564000001</v>
      </c>
      <c r="E2278">
        <v>50</v>
      </c>
      <c r="F2278">
        <v>49.985301970999998</v>
      </c>
      <c r="G2278">
        <v>1329.2197266000001</v>
      </c>
      <c r="H2278">
        <v>1328.2562256000001</v>
      </c>
      <c r="I2278">
        <v>1338.0762939000001</v>
      </c>
      <c r="J2278">
        <v>1335.6676024999999</v>
      </c>
      <c r="K2278">
        <v>0</v>
      </c>
      <c r="L2278">
        <v>2400</v>
      </c>
      <c r="M2278">
        <v>2400</v>
      </c>
      <c r="N2278">
        <v>0</v>
      </c>
    </row>
    <row r="2279" spans="1:14" x14ac:dyDescent="0.25">
      <c r="A2279">
        <v>1679.431425</v>
      </c>
      <c r="B2279" s="1">
        <f>DATE(2014,12,5) + TIME(10,21,15)</f>
        <v>41978.431423611109</v>
      </c>
      <c r="C2279">
        <v>80</v>
      </c>
      <c r="D2279">
        <v>78.047920227000006</v>
      </c>
      <c r="E2279">
        <v>50</v>
      </c>
      <c r="F2279">
        <v>49.985305785999998</v>
      </c>
      <c r="G2279">
        <v>1329.1956786999999</v>
      </c>
      <c r="H2279">
        <v>1328.2246094</v>
      </c>
      <c r="I2279">
        <v>1338.0739745999999</v>
      </c>
      <c r="J2279">
        <v>1335.6647949000001</v>
      </c>
      <c r="K2279">
        <v>0</v>
      </c>
      <c r="L2279">
        <v>2400</v>
      </c>
      <c r="M2279">
        <v>2400</v>
      </c>
      <c r="N2279">
        <v>0</v>
      </c>
    </row>
    <row r="2280" spans="1:14" x14ac:dyDescent="0.25">
      <c r="A2280">
        <v>1680.62906</v>
      </c>
      <c r="B2280" s="1">
        <f>DATE(2014,12,6) + TIME(15,5,50)</f>
        <v>41979.629050925927</v>
      </c>
      <c r="C2280">
        <v>80</v>
      </c>
      <c r="D2280">
        <v>77.992530822999996</v>
      </c>
      <c r="E2280">
        <v>50</v>
      </c>
      <c r="F2280">
        <v>49.985313415999997</v>
      </c>
      <c r="G2280">
        <v>1329.1710204999999</v>
      </c>
      <c r="H2280">
        <v>1328.1920166</v>
      </c>
      <c r="I2280">
        <v>1338.0717772999999</v>
      </c>
      <c r="J2280">
        <v>1335.6619873</v>
      </c>
      <c r="K2280">
        <v>0</v>
      </c>
      <c r="L2280">
        <v>2400</v>
      </c>
      <c r="M2280">
        <v>2400</v>
      </c>
      <c r="N2280">
        <v>0</v>
      </c>
    </row>
    <row r="2281" spans="1:14" x14ac:dyDescent="0.25">
      <c r="A2281">
        <v>1681.868557</v>
      </c>
      <c r="B2281" s="1">
        <f>DATE(2014,12,7) + TIME(20,50,43)</f>
        <v>41980.86855324074</v>
      </c>
      <c r="C2281">
        <v>80</v>
      </c>
      <c r="D2281">
        <v>77.935768127000003</v>
      </c>
      <c r="E2281">
        <v>50</v>
      </c>
      <c r="F2281">
        <v>49.985321044999999</v>
      </c>
      <c r="G2281">
        <v>1329.1456298999999</v>
      </c>
      <c r="H2281">
        <v>1328.1584473</v>
      </c>
      <c r="I2281">
        <v>1338.0695800999999</v>
      </c>
      <c r="J2281">
        <v>1335.6591797000001</v>
      </c>
      <c r="K2281">
        <v>0</v>
      </c>
      <c r="L2281">
        <v>2400</v>
      </c>
      <c r="M2281">
        <v>2400</v>
      </c>
      <c r="N2281">
        <v>0</v>
      </c>
    </row>
    <row r="2282" spans="1:14" x14ac:dyDescent="0.25">
      <c r="A2282">
        <v>1683.154143</v>
      </c>
      <c r="B2282" s="1">
        <f>DATE(2014,12,9) + TIME(3,41,57)</f>
        <v>41982.154131944444</v>
      </c>
      <c r="C2282">
        <v>80</v>
      </c>
      <c r="D2282">
        <v>77.877563476999995</v>
      </c>
      <c r="E2282">
        <v>50</v>
      </c>
      <c r="F2282">
        <v>49.985328674000002</v>
      </c>
      <c r="G2282">
        <v>1329.1195068</v>
      </c>
      <c r="H2282">
        <v>1328.1240233999999</v>
      </c>
      <c r="I2282">
        <v>1338.0673827999999</v>
      </c>
      <c r="J2282">
        <v>1335.6563721</v>
      </c>
      <c r="K2282">
        <v>0</v>
      </c>
      <c r="L2282">
        <v>2400</v>
      </c>
      <c r="M2282">
        <v>2400</v>
      </c>
      <c r="N2282">
        <v>0</v>
      </c>
    </row>
    <row r="2283" spans="1:14" x14ac:dyDescent="0.25">
      <c r="A2283">
        <v>1684.4904369999999</v>
      </c>
      <c r="B2283" s="1">
        <f>DATE(2014,12,10) + TIME(11,46,13)</f>
        <v>41983.490428240744</v>
      </c>
      <c r="C2283">
        <v>80</v>
      </c>
      <c r="D2283">
        <v>77.817817688000005</v>
      </c>
      <c r="E2283">
        <v>50</v>
      </c>
      <c r="F2283">
        <v>49.985336304</v>
      </c>
      <c r="G2283">
        <v>1329.0926514</v>
      </c>
      <c r="H2283">
        <v>1328.0883789</v>
      </c>
      <c r="I2283">
        <v>1338.0651855000001</v>
      </c>
      <c r="J2283">
        <v>1335.6535644999999</v>
      </c>
      <c r="K2283">
        <v>0</v>
      </c>
      <c r="L2283">
        <v>2400</v>
      </c>
      <c r="M2283">
        <v>2400</v>
      </c>
      <c r="N2283">
        <v>0</v>
      </c>
    </row>
    <row r="2284" spans="1:14" x14ac:dyDescent="0.25">
      <c r="A2284">
        <v>1685.8825429999999</v>
      </c>
      <c r="B2284" s="1">
        <f>DATE(2014,12,11) + TIME(21,10,51)</f>
        <v>41984.882534722223</v>
      </c>
      <c r="C2284">
        <v>80</v>
      </c>
      <c r="D2284">
        <v>77.756393433</v>
      </c>
      <c r="E2284">
        <v>50</v>
      </c>
      <c r="F2284">
        <v>49.985343933000003</v>
      </c>
      <c r="G2284">
        <v>1329.0648193</v>
      </c>
      <c r="H2284">
        <v>1328.0517577999999</v>
      </c>
      <c r="I2284">
        <v>1338.0629882999999</v>
      </c>
      <c r="J2284">
        <v>1335.6507568</v>
      </c>
      <c r="K2284">
        <v>0</v>
      </c>
      <c r="L2284">
        <v>2400</v>
      </c>
      <c r="M2284">
        <v>2400</v>
      </c>
      <c r="N2284">
        <v>0</v>
      </c>
    </row>
    <row r="2285" spans="1:14" x14ac:dyDescent="0.25">
      <c r="A2285">
        <v>1687.3361480000001</v>
      </c>
      <c r="B2285" s="1">
        <f>DATE(2014,12,13) + TIME(8,4,3)</f>
        <v>41986.336145833331</v>
      </c>
      <c r="C2285">
        <v>80</v>
      </c>
      <c r="D2285">
        <v>77.693145752000007</v>
      </c>
      <c r="E2285">
        <v>50</v>
      </c>
      <c r="F2285">
        <v>49.985351561999998</v>
      </c>
      <c r="G2285">
        <v>1329.0361327999999</v>
      </c>
      <c r="H2285">
        <v>1328.0137939000001</v>
      </c>
      <c r="I2285">
        <v>1338.0607910000001</v>
      </c>
      <c r="J2285">
        <v>1335.6478271000001</v>
      </c>
      <c r="K2285">
        <v>0</v>
      </c>
      <c r="L2285">
        <v>2400</v>
      </c>
      <c r="M2285">
        <v>2400</v>
      </c>
      <c r="N2285">
        <v>0</v>
      </c>
    </row>
    <row r="2286" spans="1:14" x14ac:dyDescent="0.25">
      <c r="A2286">
        <v>1688.8576310000001</v>
      </c>
      <c r="B2286" s="1">
        <f>DATE(2014,12,14) + TIME(20,34,59)</f>
        <v>41987.857627314814</v>
      </c>
      <c r="C2286">
        <v>80</v>
      </c>
      <c r="D2286">
        <v>77.627883910999998</v>
      </c>
      <c r="E2286">
        <v>50</v>
      </c>
      <c r="F2286">
        <v>49.985359191999997</v>
      </c>
      <c r="G2286">
        <v>1329.0063477000001</v>
      </c>
      <c r="H2286">
        <v>1327.9743652</v>
      </c>
      <c r="I2286">
        <v>1338.0585937999999</v>
      </c>
      <c r="J2286">
        <v>1335.6448975000001</v>
      </c>
      <c r="K2286">
        <v>0</v>
      </c>
      <c r="L2286">
        <v>2400</v>
      </c>
      <c r="M2286">
        <v>2400</v>
      </c>
      <c r="N2286">
        <v>0</v>
      </c>
    </row>
    <row r="2287" spans="1:14" x14ac:dyDescent="0.25">
      <c r="A2287">
        <v>1690.4455620000001</v>
      </c>
      <c r="B2287" s="1">
        <f>DATE(2014,12,16) + TIME(10,41,36)</f>
        <v>41989.445555555554</v>
      </c>
      <c r="C2287">
        <v>80</v>
      </c>
      <c r="D2287">
        <v>77.560562133999994</v>
      </c>
      <c r="E2287">
        <v>50</v>
      </c>
      <c r="F2287">
        <v>49.985366821</v>
      </c>
      <c r="G2287">
        <v>1328.9753418</v>
      </c>
      <c r="H2287">
        <v>1327.9334716999999</v>
      </c>
      <c r="I2287">
        <v>1338.0563964999999</v>
      </c>
      <c r="J2287">
        <v>1335.6418457</v>
      </c>
      <c r="K2287">
        <v>0</v>
      </c>
      <c r="L2287">
        <v>2400</v>
      </c>
      <c r="M2287">
        <v>2400</v>
      </c>
      <c r="N2287">
        <v>0</v>
      </c>
    </row>
    <row r="2288" spans="1:14" x14ac:dyDescent="0.25">
      <c r="A2288">
        <v>1692.054795</v>
      </c>
      <c r="B2288" s="1">
        <f>DATE(2014,12,18) + TIME(1,18,54)</f>
        <v>41991.054791666669</v>
      </c>
      <c r="C2288">
        <v>80</v>
      </c>
      <c r="D2288">
        <v>77.491928100999999</v>
      </c>
      <c r="E2288">
        <v>50</v>
      </c>
      <c r="F2288">
        <v>49.985378265000001</v>
      </c>
      <c r="G2288">
        <v>1328.9432373</v>
      </c>
      <c r="H2288">
        <v>1327.8911132999999</v>
      </c>
      <c r="I2288">
        <v>1338.0540771000001</v>
      </c>
      <c r="J2288">
        <v>1335.6387939000001</v>
      </c>
      <c r="K2288">
        <v>0</v>
      </c>
      <c r="L2288">
        <v>2400</v>
      </c>
      <c r="M2288">
        <v>2400</v>
      </c>
      <c r="N2288">
        <v>0</v>
      </c>
    </row>
    <row r="2289" spans="1:14" x14ac:dyDescent="0.25">
      <c r="A2289">
        <v>1693.687418</v>
      </c>
      <c r="B2289" s="1">
        <f>DATE(2014,12,19) + TIME(16,29,52)</f>
        <v>41992.687407407408</v>
      </c>
      <c r="C2289">
        <v>80</v>
      </c>
      <c r="D2289">
        <v>77.422744750999996</v>
      </c>
      <c r="E2289">
        <v>50</v>
      </c>
      <c r="F2289">
        <v>49.985385895</v>
      </c>
      <c r="G2289">
        <v>1328.9106445</v>
      </c>
      <c r="H2289">
        <v>1327.8480225000001</v>
      </c>
      <c r="I2289">
        <v>1338.0520019999999</v>
      </c>
      <c r="J2289">
        <v>1335.6357422000001</v>
      </c>
      <c r="K2289">
        <v>0</v>
      </c>
      <c r="L2289">
        <v>2400</v>
      </c>
      <c r="M2289">
        <v>2400</v>
      </c>
      <c r="N2289">
        <v>0</v>
      </c>
    </row>
    <row r="2290" spans="1:14" x14ac:dyDescent="0.25">
      <c r="A2290">
        <v>1695.348099</v>
      </c>
      <c r="B2290" s="1">
        <f>DATE(2014,12,21) + TIME(8,21,15)</f>
        <v>41994.348090277781</v>
      </c>
      <c r="C2290">
        <v>80</v>
      </c>
      <c r="D2290">
        <v>77.353218079000001</v>
      </c>
      <c r="E2290">
        <v>50</v>
      </c>
      <c r="F2290">
        <v>49.985397339000002</v>
      </c>
      <c r="G2290">
        <v>1328.8776855000001</v>
      </c>
      <c r="H2290">
        <v>1327.8043213000001</v>
      </c>
      <c r="I2290">
        <v>1338.0498047000001</v>
      </c>
      <c r="J2290">
        <v>1335.6328125</v>
      </c>
      <c r="K2290">
        <v>0</v>
      </c>
      <c r="L2290">
        <v>2400</v>
      </c>
      <c r="M2290">
        <v>2400</v>
      </c>
      <c r="N2290">
        <v>0</v>
      </c>
    </row>
    <row r="2291" spans="1:14" x14ac:dyDescent="0.25">
      <c r="A2291">
        <v>1697.0416250000001</v>
      </c>
      <c r="B2291" s="1">
        <f>DATE(2014,12,23) + TIME(0,59,56)</f>
        <v>41996.041620370372</v>
      </c>
      <c r="C2291">
        <v>80</v>
      </c>
      <c r="D2291">
        <v>77.283332825000002</v>
      </c>
      <c r="E2291">
        <v>50</v>
      </c>
      <c r="F2291">
        <v>49.985404967999997</v>
      </c>
      <c r="G2291">
        <v>1328.8442382999999</v>
      </c>
      <c r="H2291">
        <v>1327.7602539</v>
      </c>
      <c r="I2291">
        <v>1338.0477295000001</v>
      </c>
      <c r="J2291">
        <v>1335.6298827999999</v>
      </c>
      <c r="K2291">
        <v>0</v>
      </c>
      <c r="L2291">
        <v>2400</v>
      </c>
      <c r="M2291">
        <v>2400</v>
      </c>
      <c r="N2291">
        <v>0</v>
      </c>
    </row>
    <row r="2292" spans="1:14" x14ac:dyDescent="0.25">
      <c r="A2292">
        <v>1698.772974</v>
      </c>
      <c r="B2292" s="1">
        <f>DATE(2014,12,24) + TIME(18,33,4)</f>
        <v>41997.772962962961</v>
      </c>
      <c r="C2292">
        <v>80</v>
      </c>
      <c r="D2292">
        <v>77.212951660000002</v>
      </c>
      <c r="E2292">
        <v>50</v>
      </c>
      <c r="F2292">
        <v>49.985416411999999</v>
      </c>
      <c r="G2292">
        <v>1328.8105469</v>
      </c>
      <c r="H2292">
        <v>1327.7155762</v>
      </c>
      <c r="I2292">
        <v>1338.0457764</v>
      </c>
      <c r="J2292">
        <v>1335.6269531</v>
      </c>
      <c r="K2292">
        <v>0</v>
      </c>
      <c r="L2292">
        <v>2400</v>
      </c>
      <c r="M2292">
        <v>2400</v>
      </c>
      <c r="N2292">
        <v>0</v>
      </c>
    </row>
    <row r="2293" spans="1:14" x14ac:dyDescent="0.25">
      <c r="A2293">
        <v>1700.54447</v>
      </c>
      <c r="B2293" s="1">
        <f>DATE(2014,12,26) + TIME(13,4,2)</f>
        <v>41999.54446759259</v>
      </c>
      <c r="C2293">
        <v>80</v>
      </c>
      <c r="D2293">
        <v>77.141967773000005</v>
      </c>
      <c r="E2293">
        <v>50</v>
      </c>
      <c r="F2293">
        <v>49.985427856000001</v>
      </c>
      <c r="G2293">
        <v>1328.7762451000001</v>
      </c>
      <c r="H2293">
        <v>1327.6702881000001</v>
      </c>
      <c r="I2293">
        <v>1338.0437012</v>
      </c>
      <c r="J2293">
        <v>1335.6240233999999</v>
      </c>
      <c r="K2293">
        <v>0</v>
      </c>
      <c r="L2293">
        <v>2400</v>
      </c>
      <c r="M2293">
        <v>2400</v>
      </c>
      <c r="N2293">
        <v>0</v>
      </c>
    </row>
    <row r="2294" spans="1:14" x14ac:dyDescent="0.25">
      <c r="A2294">
        <v>1702.349731</v>
      </c>
      <c r="B2294" s="1">
        <f>DATE(2014,12,28) + TIME(8,23,36)</f>
        <v>42001.349722222221</v>
      </c>
      <c r="C2294">
        <v>80</v>
      </c>
      <c r="D2294">
        <v>77.070404053000004</v>
      </c>
      <c r="E2294">
        <v>50</v>
      </c>
      <c r="F2294">
        <v>49.985435486</v>
      </c>
      <c r="G2294">
        <v>1328.7414550999999</v>
      </c>
      <c r="H2294">
        <v>1327.6242675999999</v>
      </c>
      <c r="I2294">
        <v>1338.0417480000001</v>
      </c>
      <c r="J2294">
        <v>1335.6212158000001</v>
      </c>
      <c r="K2294">
        <v>0</v>
      </c>
      <c r="L2294">
        <v>2400</v>
      </c>
      <c r="M2294">
        <v>2400</v>
      </c>
      <c r="N2294">
        <v>0</v>
      </c>
    </row>
    <row r="2295" spans="1:14" x14ac:dyDescent="0.25">
      <c r="A2295">
        <v>1704.1941280000001</v>
      </c>
      <c r="B2295" s="1">
        <f>DATE(2014,12,30) + TIME(4,39,32)</f>
        <v>42003.194120370368</v>
      </c>
      <c r="C2295">
        <v>80</v>
      </c>
      <c r="D2295">
        <v>76.998291015999996</v>
      </c>
      <c r="E2295">
        <v>50</v>
      </c>
      <c r="F2295">
        <v>49.985446930000002</v>
      </c>
      <c r="G2295">
        <v>1328.7061768000001</v>
      </c>
      <c r="H2295">
        <v>1327.5775146000001</v>
      </c>
      <c r="I2295">
        <v>1338.0397949000001</v>
      </c>
      <c r="J2295">
        <v>1335.6182861</v>
      </c>
      <c r="K2295">
        <v>0</v>
      </c>
      <c r="L2295">
        <v>2400</v>
      </c>
      <c r="M2295">
        <v>2400</v>
      </c>
      <c r="N2295">
        <v>0</v>
      </c>
    </row>
    <row r="2296" spans="1:14" x14ac:dyDescent="0.25">
      <c r="A2296">
        <v>1706</v>
      </c>
      <c r="B2296" s="1">
        <f>DATE(2015,1,1) + TIME(0,0,0)</f>
        <v>42005</v>
      </c>
      <c r="C2296">
        <v>80</v>
      </c>
      <c r="D2296">
        <v>76.926589965999995</v>
      </c>
      <c r="E2296">
        <v>50</v>
      </c>
      <c r="F2296">
        <v>49.985458373999997</v>
      </c>
      <c r="G2296">
        <v>1328.6704102000001</v>
      </c>
      <c r="H2296">
        <v>1327.5302733999999</v>
      </c>
      <c r="I2296">
        <v>1338.0378418</v>
      </c>
      <c r="J2296">
        <v>1335.6154785000001</v>
      </c>
      <c r="K2296">
        <v>0</v>
      </c>
      <c r="L2296">
        <v>2400</v>
      </c>
      <c r="M2296">
        <v>2400</v>
      </c>
      <c r="N2296">
        <v>0</v>
      </c>
    </row>
    <row r="2297" spans="1:14" x14ac:dyDescent="0.25">
      <c r="A2297">
        <v>1707.8889590000001</v>
      </c>
      <c r="B2297" s="1">
        <f>DATE(2015,1,2) + TIME(21,20,6)</f>
        <v>42006.888958333337</v>
      </c>
      <c r="C2297">
        <v>80</v>
      </c>
      <c r="D2297">
        <v>76.855056762999993</v>
      </c>
      <c r="E2297">
        <v>50</v>
      </c>
      <c r="F2297">
        <v>49.985469817999999</v>
      </c>
      <c r="G2297">
        <v>1328.6348877</v>
      </c>
      <c r="H2297">
        <v>1327.4832764</v>
      </c>
      <c r="I2297">
        <v>1338.0360106999999</v>
      </c>
      <c r="J2297">
        <v>1335.612793</v>
      </c>
      <c r="K2297">
        <v>0</v>
      </c>
      <c r="L2297">
        <v>2400</v>
      </c>
      <c r="M2297">
        <v>2400</v>
      </c>
      <c r="N2297">
        <v>0</v>
      </c>
    </row>
    <row r="2298" spans="1:14" x14ac:dyDescent="0.25">
      <c r="A2298">
        <v>1709.8819739999999</v>
      </c>
      <c r="B2298" s="1">
        <f>DATE(2015,1,4) + TIME(21,10,2)</f>
        <v>42008.881967592592</v>
      </c>
      <c r="C2298">
        <v>80</v>
      </c>
      <c r="D2298">
        <v>76.781814574999999</v>
      </c>
      <c r="E2298">
        <v>50</v>
      </c>
      <c r="F2298">
        <v>49.985481262</v>
      </c>
      <c r="G2298">
        <v>1328.5987548999999</v>
      </c>
      <c r="H2298">
        <v>1327.4355469</v>
      </c>
      <c r="I2298">
        <v>1338.0341797000001</v>
      </c>
      <c r="J2298">
        <v>1335.6099853999999</v>
      </c>
      <c r="K2298">
        <v>0</v>
      </c>
      <c r="L2298">
        <v>2400</v>
      </c>
      <c r="M2298">
        <v>2400</v>
      </c>
      <c r="N2298">
        <v>0</v>
      </c>
    </row>
    <row r="2299" spans="1:14" x14ac:dyDescent="0.25">
      <c r="A2299">
        <v>1711.9365049999999</v>
      </c>
      <c r="B2299" s="1">
        <f>DATE(2015,1,6) + TIME(22,28,34)</f>
        <v>42010.93650462963</v>
      </c>
      <c r="C2299">
        <v>80</v>
      </c>
      <c r="D2299">
        <v>76.706436156999999</v>
      </c>
      <c r="E2299">
        <v>50</v>
      </c>
      <c r="F2299">
        <v>49.985488891999999</v>
      </c>
      <c r="G2299">
        <v>1328.5612793</v>
      </c>
      <c r="H2299">
        <v>1327.3858643000001</v>
      </c>
      <c r="I2299">
        <v>1338.0322266000001</v>
      </c>
      <c r="J2299">
        <v>1335.6071777</v>
      </c>
      <c r="K2299">
        <v>0</v>
      </c>
      <c r="L2299">
        <v>2400</v>
      </c>
      <c r="M2299">
        <v>2400</v>
      </c>
      <c r="N2299">
        <v>0</v>
      </c>
    </row>
    <row r="2300" spans="1:14" x14ac:dyDescent="0.25">
      <c r="A2300">
        <v>1714.0610360000001</v>
      </c>
      <c r="B2300" s="1">
        <f>DATE(2015,1,9) + TIME(1,27,53)</f>
        <v>42013.061030092591</v>
      </c>
      <c r="C2300">
        <v>80</v>
      </c>
      <c r="D2300">
        <v>76.629333496000001</v>
      </c>
      <c r="E2300">
        <v>50</v>
      </c>
      <c r="F2300">
        <v>49.985500336000001</v>
      </c>
      <c r="G2300">
        <v>1328.5225829999999</v>
      </c>
      <c r="H2300">
        <v>1327.3347168</v>
      </c>
      <c r="I2300">
        <v>1338.0302733999999</v>
      </c>
      <c r="J2300">
        <v>1335.6043701000001</v>
      </c>
      <c r="K2300">
        <v>0</v>
      </c>
      <c r="L2300">
        <v>2400</v>
      </c>
      <c r="M2300">
        <v>2400</v>
      </c>
      <c r="N2300">
        <v>0</v>
      </c>
    </row>
    <row r="2301" spans="1:14" x14ac:dyDescent="0.25">
      <c r="A2301">
        <v>1716.263058</v>
      </c>
      <c r="B2301" s="1">
        <f>DATE(2015,1,11) + TIME(6,18,48)</f>
        <v>42015.263055555559</v>
      </c>
      <c r="C2301">
        <v>80</v>
      </c>
      <c r="D2301">
        <v>76.550453185999999</v>
      </c>
      <c r="E2301">
        <v>50</v>
      </c>
      <c r="F2301">
        <v>49.985511780000003</v>
      </c>
      <c r="G2301">
        <v>1328.4827881000001</v>
      </c>
      <c r="H2301">
        <v>1327.2821045000001</v>
      </c>
      <c r="I2301">
        <v>1338.0283202999999</v>
      </c>
      <c r="J2301">
        <v>1335.6015625</v>
      </c>
      <c r="K2301">
        <v>0</v>
      </c>
      <c r="L2301">
        <v>2400</v>
      </c>
      <c r="M2301">
        <v>2400</v>
      </c>
      <c r="N2301">
        <v>0</v>
      </c>
    </row>
    <row r="2302" spans="1:14" x14ac:dyDescent="0.25">
      <c r="A2302">
        <v>1718.527998</v>
      </c>
      <c r="B2302" s="1">
        <f>DATE(2015,1,13) + TIME(12,40,19)</f>
        <v>42017.527997685182</v>
      </c>
      <c r="C2302">
        <v>80</v>
      </c>
      <c r="D2302">
        <v>76.469810486</v>
      </c>
      <c r="E2302">
        <v>50</v>
      </c>
      <c r="F2302">
        <v>49.985527038999997</v>
      </c>
      <c r="G2302">
        <v>1328.4418945</v>
      </c>
      <c r="H2302">
        <v>1327.2280272999999</v>
      </c>
      <c r="I2302">
        <v>1338.0263672000001</v>
      </c>
      <c r="J2302">
        <v>1335.5987548999999</v>
      </c>
      <c r="K2302">
        <v>0</v>
      </c>
      <c r="L2302">
        <v>2400</v>
      </c>
      <c r="M2302">
        <v>2400</v>
      </c>
      <c r="N2302">
        <v>0</v>
      </c>
    </row>
    <row r="2303" spans="1:14" x14ac:dyDescent="0.25">
      <c r="A2303">
        <v>1720.8668290000001</v>
      </c>
      <c r="B2303" s="1">
        <f>DATE(2015,1,15) + TIME(20,48,14)</f>
        <v>42019.866828703707</v>
      </c>
      <c r="C2303">
        <v>80</v>
      </c>
      <c r="D2303">
        <v>76.387519835999996</v>
      </c>
      <c r="E2303">
        <v>50</v>
      </c>
      <c r="F2303">
        <v>49.985538482999999</v>
      </c>
      <c r="G2303">
        <v>1328.4000243999999</v>
      </c>
      <c r="H2303">
        <v>1327.1726074000001</v>
      </c>
      <c r="I2303">
        <v>1338.0244141000001</v>
      </c>
      <c r="J2303">
        <v>1335.5959473</v>
      </c>
      <c r="K2303">
        <v>0</v>
      </c>
      <c r="L2303">
        <v>2400</v>
      </c>
      <c r="M2303">
        <v>2400</v>
      </c>
      <c r="N2303">
        <v>0</v>
      </c>
    </row>
    <row r="2304" spans="1:14" x14ac:dyDescent="0.25">
      <c r="A2304">
        <v>1723.2821080000001</v>
      </c>
      <c r="B2304" s="1">
        <f>DATE(2015,1,18) + TIME(6,46,14)</f>
        <v>42022.282106481478</v>
      </c>
      <c r="C2304">
        <v>80</v>
      </c>
      <c r="D2304">
        <v>76.303405761999997</v>
      </c>
      <c r="E2304">
        <v>50</v>
      </c>
      <c r="F2304">
        <v>49.985549927000001</v>
      </c>
      <c r="G2304">
        <v>1328.3570557</v>
      </c>
      <c r="H2304">
        <v>1327.1158447</v>
      </c>
      <c r="I2304">
        <v>1338.0224608999999</v>
      </c>
      <c r="J2304">
        <v>1335.5930175999999</v>
      </c>
      <c r="K2304">
        <v>0</v>
      </c>
      <c r="L2304">
        <v>2400</v>
      </c>
      <c r="M2304">
        <v>2400</v>
      </c>
      <c r="N2304">
        <v>0</v>
      </c>
    </row>
    <row r="2305" spans="1:14" x14ac:dyDescent="0.25">
      <c r="A2305">
        <v>1725.7404039999999</v>
      </c>
      <c r="B2305" s="1">
        <f>DATE(2015,1,20) + TIME(17,46,10)</f>
        <v>42024.740393518521</v>
      </c>
      <c r="C2305">
        <v>80</v>
      </c>
      <c r="D2305">
        <v>76.217613220000004</v>
      </c>
      <c r="E2305">
        <v>50</v>
      </c>
      <c r="F2305">
        <v>49.985561371000003</v>
      </c>
      <c r="G2305">
        <v>1328.3131103999999</v>
      </c>
      <c r="H2305">
        <v>1327.0576172000001</v>
      </c>
      <c r="I2305">
        <v>1338.0205077999999</v>
      </c>
      <c r="J2305">
        <v>1335.5902100000001</v>
      </c>
      <c r="K2305">
        <v>0</v>
      </c>
      <c r="L2305">
        <v>2400</v>
      </c>
      <c r="M2305">
        <v>2400</v>
      </c>
      <c r="N2305">
        <v>0</v>
      </c>
    </row>
    <row r="2306" spans="1:14" x14ac:dyDescent="0.25">
      <c r="A2306">
        <v>1728.259239</v>
      </c>
      <c r="B2306" s="1">
        <f>DATE(2015,1,23) + TIME(6,13,18)</f>
        <v>42027.259236111109</v>
      </c>
      <c r="C2306">
        <v>80</v>
      </c>
      <c r="D2306">
        <v>76.130561829000001</v>
      </c>
      <c r="E2306">
        <v>50</v>
      </c>
      <c r="F2306">
        <v>49.985572814999998</v>
      </c>
      <c r="G2306">
        <v>1328.2684326000001</v>
      </c>
      <c r="H2306">
        <v>1326.9984131000001</v>
      </c>
      <c r="I2306">
        <v>1338.0185547000001</v>
      </c>
      <c r="J2306">
        <v>1335.5874022999999</v>
      </c>
      <c r="K2306">
        <v>0</v>
      </c>
      <c r="L2306">
        <v>2400</v>
      </c>
      <c r="M2306">
        <v>2400</v>
      </c>
      <c r="N2306">
        <v>0</v>
      </c>
    </row>
    <row r="2307" spans="1:14" x14ac:dyDescent="0.25">
      <c r="A2307">
        <v>1730.8569709999999</v>
      </c>
      <c r="B2307" s="1">
        <f>DATE(2015,1,25) + TIME(20,34,2)</f>
        <v>42029.85696759259</v>
      </c>
      <c r="C2307">
        <v>80</v>
      </c>
      <c r="D2307">
        <v>76.041816710999996</v>
      </c>
      <c r="E2307">
        <v>50</v>
      </c>
      <c r="F2307">
        <v>49.985588073999999</v>
      </c>
      <c r="G2307">
        <v>1328.2230225000001</v>
      </c>
      <c r="H2307">
        <v>1326.9382324000001</v>
      </c>
      <c r="I2307">
        <v>1338.0164795000001</v>
      </c>
      <c r="J2307">
        <v>1335.5845947</v>
      </c>
      <c r="K2307">
        <v>0</v>
      </c>
      <c r="L2307">
        <v>2400</v>
      </c>
      <c r="M2307">
        <v>2400</v>
      </c>
      <c r="N2307">
        <v>0</v>
      </c>
    </row>
    <row r="2308" spans="1:14" x14ac:dyDescent="0.25">
      <c r="A2308">
        <v>1733.5337059999999</v>
      </c>
      <c r="B2308" s="1">
        <f>DATE(2015,1,28) + TIME(12,48,32)</f>
        <v>42032.533703703702</v>
      </c>
      <c r="C2308">
        <v>80</v>
      </c>
      <c r="D2308">
        <v>75.950843810999999</v>
      </c>
      <c r="E2308">
        <v>50</v>
      </c>
      <c r="F2308">
        <v>49.985599518000001</v>
      </c>
      <c r="G2308">
        <v>1328.1767577999999</v>
      </c>
      <c r="H2308">
        <v>1326.8769531</v>
      </c>
      <c r="I2308">
        <v>1338.0145264</v>
      </c>
      <c r="J2308">
        <v>1335.5817870999999</v>
      </c>
      <c r="K2308">
        <v>0</v>
      </c>
      <c r="L2308">
        <v>2400</v>
      </c>
      <c r="M2308">
        <v>2400</v>
      </c>
      <c r="N2308">
        <v>0</v>
      </c>
    </row>
    <row r="2309" spans="1:14" x14ac:dyDescent="0.25">
      <c r="A2309">
        <v>1736.2364709999999</v>
      </c>
      <c r="B2309" s="1">
        <f>DATE(2015,1,31) + TIME(5,40,31)</f>
        <v>42035.23646990741</v>
      </c>
      <c r="C2309">
        <v>80</v>
      </c>
      <c r="D2309">
        <v>75.857795714999995</v>
      </c>
      <c r="E2309">
        <v>50</v>
      </c>
      <c r="F2309">
        <v>49.985610962000003</v>
      </c>
      <c r="G2309">
        <v>1328.1293945</v>
      </c>
      <c r="H2309">
        <v>1326.8142089999999</v>
      </c>
      <c r="I2309">
        <v>1338.0124512</v>
      </c>
      <c r="J2309">
        <v>1335.5789795000001</v>
      </c>
      <c r="K2309">
        <v>0</v>
      </c>
      <c r="L2309">
        <v>2400</v>
      </c>
      <c r="M2309">
        <v>2400</v>
      </c>
      <c r="N2309">
        <v>0</v>
      </c>
    </row>
    <row r="2310" spans="1:14" x14ac:dyDescent="0.25">
      <c r="A2310">
        <v>1737</v>
      </c>
      <c r="B2310" s="1">
        <f>DATE(2015,2,1) + TIME(0,0,0)</f>
        <v>42036</v>
      </c>
      <c r="C2310">
        <v>80</v>
      </c>
      <c r="D2310">
        <v>75.797889709000003</v>
      </c>
      <c r="E2310">
        <v>50</v>
      </c>
      <c r="F2310">
        <v>49.985614777000002</v>
      </c>
      <c r="G2310">
        <v>1328.0843506000001</v>
      </c>
      <c r="H2310">
        <v>1326.7548827999999</v>
      </c>
      <c r="I2310">
        <v>1338.0101318</v>
      </c>
      <c r="J2310">
        <v>1335.5762939000001</v>
      </c>
      <c r="K2310">
        <v>0</v>
      </c>
      <c r="L2310">
        <v>2400</v>
      </c>
      <c r="M2310">
        <v>2400</v>
      </c>
      <c r="N2310">
        <v>0</v>
      </c>
    </row>
    <row r="2311" spans="1:14" x14ac:dyDescent="0.25">
      <c r="A2311">
        <v>1739.746431</v>
      </c>
      <c r="B2311" s="1">
        <f>DATE(2015,2,3) + TIME(17,54,51)</f>
        <v>42038.746423611112</v>
      </c>
      <c r="C2311">
        <v>80</v>
      </c>
      <c r="D2311">
        <v>75.729286193999997</v>
      </c>
      <c r="E2311">
        <v>50</v>
      </c>
      <c r="F2311">
        <v>49.985630035</v>
      </c>
      <c r="G2311">
        <v>1328.059082</v>
      </c>
      <c r="H2311">
        <v>1326.7198486</v>
      </c>
      <c r="I2311">
        <v>1338.0100098</v>
      </c>
      <c r="J2311">
        <v>1335.5753173999999</v>
      </c>
      <c r="K2311">
        <v>0</v>
      </c>
      <c r="L2311">
        <v>2400</v>
      </c>
      <c r="M2311">
        <v>2400</v>
      </c>
      <c r="N2311">
        <v>0</v>
      </c>
    </row>
    <row r="2312" spans="1:14" x14ac:dyDescent="0.25">
      <c r="A2312">
        <v>1742.5790549999999</v>
      </c>
      <c r="B2312" s="1">
        <f>DATE(2015,2,6) + TIME(13,53,50)</f>
        <v>42041.579050925924</v>
      </c>
      <c r="C2312">
        <v>80</v>
      </c>
      <c r="D2312">
        <v>75.638610839999998</v>
      </c>
      <c r="E2312">
        <v>50</v>
      </c>
      <c r="F2312">
        <v>49.985641479000002</v>
      </c>
      <c r="G2312">
        <v>1328.0183105000001</v>
      </c>
      <c r="H2312">
        <v>1326.6667480000001</v>
      </c>
      <c r="I2312">
        <v>1338.0079346</v>
      </c>
      <c r="J2312">
        <v>1335.572876</v>
      </c>
      <c r="K2312">
        <v>0</v>
      </c>
      <c r="L2312">
        <v>2400</v>
      </c>
      <c r="M2312">
        <v>2400</v>
      </c>
      <c r="N2312">
        <v>0</v>
      </c>
    </row>
    <row r="2313" spans="1:14" x14ac:dyDescent="0.25">
      <c r="A2313">
        <v>1745.472127</v>
      </c>
      <c r="B2313" s="1">
        <f>DATE(2015,2,9) + TIME(11,19,51)</f>
        <v>42044.472118055557</v>
      </c>
      <c r="C2313">
        <v>80</v>
      </c>
      <c r="D2313">
        <v>75.540374756000006</v>
      </c>
      <c r="E2313">
        <v>50</v>
      </c>
      <c r="F2313">
        <v>49.985652924</v>
      </c>
      <c r="G2313">
        <v>1327.9710693</v>
      </c>
      <c r="H2313">
        <v>1326.604126</v>
      </c>
      <c r="I2313">
        <v>1338.0058594</v>
      </c>
      <c r="J2313">
        <v>1335.5701904</v>
      </c>
      <c r="K2313">
        <v>0</v>
      </c>
      <c r="L2313">
        <v>2400</v>
      </c>
      <c r="M2313">
        <v>2400</v>
      </c>
      <c r="N2313">
        <v>0</v>
      </c>
    </row>
    <row r="2314" spans="1:14" x14ac:dyDescent="0.25">
      <c r="A2314">
        <v>1748.4175580000001</v>
      </c>
      <c r="B2314" s="1">
        <f>DATE(2015,2,12) + TIME(10,1,16)</f>
        <v>42047.417546296296</v>
      </c>
      <c r="C2314">
        <v>80</v>
      </c>
      <c r="D2314">
        <v>75.438262938999998</v>
      </c>
      <c r="E2314">
        <v>50</v>
      </c>
      <c r="F2314">
        <v>49.985664368000002</v>
      </c>
      <c r="G2314">
        <v>1327.921875</v>
      </c>
      <c r="H2314">
        <v>1326.5389404</v>
      </c>
      <c r="I2314">
        <v>1338.0037841999999</v>
      </c>
      <c r="J2314">
        <v>1335.5675048999999</v>
      </c>
      <c r="K2314">
        <v>0</v>
      </c>
      <c r="L2314">
        <v>2400</v>
      </c>
      <c r="M2314">
        <v>2400</v>
      </c>
      <c r="N2314">
        <v>0</v>
      </c>
    </row>
    <row r="2315" spans="1:14" x14ac:dyDescent="0.25">
      <c r="A2315">
        <v>1751.435988</v>
      </c>
      <c r="B2315" s="1">
        <f>DATE(2015,2,15) + TIME(10,27,49)</f>
        <v>42050.435983796298</v>
      </c>
      <c r="C2315">
        <v>80</v>
      </c>
      <c r="D2315">
        <v>75.332847595000004</v>
      </c>
      <c r="E2315">
        <v>50</v>
      </c>
      <c r="F2315">
        <v>49.985675811999997</v>
      </c>
      <c r="G2315">
        <v>1327.8719481999999</v>
      </c>
      <c r="H2315">
        <v>1326.4726562000001</v>
      </c>
      <c r="I2315">
        <v>1338.0017089999999</v>
      </c>
      <c r="J2315">
        <v>1335.5649414</v>
      </c>
      <c r="K2315">
        <v>0</v>
      </c>
      <c r="L2315">
        <v>2400</v>
      </c>
      <c r="M2315">
        <v>2400</v>
      </c>
      <c r="N2315">
        <v>0</v>
      </c>
    </row>
    <row r="2316" spans="1:14" x14ac:dyDescent="0.25">
      <c r="A2316">
        <v>1754.549518</v>
      </c>
      <c r="B2316" s="1">
        <f>DATE(2015,2,18) + TIME(13,11,18)</f>
        <v>42053.549513888887</v>
      </c>
      <c r="C2316">
        <v>80</v>
      </c>
      <c r="D2316">
        <v>75.223419188999998</v>
      </c>
      <c r="E2316">
        <v>50</v>
      </c>
      <c r="F2316">
        <v>49.985687255999999</v>
      </c>
      <c r="G2316">
        <v>1327.8214111</v>
      </c>
      <c r="H2316">
        <v>1326.4053954999999</v>
      </c>
      <c r="I2316">
        <v>1337.9995117000001</v>
      </c>
      <c r="J2316">
        <v>1335.5623779</v>
      </c>
      <c r="K2316">
        <v>0</v>
      </c>
      <c r="L2316">
        <v>2400</v>
      </c>
      <c r="M2316">
        <v>2400</v>
      </c>
      <c r="N2316">
        <v>0</v>
      </c>
    </row>
    <row r="2317" spans="1:14" x14ac:dyDescent="0.25">
      <c r="A2317">
        <v>1757.782974</v>
      </c>
      <c r="B2317" s="1">
        <f>DATE(2015,2,21) + TIME(18,47,28)</f>
        <v>42056.782962962963</v>
      </c>
      <c r="C2317">
        <v>80</v>
      </c>
      <c r="D2317">
        <v>75.108833313000005</v>
      </c>
      <c r="E2317">
        <v>50</v>
      </c>
      <c r="F2317">
        <v>49.985702515</v>
      </c>
      <c r="G2317">
        <v>1327.7697754000001</v>
      </c>
      <c r="H2317">
        <v>1326.3369141000001</v>
      </c>
      <c r="I2317">
        <v>1337.9973144999999</v>
      </c>
      <c r="J2317">
        <v>1335.5598144999999</v>
      </c>
      <c r="K2317">
        <v>0</v>
      </c>
      <c r="L2317">
        <v>2400</v>
      </c>
      <c r="M2317">
        <v>2400</v>
      </c>
      <c r="N2317">
        <v>0</v>
      </c>
    </row>
    <row r="2318" spans="1:14" x14ac:dyDescent="0.25">
      <c r="A2318">
        <v>1761.0640780000001</v>
      </c>
      <c r="B2318" s="1">
        <f>DATE(2015,2,25) + TIME(1,32,16)</f>
        <v>42060.064074074071</v>
      </c>
      <c r="C2318">
        <v>80</v>
      </c>
      <c r="D2318">
        <v>74.988319396999998</v>
      </c>
      <c r="E2318">
        <v>50</v>
      </c>
      <c r="F2318">
        <v>49.985713959000002</v>
      </c>
      <c r="G2318">
        <v>1327.7170410000001</v>
      </c>
      <c r="H2318">
        <v>1326.2668457</v>
      </c>
      <c r="I2318">
        <v>1337.9951172000001</v>
      </c>
      <c r="J2318">
        <v>1335.5571289</v>
      </c>
      <c r="K2318">
        <v>0</v>
      </c>
      <c r="L2318">
        <v>2400</v>
      </c>
      <c r="M2318">
        <v>2400</v>
      </c>
      <c r="N2318">
        <v>0</v>
      </c>
    </row>
    <row r="2319" spans="1:14" x14ac:dyDescent="0.25">
      <c r="A2319">
        <v>1764.39094</v>
      </c>
      <c r="B2319" s="1">
        <f>DATE(2015,2,28) + TIME(9,22,57)</f>
        <v>42063.3909375</v>
      </c>
      <c r="C2319">
        <v>80</v>
      </c>
      <c r="D2319">
        <v>74.862899780000006</v>
      </c>
      <c r="E2319">
        <v>50</v>
      </c>
      <c r="F2319">
        <v>49.985725403000004</v>
      </c>
      <c r="G2319">
        <v>1327.6636963000001</v>
      </c>
      <c r="H2319">
        <v>1326.1958007999999</v>
      </c>
      <c r="I2319">
        <v>1337.9927978999999</v>
      </c>
      <c r="J2319">
        <v>1335.5546875</v>
      </c>
      <c r="K2319">
        <v>0</v>
      </c>
      <c r="L2319">
        <v>2400</v>
      </c>
      <c r="M2319">
        <v>2400</v>
      </c>
      <c r="N2319">
        <v>0</v>
      </c>
    </row>
    <row r="2320" spans="1:14" x14ac:dyDescent="0.25">
      <c r="A2320">
        <v>1765</v>
      </c>
      <c r="B2320" s="1">
        <f>DATE(2015,3,1) + TIME(0,0,0)</f>
        <v>42064</v>
      </c>
      <c r="C2320">
        <v>80</v>
      </c>
      <c r="D2320">
        <v>74.790092467999997</v>
      </c>
      <c r="E2320">
        <v>50</v>
      </c>
      <c r="F2320">
        <v>49.985725403000004</v>
      </c>
      <c r="G2320">
        <v>1327.6136475000001</v>
      </c>
      <c r="H2320">
        <v>1326.1297606999999</v>
      </c>
      <c r="I2320">
        <v>1337.9903564000001</v>
      </c>
      <c r="J2320">
        <v>1335.552124</v>
      </c>
      <c r="K2320">
        <v>0</v>
      </c>
      <c r="L2320">
        <v>2400</v>
      </c>
      <c r="M2320">
        <v>2400</v>
      </c>
      <c r="N2320">
        <v>0</v>
      </c>
    </row>
    <row r="2321" spans="1:14" x14ac:dyDescent="0.25">
      <c r="A2321">
        <v>1768.3968789999999</v>
      </c>
      <c r="B2321" s="1">
        <f>DATE(2015,3,4) + TIME(9,31,30)</f>
        <v>42067.396874999999</v>
      </c>
      <c r="C2321">
        <v>80</v>
      </c>
      <c r="D2321">
        <v>74.699378967000001</v>
      </c>
      <c r="E2321">
        <v>50</v>
      </c>
      <c r="F2321">
        <v>49.985740661999998</v>
      </c>
      <c r="G2321">
        <v>1327.5897216999999</v>
      </c>
      <c r="H2321">
        <v>1326.0955810999999</v>
      </c>
      <c r="I2321">
        <v>1337.9902344</v>
      </c>
      <c r="J2321">
        <v>1335.5513916</v>
      </c>
      <c r="K2321">
        <v>0</v>
      </c>
      <c r="L2321">
        <v>2400</v>
      </c>
      <c r="M2321">
        <v>2400</v>
      </c>
      <c r="N2321">
        <v>0</v>
      </c>
    </row>
    <row r="2322" spans="1:14" x14ac:dyDescent="0.25">
      <c r="A2322">
        <v>1771.853791</v>
      </c>
      <c r="B2322" s="1">
        <f>DATE(2015,3,7) + TIME(20,29,27)</f>
        <v>42070.853784722225</v>
      </c>
      <c r="C2322">
        <v>80</v>
      </c>
      <c r="D2322">
        <v>74.569122313999998</v>
      </c>
      <c r="E2322">
        <v>50</v>
      </c>
      <c r="F2322">
        <v>49.985752106</v>
      </c>
      <c r="G2322">
        <v>1327.5446777</v>
      </c>
      <c r="H2322">
        <v>1326.0368652</v>
      </c>
      <c r="I2322">
        <v>1337.987793</v>
      </c>
      <c r="J2322">
        <v>1335.5491943</v>
      </c>
      <c r="K2322">
        <v>0</v>
      </c>
      <c r="L2322">
        <v>2400</v>
      </c>
      <c r="M2322">
        <v>2400</v>
      </c>
      <c r="N2322">
        <v>0</v>
      </c>
    </row>
    <row r="2323" spans="1:14" x14ac:dyDescent="0.25">
      <c r="A2323">
        <v>1775.375063</v>
      </c>
      <c r="B2323" s="1">
        <f>DATE(2015,3,11) + TIME(9,0,5)</f>
        <v>42074.375057870369</v>
      </c>
      <c r="C2323">
        <v>80</v>
      </c>
      <c r="D2323">
        <v>74.426391601999995</v>
      </c>
      <c r="E2323">
        <v>50</v>
      </c>
      <c r="F2323">
        <v>49.985759735000002</v>
      </c>
      <c r="G2323">
        <v>1327.4920654</v>
      </c>
      <c r="H2323">
        <v>1325.9669189000001</v>
      </c>
      <c r="I2323">
        <v>1337.9854736</v>
      </c>
      <c r="J2323">
        <v>1335.5467529</v>
      </c>
      <c r="K2323">
        <v>0</v>
      </c>
      <c r="L2323">
        <v>2400</v>
      </c>
      <c r="M2323">
        <v>2400</v>
      </c>
      <c r="N2323">
        <v>0</v>
      </c>
    </row>
    <row r="2324" spans="1:14" x14ac:dyDescent="0.25">
      <c r="A2324">
        <v>1778.9776489999999</v>
      </c>
      <c r="B2324" s="1">
        <f>DATE(2015,3,14) + TIME(23,27,48)</f>
        <v>42077.977638888886</v>
      </c>
      <c r="C2324">
        <v>80</v>
      </c>
      <c r="D2324">
        <v>74.275367736999996</v>
      </c>
      <c r="E2324">
        <v>50</v>
      </c>
      <c r="F2324">
        <v>49.985771178999997</v>
      </c>
      <c r="G2324">
        <v>1327.4378661999999</v>
      </c>
      <c r="H2324">
        <v>1325.8946533000001</v>
      </c>
      <c r="I2324">
        <v>1337.9830322</v>
      </c>
      <c r="J2324">
        <v>1335.5443115</v>
      </c>
      <c r="K2324">
        <v>0</v>
      </c>
      <c r="L2324">
        <v>2400</v>
      </c>
      <c r="M2324">
        <v>2400</v>
      </c>
      <c r="N2324">
        <v>0</v>
      </c>
    </row>
    <row r="2325" spans="1:14" x14ac:dyDescent="0.25">
      <c r="A2325">
        <v>1782.6459319999999</v>
      </c>
      <c r="B2325" s="1">
        <f>DATE(2015,3,18) + TIME(15,30,8)</f>
        <v>42081.645925925928</v>
      </c>
      <c r="C2325">
        <v>80</v>
      </c>
      <c r="D2325">
        <v>74.115753174000005</v>
      </c>
      <c r="E2325">
        <v>50</v>
      </c>
      <c r="F2325">
        <v>49.985782622999999</v>
      </c>
      <c r="G2325">
        <v>1327.3831786999999</v>
      </c>
      <c r="H2325">
        <v>1325.8215332</v>
      </c>
      <c r="I2325">
        <v>1337.9805908000001</v>
      </c>
      <c r="J2325">
        <v>1335.5418701000001</v>
      </c>
      <c r="K2325">
        <v>0</v>
      </c>
      <c r="L2325">
        <v>2400</v>
      </c>
      <c r="M2325">
        <v>2400</v>
      </c>
      <c r="N2325">
        <v>0</v>
      </c>
    </row>
    <row r="2326" spans="1:14" x14ac:dyDescent="0.25">
      <c r="A2326">
        <v>1786.400353</v>
      </c>
      <c r="B2326" s="1">
        <f>DATE(2015,3,22) + TIME(9,36,30)</f>
        <v>42085.400347222225</v>
      </c>
      <c r="C2326">
        <v>80</v>
      </c>
      <c r="D2326">
        <v>73.947341918999996</v>
      </c>
      <c r="E2326">
        <v>50</v>
      </c>
      <c r="F2326">
        <v>49.985794067</v>
      </c>
      <c r="G2326">
        <v>1327.328125</v>
      </c>
      <c r="H2326">
        <v>1325.7479248</v>
      </c>
      <c r="I2326">
        <v>1337.9780272999999</v>
      </c>
      <c r="J2326">
        <v>1335.5395507999999</v>
      </c>
      <c r="K2326">
        <v>0</v>
      </c>
      <c r="L2326">
        <v>2400</v>
      </c>
      <c r="M2326">
        <v>2400</v>
      </c>
      <c r="N2326">
        <v>0</v>
      </c>
    </row>
    <row r="2327" spans="1:14" x14ac:dyDescent="0.25">
      <c r="A2327">
        <v>1790.188643</v>
      </c>
      <c r="B2327" s="1">
        <f>DATE(2015,3,26) + TIME(4,31,38)</f>
        <v>42089.188634259262</v>
      </c>
      <c r="C2327">
        <v>80</v>
      </c>
      <c r="D2327">
        <v>73.769218445000007</v>
      </c>
      <c r="E2327">
        <v>50</v>
      </c>
      <c r="F2327">
        <v>49.985805511000002</v>
      </c>
      <c r="G2327">
        <v>1327.2727050999999</v>
      </c>
      <c r="H2327">
        <v>1325.6739502</v>
      </c>
      <c r="I2327">
        <v>1337.9754639</v>
      </c>
      <c r="J2327">
        <v>1335.5372314000001</v>
      </c>
      <c r="K2327">
        <v>0</v>
      </c>
      <c r="L2327">
        <v>2400</v>
      </c>
      <c r="M2327">
        <v>2400</v>
      </c>
      <c r="N2327">
        <v>0</v>
      </c>
    </row>
    <row r="2328" spans="1:14" x14ac:dyDescent="0.25">
      <c r="A2328">
        <v>1794.040976</v>
      </c>
      <c r="B2328" s="1">
        <f>DATE(2015,3,30) + TIME(0,59,0)</f>
        <v>42093.040972222225</v>
      </c>
      <c r="C2328">
        <v>80</v>
      </c>
      <c r="D2328">
        <v>73.582344054999993</v>
      </c>
      <c r="E2328">
        <v>50</v>
      </c>
      <c r="F2328">
        <v>49.985816956000001</v>
      </c>
      <c r="G2328">
        <v>1327.2174072</v>
      </c>
      <c r="H2328">
        <v>1325.5998535000001</v>
      </c>
      <c r="I2328">
        <v>1337.9727783000001</v>
      </c>
      <c r="J2328">
        <v>1335.5349120999999</v>
      </c>
      <c r="K2328">
        <v>0</v>
      </c>
      <c r="L2328">
        <v>2400</v>
      </c>
      <c r="M2328">
        <v>2400</v>
      </c>
      <c r="N2328">
        <v>0</v>
      </c>
    </row>
    <row r="2329" spans="1:14" x14ac:dyDescent="0.25">
      <c r="A2329">
        <v>1796</v>
      </c>
      <c r="B2329" s="1">
        <f>DATE(2015,4,1) + TIME(0,0,0)</f>
        <v>42095</v>
      </c>
      <c r="C2329">
        <v>80</v>
      </c>
      <c r="D2329">
        <v>73.410057068</v>
      </c>
      <c r="E2329">
        <v>50</v>
      </c>
      <c r="F2329">
        <v>49.985820769999997</v>
      </c>
      <c r="G2329">
        <v>1327.1632079999999</v>
      </c>
      <c r="H2329">
        <v>1325.5275879000001</v>
      </c>
      <c r="I2329">
        <v>1337.9700928</v>
      </c>
      <c r="J2329">
        <v>1335.5325928</v>
      </c>
      <c r="K2329">
        <v>0</v>
      </c>
      <c r="L2329">
        <v>2400</v>
      </c>
      <c r="M2329">
        <v>2400</v>
      </c>
      <c r="N2329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2022-07-20T06:44:51Z</dcterms:created>
  <dcterms:modified xsi:type="dcterms:W3CDTF">2022-07-20T06:45:18Z</dcterms:modified>
</cp:coreProperties>
</file>